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35.xml" ContentType="application/vnd.openxmlformats-officedocument.drawingml.chartshapes+xml"/>
  <Override PartName="/xl/drawings/drawing46.xml" ContentType="application/vnd.openxmlformats-officedocument.drawingml.chartshapes+xml"/>
  <Override PartName="/xl/drawings/drawing36.xml" ContentType="application/vnd.openxmlformats-officedocument.drawingml.chartshapes+xml"/>
  <Override PartName="/xl/drawings/drawing10.xml" ContentType="application/vnd.openxmlformats-officedocument.drawingml.chartshapes+xml"/>
  <Override PartName="/xl/drawings/drawing9.xml" ContentType="application/vnd.openxmlformats-officedocument.drawingml.chartshapes+xml"/>
  <Override PartName="/xl/drawings/drawing6.xml" ContentType="application/vnd.openxmlformats-officedocument.drawingml.chartshapes+xml"/>
  <Override PartName="/xl/drawings/drawing47.xml" ContentType="application/vnd.openxmlformats-officedocument.drawingml.chartshapes+xml"/>
  <Override PartName="/xl/drawings/drawing53.xml" ContentType="application/vnd.openxmlformats-officedocument.drawingml.chartshapes+xml"/>
  <Override PartName="/xl/drawings/drawing5.xml" ContentType="application/vnd.openxmlformats-officedocument.drawingml.chartshapes+xml"/>
  <Override PartName="/xl/drawings/drawing82.xml" ContentType="application/vnd.openxmlformats-officedocument.drawingml.chartshapes+xml"/>
  <Override PartName="/xl/drawings/drawing65.xml" ContentType="application/vnd.openxmlformats-officedocument.drawingml.chartshapes+xml"/>
  <Override PartName="/xl/drawings/drawing64.xml" ContentType="application/vnd.openxmlformats-officedocument.drawingml.chartshapes+xml"/>
  <Override PartName="/xl/drawings/drawing52.xml" ContentType="application/vnd.openxmlformats-officedocument.drawingml.chartshapes+xml"/>
  <Override PartName="/xl/workbook.xml" ContentType="application/vnd.openxmlformats-officedocument.spreadsheetml.sheet.main+xml"/>
  <Override PartName="/xl/worksheets/sheet20.xml" ContentType="application/vnd.openxmlformats-officedocument.spreadsheetml.worksheet+xml"/>
  <Override PartName="/xl/drawings/drawing90.xml" ContentType="application/vnd.openxmlformats-officedocument.drawing+xml"/>
  <Override PartName="/xl/charts/colors23.xml" ContentType="application/vnd.ms-office.chartcolorstyle+xml"/>
  <Override PartName="/xl/charts/style23.xml" ContentType="application/vnd.ms-office.chartstyle+xml"/>
  <Override PartName="/xl/charts/chart144.xml" ContentType="application/vnd.openxmlformats-officedocument.drawingml.chart+xml"/>
  <Override PartName="/xl/drawings/drawing89.xml" ContentType="application/vnd.openxmlformats-officedocument.drawing+xml"/>
  <Override PartName="/xl/charts/chart143.xml" ContentType="application/vnd.openxmlformats-officedocument.drawingml.chart+xml"/>
  <Override PartName="/xl/charts/chart142.xml" ContentType="application/vnd.openxmlformats-officedocument.drawingml.chart+xml"/>
  <Override PartName="/xl/charts/chart145.xml" ContentType="application/vnd.openxmlformats-officedocument.drawingml.chart+xml"/>
  <Override PartName="/xl/drawings/drawing91.xml" ContentType="application/vnd.openxmlformats-officedocument.drawing+xml"/>
  <Override PartName="/xl/charts/chart146.xml" ContentType="application/vnd.openxmlformats-officedocument.drawingml.chart+xml"/>
  <Override PartName="/xl/worksheets/sheet5.xml" ContentType="application/vnd.openxmlformats-officedocument.spreadsheetml.worksheet+xml"/>
  <Override PartName="/xl/charts/colors24.xml" ContentType="application/vnd.ms-office.chartcolorstyle+xml"/>
  <Override PartName="/xl/charts/style24.xml" ContentType="application/vnd.ms-office.chartstyle+xml"/>
  <Override PartName="/xl/charts/chart148.xml" ContentType="application/vnd.openxmlformats-officedocument.drawingml.chart+xml"/>
  <Override PartName="/xl/drawings/drawing93.xml" ContentType="application/vnd.openxmlformats-officedocument.drawing+xml"/>
  <Override PartName="/xl/charts/chart147.xml" ContentType="application/vnd.openxmlformats-officedocument.drawingml.chart+xml"/>
  <Override PartName="/xl/drawings/drawing92.xml" ContentType="application/vnd.openxmlformats-officedocument.drawing+xml"/>
  <Override PartName="/xl/charts/chart141.xml" ContentType="application/vnd.openxmlformats-officedocument.drawingml.chart+xml"/>
  <Override PartName="/xl/drawings/drawing88.xml" ContentType="application/vnd.openxmlformats-officedocument.drawing+xml"/>
  <Override PartName="/xl/charts/chart140.xml" ContentType="application/vnd.openxmlformats-officedocument.drawingml.chart+xml"/>
  <Override PartName="/xl/charts/chart133.xml" ContentType="application/vnd.openxmlformats-officedocument.drawingml.chart+xml"/>
  <Override PartName="/xl/drawings/drawing83.xml" ContentType="application/vnd.openxmlformats-officedocument.drawing+xml"/>
  <Override PartName="/xl/charts/colors22.xml" ContentType="application/vnd.ms-office.chartcolorstyle+xml"/>
  <Override PartName="/xl/charts/style22.xml" ContentType="application/vnd.ms-office.chartstyle+xml"/>
  <Override PartName="/xl/charts/chart132.xml" ContentType="application/vnd.openxmlformats-officedocument.drawingml.chart+xml"/>
  <Override PartName="/xl/worksheets/sheet6.xml" ContentType="application/vnd.openxmlformats-officedocument.spreadsheetml.worksheet+xml"/>
  <Override PartName="/xl/charts/colors21.xml" ContentType="application/vnd.ms-office.chartcolorstyle+xml"/>
  <Override PartName="/xl/charts/style21.xml" ContentType="application/vnd.ms-office.chartstyle+xml"/>
  <Override PartName="/xl/charts/chart134.xml" ContentType="application/vnd.openxmlformats-officedocument.drawingml.chart+xml"/>
  <Override PartName="/xl/drawings/drawing84.xml" ContentType="application/vnd.openxmlformats-officedocument.drawing+xml"/>
  <Override PartName="/xl/charts/chart135.xml" ContentType="application/vnd.openxmlformats-officedocument.drawingml.chart+xml"/>
  <Override PartName="/xl/drawings/drawing87.xml" ContentType="application/vnd.openxmlformats-officedocument.drawing+xml"/>
  <Override PartName="/xl/charts/chart139.xml" ContentType="application/vnd.openxmlformats-officedocument.drawingml.chart+xml"/>
  <Override PartName="/xl/drawings/drawing86.xml" ContentType="application/vnd.openxmlformats-officedocument.drawing+xml"/>
  <Override PartName="/xl/charts/chart138.xml" ContentType="application/vnd.openxmlformats-officedocument.drawingml.chart+xml"/>
  <Override PartName="/xl/charts/chart137.xml" ContentType="application/vnd.openxmlformats-officedocument.drawingml.chart+xml"/>
  <Override PartName="/xl/charts/chart136.xml" ContentType="application/vnd.openxmlformats-officedocument.drawingml.chart+xml"/>
  <Override PartName="/xl/drawings/drawing85.xml" ContentType="application/vnd.openxmlformats-officedocument.drawing+xml"/>
  <Override PartName="/xl/worksheets/sheet4.xml" ContentType="application/vnd.openxmlformats-officedocument.spreadsheetml.worksheet+xml"/>
  <Override PartName="/xl/charts/chart131.xml" ContentType="application/vnd.openxmlformats-officedocument.drawingml.chart+xml"/>
  <Override PartName="/xl/drawings/drawing81.xml" ContentType="application/vnd.openxmlformats-officedocument.drawing+xml"/>
  <Override PartName="/xl/charts/chart130.xml" ContentType="application/vnd.openxmlformats-officedocument.drawingml.chart+xml"/>
  <Override PartName="/xl/charts/chart108.xml" ContentType="application/vnd.openxmlformats-officedocument.drawingml.chart+xml"/>
  <Override PartName="/xl/drawings/drawing67.xml" ContentType="application/vnd.openxmlformats-officedocument.drawing+xml"/>
  <Override PartName="/xl/charts/chart107.xml" ContentType="application/vnd.openxmlformats-officedocument.drawingml.chart+xml"/>
  <Override PartName="/xl/drawings/drawing66.xml" ContentType="application/vnd.openxmlformats-officedocument.drawing+xml"/>
  <Override PartName="/xl/worksheets/sheet7.xml" ContentType="application/vnd.openxmlformats-officedocument.spreadsheetml.worksheet+xml"/>
  <Override PartName="/xl/charts/chart106.xml" ContentType="application/vnd.openxmlformats-officedocument.drawingml.chart+xml"/>
  <Override PartName="/xl/worksheets/sheet8.xml" ContentType="application/vnd.openxmlformats-officedocument.spreadsheetml.worksheet+xml"/>
  <Override PartName="/xl/charts/chart105.xml" ContentType="application/vnd.openxmlformats-officedocument.drawingml.chart+xml"/>
  <Override PartName="/xl/worksheets/sheet1.xml" ContentType="application/vnd.openxmlformats-officedocument.spreadsheetml.worksheet+xml"/>
  <Override PartName="/xl/drawings/drawing68.xml" ContentType="application/vnd.openxmlformats-officedocument.drawing+xml"/>
  <Override PartName="/xl/charts/chart110.xml" ContentType="application/vnd.openxmlformats-officedocument.drawingml.chart+xml"/>
  <Override PartName="/xl/charts/chart113.xml" ContentType="application/vnd.openxmlformats-officedocument.drawingml.chart+xml"/>
  <Override PartName="/xl/drawings/drawing70.xml" ContentType="application/vnd.openxmlformats-officedocument.drawing+xml"/>
  <Override PartName="/xl/charts/colors13.xml" ContentType="application/vnd.ms-office.chartcolorstyle+xml"/>
  <Override PartName="/xl/charts/style13.xml" ContentType="application/vnd.ms-office.chartstyle+xml"/>
  <Override PartName="/xl/charts/chart112.xml" ContentType="application/vnd.openxmlformats-officedocument.drawingml.chart+xml"/>
  <Override PartName="/xl/charts/chart111.xml" ContentType="application/vnd.openxmlformats-officedocument.drawingml.chart+xml"/>
  <Override PartName="/xl/drawings/drawing69.xml" ContentType="application/vnd.openxmlformats-officedocument.drawing+xml"/>
  <Override PartName="/xl/drawings/drawing63.xml" ContentType="application/vnd.openxmlformats-officedocument.drawing+xml"/>
  <Override PartName="/xl/charts/colors12.xml" ContentType="application/vnd.ms-office.chartcolorstyle+xml"/>
  <Override PartName="/xl/charts/style12.xml" ContentType="application/vnd.ms-office.chartstyle+xml"/>
  <Override PartName="/xl/charts/chart98.xml" ContentType="application/vnd.openxmlformats-officedocument.drawingml.chart+xml"/>
  <Override PartName="/xl/charts/chart97.xml" ContentType="application/vnd.openxmlformats-officedocument.drawingml.chart+xml"/>
  <Override PartName="/xl/drawings/drawing60.xml" ContentType="application/vnd.openxmlformats-officedocument.drawing+xml"/>
  <Override PartName="/xl/charts/chart96.xml" ContentType="application/vnd.openxmlformats-officedocument.drawingml.chart+xml"/>
  <Override PartName="/xl/drawings/drawing59.xml" ContentType="application/vnd.openxmlformats-officedocument.drawing+xml"/>
  <Override PartName="/xl/charts/chart95.xml" ContentType="application/vnd.openxmlformats-officedocument.drawingml.chart+xml"/>
  <Override PartName="/xl/drawings/drawing58.xml" ContentType="application/vnd.openxmlformats-officedocument.drawing+xml"/>
  <Override PartName="/xl/charts/chart94.xml" ContentType="application/vnd.openxmlformats-officedocument.drawingml.chart+xml"/>
  <Override PartName="/xl/charts/chart99.xml" ContentType="application/vnd.openxmlformats-officedocument.drawingml.chart+xml"/>
  <Override PartName="/xl/drawings/drawing61.xml" ContentType="application/vnd.openxmlformats-officedocument.drawing+xml"/>
  <Override PartName="/xl/charts/chart100.xml" ContentType="application/vnd.openxmlformats-officedocument.drawingml.chart+xml"/>
  <Override PartName="/xl/charts/chart104.xml" ContentType="application/vnd.openxmlformats-officedocument.drawingml.chart+xml"/>
  <Override PartName="/xl/charts/chart103.xml" ContentType="application/vnd.openxmlformats-officedocument.drawingml.chart+xml"/>
  <Override PartName="/xl/drawings/drawing62.xml" ContentType="application/vnd.openxmlformats-officedocument.drawing+xml"/>
  <Override PartName="/xl/charts/colors11.xml" ContentType="application/vnd.ms-office.chartcolorstyle+xml"/>
  <Override PartName="/xl/charts/style11.xml" ContentType="application/vnd.ms-office.chartstyle+xml"/>
  <Override PartName="/xl/charts/chart102.xml" ContentType="application/vnd.openxmlformats-officedocument.drawingml.chart+xml"/>
  <Override PartName="/xl/charts/chart101.xml" ContentType="application/vnd.openxmlformats-officedocument.drawingml.chart+xml"/>
  <Override PartName="/xl/charts/chart114.xml" ContentType="application/vnd.openxmlformats-officedocument.drawingml.chart+xml"/>
  <Override PartName="/xl/drawings/drawing71.xml" ContentType="application/vnd.openxmlformats-officedocument.drawing+xml"/>
  <Override PartName="/xl/charts/chart115.xml" ContentType="application/vnd.openxmlformats-officedocument.drawingml.chart+xml"/>
  <Override PartName="/xl/charts/chart127.xml" ContentType="application/vnd.openxmlformats-officedocument.drawingml.chart+xml"/>
  <Override PartName="/xl/drawings/drawing77.xml" ContentType="application/vnd.openxmlformats-officedocument.drawing+xml"/>
  <Override PartName="/xl/charts/colors18.xml" ContentType="application/vnd.ms-office.chartcolorstyle+xml"/>
  <Override PartName="/xl/charts/style18.xml" ContentType="application/vnd.ms-office.chartstyle+xml"/>
  <Override PartName="/xl/charts/chart126.xml" ContentType="application/vnd.openxmlformats-officedocument.drawingml.chart+xml"/>
  <Override PartName="/xl/charts/chart125.xml" ContentType="application/vnd.openxmlformats-officedocument.drawingml.chart+xml"/>
  <Override PartName="/xl/drawings/drawing76.xml" ContentType="application/vnd.openxmlformats-officedocument.drawing+xml"/>
  <Override PartName="/xl/charts/colors17.xml" ContentType="application/vnd.ms-office.chartcolorstyle+xml"/>
  <Override PartName="/xl/theme/themeOverride1.xml" ContentType="application/vnd.openxmlformats-officedocument.themeOverride+xml"/>
  <Override PartName="/xl/drawings/drawing78.xml" ContentType="application/vnd.openxmlformats-officedocument.drawing+xml"/>
  <Override PartName="/xl/charts/chart128.xml" ContentType="application/vnd.openxmlformats-officedocument.drawingml.chart+xml"/>
  <Override PartName="/xl/drawings/drawing80.xml" ContentType="application/vnd.openxmlformats-officedocument.drawing+xml"/>
  <Override PartName="/xl/charts/colors20.xml" ContentType="application/vnd.ms-office.chartcolorstyle+xml"/>
  <Override PartName="/xl/charts/style20.xml" ContentType="application/vnd.ms-office.chartstyle+xml"/>
  <Override PartName="/xl/charts/chart129.xml" ContentType="application/vnd.openxmlformats-officedocument.drawingml.chart+xml"/>
  <Override PartName="/xl/drawings/drawing79.xml" ContentType="application/vnd.openxmlformats-officedocument.drawing+xml"/>
  <Override PartName="/xl/charts/colors19.xml" ContentType="application/vnd.ms-office.chartcolorstyle+xml"/>
  <Override PartName="/xl/charts/style19.xml" ContentType="application/vnd.ms-office.chartstyle+xml"/>
  <Override PartName="/xl/charts/style17.xml" ContentType="application/vnd.ms-office.chartstyle+xml"/>
  <Override PartName="/xl/charts/chart124.xml" ContentType="application/vnd.openxmlformats-officedocument.drawingml.chart+xml"/>
  <Override PartName="/xl/drawings/drawing75.xml" ContentType="application/vnd.openxmlformats-officedocument.drawing+xml"/>
  <Override PartName="/xl/charts/chart119.xml" ContentType="application/vnd.openxmlformats-officedocument.drawingml.chart+xml"/>
  <Override PartName="/xl/charts/chart118.xml" ContentType="application/vnd.openxmlformats-officedocument.drawingml.chart+xml"/>
  <Override PartName="/xl/charts/chart117.xml" ContentType="application/vnd.openxmlformats-officedocument.drawingml.chart+xml"/>
  <Override PartName="/xl/drawings/drawing72.xml" ContentType="application/vnd.openxmlformats-officedocument.drawing+xml"/>
  <Override PartName="/xl/charts/colors14.xml" ContentType="application/vnd.ms-office.chartcolorstyle+xml"/>
  <Override PartName="/xl/charts/style14.xml" ContentType="application/vnd.ms-office.chartstyle+xml"/>
  <Override PartName="/xl/charts/chart116.xml" ContentType="application/vnd.openxmlformats-officedocument.drawingml.chart+xml"/>
  <Override PartName="/xl/drawings/drawing73.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olors16.xml" ContentType="application/vnd.ms-office.chartcolorstyle+xml"/>
  <Override PartName="/xl/charts/style16.xml" ContentType="application/vnd.ms-office.chartstyle+xml"/>
  <Override PartName="/xl/charts/chart123.xml" ContentType="application/vnd.openxmlformats-officedocument.drawingml.chart+xml"/>
  <Override PartName="/xl/charts/chart122.xml" ContentType="application/vnd.openxmlformats-officedocument.drawingml.chart+xml"/>
  <Override PartName="/xl/drawings/drawing74.xml" ContentType="application/vnd.openxmlformats-officedocument.drawing+xml"/>
  <Override PartName="/xl/charts/colors15.xml" ContentType="application/vnd.ms-office.chartcolorstyle+xml"/>
  <Override PartName="/xl/charts/style15.xml" ContentType="application/vnd.ms-office.chartstyle+xml"/>
  <Override PartName="/xl/worksheets/sheet2.xml" ContentType="application/vnd.openxmlformats-officedocument.spreadsheetml.worksheet+xml"/>
  <Override PartName="/xl/worksheets/sheet3.xml" ContentType="application/vnd.openxmlformats-officedocument.spreadsheetml.worksheet+xml"/>
  <Override PartName="/xl/charts/chart93.xml" ContentType="application/vnd.openxmlformats-officedocument.drawingml.chart+xml"/>
  <Override PartName="/xl/charts/chart109.xml" ContentType="application/vnd.openxmlformats-officedocument.drawingml.chart+xml"/>
  <Override PartName="/xl/charts/chart91.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1.xml" ContentType="application/vnd.openxmlformats-officedocument.drawingml.chart+xml"/>
  <Override PartName="/xl/charts/colors2.xml" ContentType="application/vnd.ms-office.chartcolorstyle+xml"/>
  <Override PartName="/xl/charts/style2.xml" ContentType="application/vnd.ms-office.chartstyle+xml"/>
  <Override PartName="/xl/charts/chart20.xml" ContentType="application/vnd.openxmlformats-officedocument.drawingml.chart+xml"/>
  <Override PartName="/xl/drawings/drawing16.xml" ContentType="application/vnd.openxmlformats-officedocument.drawing+xml"/>
  <Override PartName="/xl/charts/colors1.xml" ContentType="application/vnd.ms-office.chartcolorstyle+xml"/>
  <Override PartName="/xl/charts/style1.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worksheets/sheet17.xml" ContentType="application/vnd.openxmlformats-officedocument.spreadsheetml.worksheet+xml"/>
  <Override PartName="/xl/charts/chart7.xml" ContentType="application/vnd.openxmlformats-officedocument.drawingml.chart+xml"/>
  <Override PartName="/xl/worksheets/sheet18.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worksheets/sheet19.xml" ContentType="application/vnd.openxmlformats-officedocument.spreadsheetml.workshee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worksheets/sheet15.xml" ContentType="application/vnd.openxmlformats-officedocument.spreadsheetml.worksheet+xml"/>
  <Override PartName="/xl/charts/chart11.xml" ContentType="application/vnd.openxmlformats-officedocument.drawingml.chart+xml"/>
  <Override PartName="/xl/worksheets/sheet16.xml" ContentType="application/vnd.openxmlformats-officedocument.spreadsheetml.worksheet+xml"/>
  <Override PartName="/xl/charts/chart10.xml" ContentType="application/vnd.openxmlformats-officedocument.drawingml.chart+xml"/>
  <Override PartName="/xl/drawings/drawing8.xml" ContentType="application/vnd.openxmlformats-officedocument.drawing+xml"/>
  <Override PartName="/xl/charts/style3.xml" ContentType="application/vnd.ms-office.chartstyle+xml"/>
  <Override PartName="/xl/charts/colors3.xml" ContentType="application/vnd.ms-office.chartcolorstyle+xml"/>
  <Override PartName="/xl/charts/chart92.xml" ContentType="application/vnd.openxmlformats-officedocument.drawingml.chart+xml"/>
  <Override PartName="/xl/charts/style5.xml" ContentType="application/vnd.ms-office.chartstyle+xml"/>
  <Override PartName="/xl/charts/chart37.xml" ContentType="application/vnd.openxmlformats-officedocument.drawingml.chart+xml"/>
  <Override PartName="/xl/drawings/drawing24.xml" ContentType="application/vnd.openxmlformats-officedocument.drawing+xml"/>
  <Override PartName="/xl/charts/colors4.xml" ContentType="application/vnd.ms-office.chartcolorstyle+xml"/>
  <Override PartName="/xl/charts/style4.xml" ContentType="application/vnd.ms-office.chartstyle+xml"/>
  <Override PartName="/xl/charts/chart36.xml" ContentType="application/vnd.openxmlformats-officedocument.drawingml.chart+xml"/>
  <Override PartName="/xl/drawings/drawing23.xml" ContentType="application/vnd.openxmlformats-officedocument.drawing+xml"/>
  <Override PartName="/xl/charts/colors5.xml" ContentType="application/vnd.ms-office.chartcolorstyle+xml"/>
  <Override PartName="/xl/drawings/drawing25.xml" ContentType="application/vnd.openxmlformats-officedocument.drawing+xml"/>
  <Override PartName="/xl/charts/chart38.xml" ContentType="application/vnd.openxmlformats-officedocument.drawingml.chart+xml"/>
  <Override PartName="/xl/drawings/drawing27.xml" ContentType="application/vnd.openxmlformats-officedocument.drawing+xml"/>
  <Override PartName="/xl/charts/colors6.xml" ContentType="application/vnd.ms-office.chartcolorstyle+xml"/>
  <Override PartName="/xl/charts/style6.xml" ContentType="application/vnd.ms-office.chartstyle+xml"/>
  <Override PartName="/xl/charts/chart40.xml" ContentType="application/vnd.openxmlformats-officedocument.drawingml.chart+xml"/>
  <Override PartName="/xl/drawings/drawing26.xml" ContentType="application/vnd.openxmlformats-officedocument.drawing+xml"/>
  <Override PartName="/xl/charts/chart39.xml" ContentType="application/vnd.openxmlformats-officedocument.drawingml.chart+xml"/>
  <Override PartName="/xl/charts/chart35.xml" ContentType="application/vnd.openxmlformats-officedocument.drawingml.chart+xml"/>
  <Override PartName="/xl/drawings/drawing22.xml" ContentType="application/vnd.openxmlformats-officedocument.drawing+xml"/>
  <Override PartName="/xl/charts/chart34.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3.xml" ContentType="application/vnd.openxmlformats-officedocument.drawingml.chart+xml"/>
  <Override PartName="/xl/charts/chart22.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3.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1.xml" ContentType="application/vnd.openxmlformats-officedocument.drawingml.chart+xml"/>
  <Override PartName="/xl/charts/chart30.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charts/chart2.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charts/chart41.xml" ContentType="application/vnd.openxmlformats-officedocument.drawingml.chart+xml"/>
  <Override PartName="/xl/drawings/drawing17.xml" ContentType="application/vnd.openxmlformats-officedocument.drawing+xml"/>
  <Override PartName="/xl/drawings/drawing40.xml" ContentType="application/vnd.openxmlformats-officedocument.drawing+xml"/>
  <Override PartName="/xl/drawings/drawing34.xml" ContentType="application/vnd.openxmlformats-officedocument.drawing+xml"/>
  <Override PartName="/xl/charts/chart72.xml" ContentType="application/vnd.openxmlformats-officedocument.drawingml.chart+xml"/>
  <Override PartName="/xl/charts/chart71.xml" ContentType="application/vnd.openxmlformats-officedocument.drawingml.chart+xml"/>
  <Override PartName="/xl/drawings/drawing50.xml" ContentType="application/vnd.openxmlformats-officedocument.drawing+xml"/>
  <Override PartName="/xl/charts/chart58.xml" ContentType="application/vnd.openxmlformats-officedocument.drawingml.chart+xml"/>
  <Override PartName="/xl/charts/chart79.xml" ContentType="application/vnd.openxmlformats-officedocument.drawingml.chart+xml"/>
  <Override PartName="/xl/drawings/drawing49.xml" ContentType="application/vnd.openxmlformats-officedocument.drawing+xml"/>
  <Override PartName="/xl/worksheets/sheet14.xml" ContentType="application/vnd.openxmlformats-officedocument.spreadsheetml.worksheet+xml"/>
  <Override PartName="/xl/charts/chart59.xml" ContentType="application/vnd.openxmlformats-officedocument.drawingml.chart+xml"/>
  <Override PartName="/xl/charts/chart73.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53.xml" ContentType="application/vnd.openxmlformats-officedocument.drawingml.chart+xml"/>
  <Override PartName="/xl/drawings/drawing43.xml" ContentType="application/vnd.openxmlformats-officedocument.drawing+xml"/>
  <Override PartName="/xl/charts/colors10.xml" ContentType="application/vnd.ms-office.chartcolorstyle+xml"/>
  <Override PartName="/xl/charts/style10.xml" ContentType="application/vnd.ms-office.chartstyle+xml"/>
  <Override PartName="/xl/drawings/drawing3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80.xml" ContentType="application/vnd.openxmlformats-officedocument.drawingml.chart+xml"/>
  <Override PartName="/xl/worksheets/sheet13.xml" ContentType="application/vnd.openxmlformats-officedocument.spreadsheetml.worksheet+xml"/>
  <Override PartName="/xl/charts/chart74.xml" ContentType="application/vnd.openxmlformats-officedocument.drawingml.chart+xml"/>
  <Override PartName="/xl/charts/chart78.xml" ContentType="application/vnd.openxmlformats-officedocument.drawingml.chart+xml"/>
  <Override PartName="/xl/charts/colors9.xml" ContentType="application/vnd.ms-office.chartcolorstyle+xml"/>
  <Override PartName="/xl/charts/chart76.xml" ContentType="application/vnd.openxmlformats-officedocument.drawingml.chart+xml"/>
  <Override PartName="/xl/drawings/drawing39.xml" ContentType="application/vnd.openxmlformats-officedocument.drawing+xml"/>
  <Override PartName="/xl/drawings/drawing45.xml" ContentType="application/vnd.openxmlformats-officedocument.drawing+xml"/>
  <Override PartName="/xl/charts/chart65.xml" ContentType="application/vnd.openxmlformats-officedocument.drawingml.chart+xml"/>
  <Override PartName="/xl/charts/chart42.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drawings/drawing44.xml" ContentType="application/vnd.openxmlformats-officedocument.drawing+xml"/>
  <Override PartName="/xl/charts/chart64.xml" ContentType="application/vnd.openxmlformats-officedocument.drawingml.chart+xml"/>
  <Override PartName="/xl/worksheets/sheet12.xml" ContentType="application/vnd.openxmlformats-officedocument.spreadsheetml.worksheet+xml"/>
  <Override PartName="/xl/charts/chart63.xml" ContentType="application/vnd.openxmlformats-officedocument.drawingml.chart+xml"/>
  <Override PartName="/xl/drawings/drawing37.xml" ContentType="application/vnd.openxmlformats-officedocument.drawing+xml"/>
  <Override PartName="/xl/charts/chart60.xml" ContentType="application/vnd.openxmlformats-officedocument.drawingml.chart+xml"/>
  <Override PartName="/xl/drawings/drawing48.xml" ContentType="application/vnd.openxmlformats-officedocument.drawing+xml"/>
  <Override PartName="/xl/charts/style9.xml" ContentType="application/vnd.ms-office.chartstyle+xml"/>
  <Override PartName="/xl/drawings/drawing38.xml" ContentType="application/vnd.openxmlformats-officedocument.drawing+xml"/>
  <Override PartName="/xl/worksheets/sheet11.xml" ContentType="application/vnd.openxmlformats-officedocument.spreadsheetml.worksheet+xml"/>
  <Override PartName="/xl/charts/chart61.xml" ContentType="application/vnd.openxmlformats-officedocument.drawingml.chart+xml"/>
  <Override PartName="/xl/charts/chart77.xml" ContentType="application/vnd.openxmlformats-officedocument.drawingml.chart+xml"/>
  <Override PartName="/xl/charts/chart62.xml" ContentType="application/vnd.openxmlformats-officedocument.drawingml.chart+xml"/>
  <Override PartName="/xl/drawings/drawing51.xml" ContentType="application/vnd.openxmlformats-officedocument.drawing+xml"/>
  <Override PartName="/xl/charts/chart52.xml" ContentType="application/vnd.openxmlformats-officedocument.drawingml.chart+xml"/>
  <Override PartName="/xl/charts/chart50.xml" ContentType="application/vnd.openxmlformats-officedocument.drawingml.chart+xml"/>
  <Override PartName="/xl/drawings/drawing56.xml" ContentType="application/vnd.openxmlformats-officedocument.drawing+xml"/>
  <Override PartName="/xl/charts/style7.xml" ContentType="application/vnd.ms-office.chartstyle+xml"/>
  <Override PartName="/xl/charts/colors7.xml" ContentType="application/vnd.ms-office.chartcolorstyle+xml"/>
  <Override PartName="/xl/charts/chart86.xml" ContentType="application/vnd.openxmlformats-officedocument.drawingml.chart+xml"/>
  <Override PartName="/xl/charts/colors8.xml" ContentType="application/vnd.ms-office.chartcolorstyle+xml"/>
  <Override PartName="/xl/charts/style8.xml" ContentType="application/vnd.ms-office.chartstyle+xml"/>
  <Override PartName="/xl/charts/chart51.xml" ContentType="application/vnd.openxmlformats-officedocument.drawingml.chart+xml"/>
  <Override PartName="/xl/drawings/drawing55.xml" ContentType="application/vnd.openxmlformats-officedocument.drawing+xml"/>
  <Override PartName="/xl/charts/chart44.xml" ContentType="application/vnd.openxmlformats-officedocument.drawingml.chart+xml"/>
  <Override PartName="/xl/charts/chart87.xml" ContentType="application/vnd.openxmlformats-officedocument.drawingml.chart+xml"/>
  <Override PartName="/xl/drawings/drawing42.xml" ContentType="application/vnd.openxmlformats-officedocument.drawing+xml"/>
  <Override PartName="/xl/charts/chart90.xml" ContentType="application/vnd.openxmlformats-officedocument.drawingml.chart+xml"/>
  <Override PartName="/xl/charts/chart70.xml" ContentType="application/vnd.openxmlformats-officedocument.drawingml.chart+xml"/>
  <Override PartName="/xl/drawings/drawing57.xml" ContentType="application/vnd.openxmlformats-officedocument.drawing+xml"/>
  <Override PartName="/xl/drawings/drawing28.xml" ContentType="application/vnd.openxmlformats-officedocument.drawing+xml"/>
  <Override PartName="/xl/charts/chart43.xml" ContentType="application/vnd.openxmlformats-officedocument.drawingml.chart+xml"/>
  <Override PartName="/xl/charts/chart69.xml" ContentType="application/vnd.openxmlformats-officedocument.drawingml.chart+xml"/>
  <Override PartName="/xl/charts/chart89.xml" ContentType="application/vnd.openxmlformats-officedocument.drawingml.chart+xml"/>
  <Override PartName="/xl/charts/chart88.xml" ContentType="application/vnd.openxmlformats-officedocument.drawingml.chart+xml"/>
  <Override PartName="/xl/drawings/drawing29.xml" ContentType="application/vnd.openxmlformats-officedocument.drawing+xml"/>
  <Override PartName="/xl/charts/chart85.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7.xml" ContentType="application/vnd.openxmlformats-officedocument.drawingml.chart+xml"/>
  <Override PartName="/xl/charts/chart82.xml" ContentType="application/vnd.openxmlformats-officedocument.drawingml.chart+xml"/>
  <Override PartName="/xl/charts/chart48.xml" ContentType="application/vnd.openxmlformats-officedocument.drawingml.chart+xml"/>
  <Override PartName="/xl/worksheets/sheet10.xml" ContentType="application/vnd.openxmlformats-officedocument.spreadsheetml.worksheet+xml"/>
  <Override PartName="/xl/drawings/drawing31.xml" ContentType="application/vnd.openxmlformats-officedocument.drawing+xml"/>
  <Override PartName="/xl/charts/chart49.xml" ContentType="application/vnd.openxmlformats-officedocument.drawingml.chart+xml"/>
  <Override PartName="/xl/charts/chart81.xml" ContentType="application/vnd.openxmlformats-officedocument.drawingml.chart+xml"/>
  <Override PartName="/xl/drawings/drawing30.xml" ContentType="application/vnd.openxmlformats-officedocument.drawing+xml"/>
  <Override PartName="/xl/worksheets/sheet9.xml" ContentType="application/vnd.openxmlformats-officedocument.spreadsheetml.worksheet+xml"/>
  <Override PartName="/xl/charts/chart67.xml" ContentType="application/vnd.openxmlformats-officedocument.drawingml.chart+xml"/>
  <Override PartName="/xl/charts/chart84.xml" ContentType="application/vnd.openxmlformats-officedocument.drawingml.chart+xml"/>
  <Override PartName="/xl/charts/chart83.xml" ContentType="application/vnd.openxmlformats-officedocument.drawingml.chart+xml"/>
  <Override PartName="/xl/charts/chart68.xml" ContentType="application/vnd.openxmlformats-officedocument.drawingml.chart+xml"/>
  <Override PartName="/xl/drawings/drawing54.xml" ContentType="application/vnd.openxmlformats-officedocument.drawing+xml"/>
  <Override PartName="/xl/externalLinks/externalLink16.xml" ContentType="application/vnd.openxmlformats-officedocument.spreadsheetml.externalLink+xml"/>
  <Override PartName="/xl/externalLinks/externalLink10.xml" ContentType="application/vnd.openxmlformats-officedocument.spreadsheetml.externalLink+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externalLinks/externalLink18.xml" ContentType="application/vnd.openxmlformats-officedocument.spreadsheetml.externalLink+xml"/>
  <Override PartName="/xl/externalLinks/externalLink9.xml" ContentType="application/vnd.openxmlformats-officedocument.spreadsheetml.externalLink+xml"/>
  <Override PartName="/xl/externalLinks/externalLink20.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19.xml" ContentType="application/vnd.openxmlformats-officedocument.spreadsheetml.externalLink+xml"/>
  <Override PartName="/xl/externalLinks/externalLink37.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externalLinks/externalLink39.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1.xml" ContentType="application/vnd.openxmlformats-officedocument.spreadsheetml.comments+xml"/>
  <Override PartName="/xl/externalLinks/externalLink38.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vmpme-ptaho-fnp03\users\tovhowani.tharaga\Tovhowani.Tharaga\My Documents\2021 Docs\Development Indicators\Themes\"/>
    </mc:Choice>
  </mc:AlternateContent>
  <xr:revisionPtr revIDLastSave="0" documentId="8_{B77C91B9-F14B-48E5-B2DA-0DBCAE466CEB}" xr6:coauthVersionLast="36" xr6:coauthVersionMax="36" xr10:uidLastSave="{00000000-0000-0000-0000-000000000000}"/>
  <bookViews>
    <workbookView xWindow="0" yWindow="0" windowWidth="19180" windowHeight="7030" tabRatio="947" firstSheet="27" activeTab="77" xr2:uid="{00000000-000D-0000-FFFF-FFFF00000000}"/>
  </bookViews>
  <sheets>
    <sheet name="GDP" sheetId="16" r:id="rId1"/>
    <sheet name="GDP per Capita  " sheetId="2" r:id="rId2"/>
    <sheet name="NFDI   " sheetId="3" r:id="rId3"/>
    <sheet name="GFCF  " sheetId="4" r:id="rId4"/>
    <sheet name="B balance  " sheetId="5" r:id="rId5"/>
    <sheet name="G debt  " sheetId="6" r:id="rId6"/>
    <sheet name="Interest   " sheetId="7" r:id="rId7"/>
    <sheet name="Inflation  " sheetId="8" r:id="rId8"/>
    <sheet name="Bond Points Spread " sheetId="17" r:id="rId9"/>
    <sheet name="R&amp;D  " sheetId="10" r:id="rId10"/>
    <sheet name="ICT  " sheetId="11" r:id="rId11"/>
    <sheet name="Patents  " sheetId="12" r:id="rId12"/>
    <sheet name="Balance of Payments" sheetId="13" r:id="rId13"/>
    <sheet name="Competitiveness  " sheetId="14" r:id="rId14"/>
    <sheet name="BM " sheetId="18" r:id="rId15"/>
    <sheet name="Employed  " sheetId="19" r:id="rId16"/>
    <sheet name="Unempl " sheetId="20" r:id="rId17"/>
    <sheet name="EPWP " sheetId="109" r:id="rId18"/>
    <sheet name="CWP " sheetId="22" r:id="rId19"/>
    <sheet name="Multidimensional poverty Index" sheetId="23" r:id="rId20"/>
    <sheet name="Inequality" sheetId="24" r:id="rId21"/>
    <sheet name="Poverty Headcount" sheetId="25" r:id="rId22"/>
    <sheet name="Poverty Gap indices  " sheetId="26" r:id="rId23"/>
    <sheet name="Grants" sheetId="27" r:id="rId24"/>
    <sheet name="Persons with disability " sheetId="28" r:id="rId25"/>
    <sheet name="Dwellings " sheetId="95" r:id="rId26"/>
    <sheet name="Water " sheetId="92" r:id="rId27"/>
    <sheet name="Sanitation" sheetId="93" r:id="rId28"/>
    <sheet name="Electricity " sheetId="94" r:id="rId29"/>
    <sheet name="Land restitution" sheetId="33" r:id="rId30"/>
    <sheet name="Land redistribution  " sheetId="34" r:id="rId31"/>
    <sheet name="Life Expectancy " sheetId="35" r:id="rId32"/>
    <sheet name="Infant &amp; Child mortality" sheetId="36" r:id="rId33"/>
    <sheet name="Severe Acute Malnutrition" sheetId="37" r:id="rId34"/>
    <sheet name="Immunization" sheetId="38" r:id="rId35"/>
    <sheet name="Maternal Mortality" sheetId="39" r:id="rId36"/>
    <sheet name="HIV Prevalance " sheetId="40" r:id="rId37"/>
    <sheet name="ART new TROA" sheetId="41" r:id="rId38"/>
    <sheet name="TB" sheetId="42" r:id="rId39"/>
    <sheet name="Malaria" sheetId="43" r:id="rId40"/>
    <sheet name="ECD " sheetId="97" r:id="rId41"/>
    <sheet name="Educator Learner ratio " sheetId="98" r:id="rId42"/>
    <sheet name="Gender parity index " sheetId="99" r:id="rId43"/>
    <sheet name="Education Attainment and NE" sheetId="100" r:id="rId44"/>
    <sheet name="Matric pass rate" sheetId="101" r:id="rId45"/>
    <sheet name="Mathematics pass rate " sheetId="102" r:id="rId46"/>
    <sheet name="Literacy rate  " sheetId="103" r:id="rId47"/>
    <sheet name="SET Uni " sheetId="104" r:id="rId48"/>
    <sheet name="Educational Perfomance  " sheetId="105" r:id="rId49"/>
    <sheet name="Maths, science perf " sheetId="106" r:id="rId50"/>
    <sheet name="Skills and training" sheetId="107" r:id="rId51"/>
    <sheet name="Civil Society" sheetId="55" r:id="rId52"/>
    <sheet name="Voter Participation" sheetId="56" r:id="rId53"/>
    <sheet name="Voter prov" sheetId="57" r:id="rId54"/>
    <sheet name="Women legislative bodies" sheetId="58" r:id="rId55"/>
    <sheet name="Confident in happy future" sheetId="59" r:id="rId56"/>
    <sheet name="Race relations opinion" sheetId="60" r:id="rId57"/>
    <sheet name="Country direction" sheetId="61" r:id="rId58"/>
    <sheet name="Self description" sheetId="62" r:id="rId59"/>
    <sheet name="Pride in being SA" sheetId="63" r:id="rId60"/>
    <sheet name="Crime Victims " sheetId="65" r:id="rId61"/>
    <sheet name="Crime rate  " sheetId="66" r:id="rId62"/>
    <sheet name="Property crime" sheetId="67" r:id="rId63"/>
    <sheet name="Contact crime" sheetId="68" r:id="rId64"/>
    <sheet name="Serious robberies" sheetId="69" r:id="rId65"/>
    <sheet name="Drug-Related Crime " sheetId="70" r:id="rId66"/>
    <sheet name="Sexual offences " sheetId="71" r:id="rId67"/>
    <sheet name="Corruption Cases " sheetId="72" r:id="rId68"/>
    <sheet name="Conviction rate " sheetId="73" r:id="rId69"/>
    <sheet name="Inmates " sheetId="74" r:id="rId70"/>
    <sheet name="Rehabilitation  " sheetId="75" r:id="rId71"/>
    <sheet name="Parolees  " sheetId="76" r:id="rId72"/>
    <sheet name="Road Accident " sheetId="77" r:id="rId73"/>
    <sheet name="Development cooperation" sheetId="78" r:id="rId74"/>
    <sheet name="Tourism" sheetId="79" r:id="rId75"/>
    <sheet name="Missions" sheetId="80" r:id="rId76"/>
    <sheet name="International Agreements" sheetId="81" r:id="rId77"/>
    <sheet name="Tax Admin " sheetId="110" r:id="rId78"/>
    <sheet name="Qualified Audits " sheetId="83" r:id="rId79"/>
    <sheet name="Corruption " sheetId="84" r:id="rId80"/>
    <sheet name="Budget Process " sheetId="85" r:id="rId81"/>
    <sheet name="Public Opinion  " sheetId="86" r:id="rId82"/>
    <sheet name="Doing Business " sheetId="87" r:id="rId83"/>
    <sheet name="Greenhouse Gas Emissions " sheetId="88" r:id="rId84"/>
    <sheet name="Air Quality Indicators" sheetId="89" r:id="rId85"/>
    <sheet name="Terresterial BIo" sheetId="90" r:id="rId86"/>
    <sheet name="Marine Biodiverity Protection" sheetId="91"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AMO_UniqueIdentifier" hidden="1">"'96803818-9363-4ac2-8db8-841b60aa1c62'"</definedName>
    <definedName name="_msocom_4" localSheetId="38">TB!#REF!</definedName>
    <definedName name="OLE_LINK1" localSheetId="84">'Air Quality Indicators'!#REF!</definedName>
    <definedName name="OLE_LINK1" localSheetId="83">'Greenhouse Gas Emissions '!#REF!</definedName>
    <definedName name="OLE_LINK1" localSheetId="86">'Marine Biodiverity Protection'!#REF!</definedName>
    <definedName name="OLE_LINK1" localSheetId="85">'Terresterial BIo'!#REF!</definedName>
    <definedName name="_xlnm.Print_Area" localSheetId="84">'Air Quality Indicators'!$A$1:$T$48</definedName>
    <definedName name="_xlnm.Print_Area" localSheetId="37">'ART new TROA'!$A$1:$W$33</definedName>
    <definedName name="_xlnm.Print_Area" localSheetId="4">'B balance  '!$A$1:$AE$35</definedName>
    <definedName name="_xlnm.Print_Area" localSheetId="12">'Balance of Payments'!$A$1:$AE$40</definedName>
    <definedName name="_xlnm.Print_Area" localSheetId="14">'BM '!$A$1:$Y$37</definedName>
    <definedName name="_xlnm.Print_Area" localSheetId="8">'Bond Points Spread '!$A$1:$AB$32</definedName>
    <definedName name="_xlnm.Print_Area" localSheetId="80">'Budget Process '!$A$1:$BC$44</definedName>
    <definedName name="_xlnm.Print_Area" localSheetId="51">'Civil Society'!$A$1:$U$44</definedName>
    <definedName name="_xlnm.Print_Area" localSheetId="13">'Competitiveness  '!$A$1:$T$133</definedName>
    <definedName name="_xlnm.Print_Area" localSheetId="55">'Confident in happy future'!$A$1:$AS$52</definedName>
    <definedName name="_xlnm.Print_Area" localSheetId="63">'Contact crime'!$A$1:$AD$40</definedName>
    <definedName name="_xlnm.Print_Area" localSheetId="68">'Conviction rate '!$A$1:$X$34</definedName>
    <definedName name="_xlnm.Print_Area" localSheetId="79">'Corruption '!$A$1:$AB$38</definedName>
    <definedName name="_xlnm.Print_Area" localSheetId="67">'Corruption Cases '!$A$1:$Q$37</definedName>
    <definedName name="_xlnm.Print_Area" localSheetId="57">'Country direction'!$A$1:$Q$50</definedName>
    <definedName name="_xlnm.Print_Area" localSheetId="61">'Crime rate  '!$A$1:$AE$38</definedName>
    <definedName name="_xlnm.Print_Area" localSheetId="60">'Crime Victims '!$A$1:$Y$60</definedName>
    <definedName name="_xlnm.Print_Area" localSheetId="18">'CWP '!$A$1:$S$44</definedName>
    <definedName name="_xlnm.Print_Area" localSheetId="73">'Development cooperation'!$A$1:$W$36</definedName>
    <definedName name="_xlnm.Print_Area" localSheetId="82">'Doing Business '!$A$1:$Y$63</definedName>
    <definedName name="_xlnm.Print_Area" localSheetId="65">'Drug-Related Crime '!$A$1:$V$49</definedName>
    <definedName name="_xlnm.Print_Area" localSheetId="25">'Dwellings '!$A$1:$AE$49</definedName>
    <definedName name="_xlnm.Print_Area" localSheetId="40">'ECD '!$A$1:$W$50</definedName>
    <definedName name="_xlnm.Print_Area" localSheetId="43">'Education Attainment and NE'!$A$1:$S$79</definedName>
    <definedName name="_xlnm.Print_Area" localSheetId="48">'Educational Perfomance  '!$A$1:$U$30</definedName>
    <definedName name="_xlnm.Print_Area" localSheetId="41">'Educator Learner ratio '!$A$1:$AV$47</definedName>
    <definedName name="_xlnm.Print_Area" localSheetId="28">'Electricity '!$A$1:$W$55</definedName>
    <definedName name="_xlnm.Print_Area" localSheetId="15">'Employed  '!$A$1:$X$57</definedName>
    <definedName name="_xlnm.Print_Area" localSheetId="17">'EPWP '!$A$1:$T$45</definedName>
    <definedName name="_xlnm.Print_Area" localSheetId="5">'G debt  '!$A$1:$AD$32</definedName>
    <definedName name="_xlnm.Print_Area" localSheetId="0">GDP!$A$1:$AE$57</definedName>
    <definedName name="_xlnm.Print_Area" localSheetId="1">'GDP per Capita  '!$A$1:$AF$62</definedName>
    <definedName name="_xlnm.Print_Area" localSheetId="42">'Gender parity index '!$A$1:$AB$69</definedName>
    <definedName name="_xlnm.Print_Area" localSheetId="3">'GFCF  '!$A$1:$AE$32</definedName>
    <definedName name="_xlnm.Print_Area" localSheetId="23">Grants!$A$1:$CQ$59</definedName>
    <definedName name="_xlnm.Print_Area" localSheetId="83">'Greenhouse Gas Emissions '!$A$1:$W$46</definedName>
    <definedName name="_xlnm.Print_Area" localSheetId="36">'HIV Prevalance '!$A$1:$AA$43</definedName>
    <definedName name="_xlnm.Print_Area" localSheetId="10">'ICT  '!$A$1:$Y$92</definedName>
    <definedName name="_xlnm.Print_Area" localSheetId="34">Immunization!$A$1:$AA$48</definedName>
    <definedName name="_xlnm.Print_Area" localSheetId="20">Inequality!$A$1:$T$83</definedName>
    <definedName name="_xlnm.Print_Area" localSheetId="32">'Infant &amp; Child mortality'!$A$1:$AB$40</definedName>
    <definedName name="_xlnm.Print_Area" localSheetId="7">'Inflation  '!$A$1:$AF$41</definedName>
    <definedName name="_xlnm.Print_Area" localSheetId="69">'Inmates '!$A$1:$AE$62</definedName>
    <definedName name="_xlnm.Print_Area" localSheetId="6">'Interest   '!$A$1:$AE$41</definedName>
    <definedName name="_xlnm.Print_Area" localSheetId="76">'International Agreements'!$A$1:$Y$40</definedName>
    <definedName name="_xlnm.Print_Area" localSheetId="30">'Land redistribution  '!$A$1:$AG$48</definedName>
    <definedName name="_xlnm.Print_Area" localSheetId="29">'Land restitution'!$A$1:$AE$54</definedName>
    <definedName name="_xlnm.Print_Area" localSheetId="31">'Life Expectancy '!$A$1:$X$54</definedName>
    <definedName name="_xlnm.Print_Area" localSheetId="46">'Literacy rate  '!$A$1:$AD$48</definedName>
    <definedName name="_xlnm.Print_Area" localSheetId="39">Malaria!$A$1:$AC$32</definedName>
    <definedName name="_xlnm.Print_Area" localSheetId="86">'Marine Biodiverity Protection'!$A$1:$N$48</definedName>
    <definedName name="_xlnm.Print_Area" localSheetId="35">'Maternal Mortality'!$A$1:$Z$38</definedName>
    <definedName name="_xlnm.Print_Area" localSheetId="45">'Mathematics pass rate '!$A$1:$AD$33</definedName>
    <definedName name="_xlnm.Print_Area" localSheetId="49">'Maths, science perf '!$A$1:$W$41</definedName>
    <definedName name="_xlnm.Print_Area" localSheetId="44">'Matric pass rate'!$A$1:$AL$48</definedName>
    <definedName name="_xlnm.Print_Area" localSheetId="75">Missions!$A$1:$Z$65</definedName>
    <definedName name="_xlnm.Print_Area" localSheetId="19">'Multidimensional poverty Index'!$A$1:$N$26</definedName>
    <definedName name="_xlnm.Print_Area" localSheetId="2">'NFDI   '!$A$1:$AE$34</definedName>
    <definedName name="_xlnm.Print_Area" localSheetId="71">'Parolees  '!$A$1:$AE$40</definedName>
    <definedName name="_xlnm.Print_Area" localSheetId="11">'Patents  '!$A$1:$AA$62</definedName>
    <definedName name="_xlnm.Print_Area" localSheetId="24">'Persons with disability '!$A$1:$BB$44</definedName>
    <definedName name="_xlnm.Print_Area" localSheetId="22">'Poverty Gap indices  '!$A$1:$R$40</definedName>
    <definedName name="_xlnm.Print_Area" localSheetId="21">'Poverty Headcount'!$A$1:$J$35</definedName>
    <definedName name="_xlnm.Print_Area" localSheetId="59">'Pride in being SA'!$A$1:$AS$50</definedName>
    <definedName name="_xlnm.Print_Area" localSheetId="62">'Property crime'!$A$1:$AE$36</definedName>
    <definedName name="_xlnm.Print_Area" localSheetId="81">'Public Opinion  '!$A$1:$AS$43</definedName>
    <definedName name="_xlnm.Print_Area" localSheetId="78">'Qualified Audits '!$A$1:$X$43</definedName>
    <definedName name="_xlnm.Print_Area" localSheetId="9">'R&amp;D  '!$A$1:$Y$52</definedName>
    <definedName name="_xlnm.Print_Area" localSheetId="56">'Race relations opinion'!$A$1:$Z$50</definedName>
    <definedName name="_xlnm.Print_Area" localSheetId="70">'Rehabilitation  '!$A$1:$AD$50</definedName>
    <definedName name="_xlnm.Print_Area" localSheetId="72">'Road Accident '!$A$1:$AE$36</definedName>
    <definedName name="_xlnm.Print_Area" localSheetId="27">Sanitation!$A$1:$X$64</definedName>
    <definedName name="_xlnm.Print_Area" localSheetId="58">'Self description'!$A$1:$R$37</definedName>
    <definedName name="_xlnm.Print_Area" localSheetId="64">'Serious robberies'!$A$1:$AC$42</definedName>
    <definedName name="_xlnm.Print_Area" localSheetId="47">'SET Uni '!$A$1:$AE$50</definedName>
    <definedName name="_xlnm.Print_Area" localSheetId="33">'Severe Acute Malnutrition'!$A$1:$Z$88</definedName>
    <definedName name="_xlnm.Print_Area" localSheetId="66">'Sexual offences '!$A$1:$Y$48</definedName>
    <definedName name="_xlnm.Print_Area" localSheetId="50">'Skills and training'!$A$1:$W$31</definedName>
    <definedName name="_xlnm.Print_Area" localSheetId="77">'Tax Admin '!$A$1:$AD$49</definedName>
    <definedName name="_xlnm.Print_Area" localSheetId="38">TB!$A$1:$AE$38</definedName>
    <definedName name="_xlnm.Print_Area" localSheetId="85">'Terresterial BIo'!$A$1:$N$49</definedName>
    <definedName name="_xlnm.Print_Area" localSheetId="74">Tourism!$A$1:$X$59</definedName>
    <definedName name="_xlnm.Print_Area" localSheetId="16">'Unempl '!$A$1:$X$71</definedName>
    <definedName name="_xlnm.Print_Area" localSheetId="52">'Voter Participation'!$A$1:$AF$27</definedName>
    <definedName name="_xlnm.Print_Area" localSheetId="53">'Voter prov'!$A$1:$U$40</definedName>
    <definedName name="_xlnm.Print_Area" localSheetId="26">'Water '!$A$1:$X$52</definedName>
    <definedName name="_xlnm.Print_Area" localSheetId="54">'Women legislative bodies'!$A$1:$AF$41</definedName>
    <definedName name="Z_3C387070_FAB5_453F_8FD1_D96D91C5600B_.wvu.PrintArea" localSheetId="30" hidden="1">'Land redistribution  '!$A$1:$Z$45</definedName>
    <definedName name="Z_3C387070_FAB5_453F_8FD1_D96D91C5600B_.wvu.PrintArea" localSheetId="29" hidden="1">'Land restitution'!$A$1:$X$54</definedName>
    <definedName name="Z_8BF1E157_35CB_4DD8_A2C7_E00CDEDBE1EA_.wvu.PrintArea" localSheetId="30" hidden="1">'Land redistribution  '!$A$1:$Z$45</definedName>
    <definedName name="Z_8BF1E157_35CB_4DD8_A2C7_E00CDEDBE1EA_.wvu.PrintArea" localSheetId="29" hidden="1">'Land restitution'!$A$1:$X$54</definedName>
    <definedName name="Z_AC293C0C_6A7E_4E08_8902_A017C77E0B74_.wvu.PrintArea" localSheetId="15" hidden="1">'Employed  '!$A$1:$J$55</definedName>
    <definedName name="Z_AC293C0C_6A7E_4E08_8902_A017C77E0B74_.wvu.PrintArea" localSheetId="16" hidden="1">'Unempl '!$A$1:$K$69</definedName>
    <definedName name="Z_C51F81C0_24A3_4F91_8877_BF313FC578AF_.wvu.PrintArea" localSheetId="15" hidden="1">'Employed  '!$A$1:$J$55</definedName>
    <definedName name="Z_C51F81C0_24A3_4F91_8877_BF313FC578AF_.wvu.PrintArea" localSheetId="16" hidden="1">'Unempl '!$A$1:$K$69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76" i="110" l="1"/>
  <c r="AA76" i="110"/>
  <c r="V76" i="110"/>
  <c r="T76" i="110"/>
  <c r="S76" i="110"/>
  <c r="R76" i="110"/>
  <c r="Q76" i="110"/>
  <c r="O76" i="110"/>
  <c r="N76" i="110"/>
  <c r="M76" i="110"/>
  <c r="J76" i="110"/>
  <c r="I76" i="110"/>
  <c r="H76" i="110"/>
  <c r="G76" i="110"/>
  <c r="F76" i="110"/>
  <c r="AC72" i="110"/>
  <c r="AB72" i="110"/>
  <c r="AA72" i="110"/>
  <c r="Z72" i="110"/>
  <c r="Y72" i="110"/>
  <c r="X72" i="110"/>
  <c r="W72" i="110"/>
  <c r="V72" i="110"/>
  <c r="U72" i="110"/>
  <c r="T72" i="110"/>
  <c r="S72" i="110"/>
  <c r="R72" i="110"/>
  <c r="Q72" i="110"/>
  <c r="P72" i="110"/>
  <c r="O72" i="110"/>
  <c r="N72" i="110"/>
  <c r="M72" i="110"/>
  <c r="L72" i="110"/>
  <c r="K72" i="110"/>
  <c r="J72" i="110"/>
  <c r="I72" i="110"/>
  <c r="H72" i="110"/>
  <c r="G72" i="110"/>
  <c r="F72" i="110"/>
  <c r="AC71" i="110"/>
  <c r="AB71" i="110"/>
  <c r="AA71" i="110"/>
  <c r="Z71" i="110"/>
  <c r="Y71" i="110"/>
  <c r="X71" i="110"/>
  <c r="W71" i="110"/>
  <c r="V71" i="110"/>
  <c r="U71" i="110"/>
  <c r="T71" i="110"/>
  <c r="S71" i="110"/>
  <c r="R71" i="110"/>
  <c r="Q71" i="110"/>
  <c r="P71" i="110"/>
  <c r="O71" i="110"/>
  <c r="N71" i="110"/>
  <c r="M71" i="110"/>
  <c r="L71" i="110"/>
  <c r="K71" i="110"/>
  <c r="J71" i="110"/>
  <c r="I71" i="110"/>
  <c r="H71" i="110"/>
  <c r="G71" i="110"/>
  <c r="F71" i="110"/>
  <c r="AC70" i="110"/>
  <c r="AB70" i="110"/>
  <c r="AA70" i="110"/>
  <c r="Z70" i="110"/>
  <c r="Y70" i="110"/>
  <c r="X70" i="110"/>
  <c r="W70" i="110"/>
  <c r="V70" i="110"/>
  <c r="U70" i="110"/>
  <c r="T70" i="110"/>
  <c r="S70" i="110"/>
  <c r="R70" i="110"/>
  <c r="Q70" i="110"/>
  <c r="P70" i="110"/>
  <c r="O70" i="110"/>
  <c r="N70" i="110"/>
  <c r="M70" i="110"/>
  <c r="L70" i="110"/>
  <c r="K70" i="110"/>
  <c r="J70" i="110"/>
  <c r="I70" i="110"/>
  <c r="H70" i="110"/>
  <c r="G70" i="110"/>
  <c r="F70" i="110"/>
  <c r="AC69" i="110"/>
  <c r="AB69" i="110"/>
  <c r="AA69" i="110"/>
  <c r="Z69" i="110"/>
  <c r="Y69" i="110"/>
  <c r="X69" i="110"/>
  <c r="W69" i="110"/>
  <c r="V69" i="110"/>
  <c r="U69" i="110"/>
  <c r="T69" i="110"/>
  <c r="S69" i="110"/>
  <c r="R69" i="110"/>
  <c r="Q69" i="110"/>
  <c r="P69" i="110"/>
  <c r="O69" i="110"/>
  <c r="N69" i="110"/>
  <c r="M69" i="110"/>
  <c r="L69" i="110"/>
  <c r="K69" i="110"/>
  <c r="J69" i="110"/>
  <c r="I69" i="110"/>
  <c r="H69" i="110"/>
  <c r="G69" i="110"/>
  <c r="F69" i="110"/>
  <c r="AC68" i="110"/>
  <c r="AB68" i="110"/>
  <c r="AA68" i="110"/>
  <c r="Z68" i="110"/>
  <c r="Y68" i="110"/>
  <c r="X68" i="110"/>
  <c r="W68" i="110"/>
  <c r="V68" i="110"/>
  <c r="U68" i="110"/>
  <c r="T68" i="110"/>
  <c r="S68" i="110"/>
  <c r="R68" i="110"/>
  <c r="Q68" i="110"/>
  <c r="P68" i="110"/>
  <c r="O68" i="110"/>
  <c r="N68" i="110"/>
  <c r="M68" i="110"/>
  <c r="L68" i="110"/>
  <c r="K68" i="110"/>
  <c r="J68" i="110"/>
  <c r="I68" i="110"/>
  <c r="H68" i="110"/>
  <c r="G68" i="110"/>
  <c r="F68" i="110"/>
  <c r="AC23" i="110"/>
  <c r="AB23" i="110"/>
  <c r="AA23" i="110"/>
  <c r="Z23" i="110"/>
  <c r="Y23" i="110"/>
  <c r="X23" i="110"/>
  <c r="W23" i="110"/>
  <c r="V23" i="110"/>
  <c r="U23" i="110"/>
  <c r="T23" i="110"/>
  <c r="S23" i="110"/>
  <c r="R23" i="110"/>
  <c r="Q23" i="110"/>
  <c r="P23" i="110"/>
  <c r="O23" i="110"/>
  <c r="N23" i="110"/>
  <c r="M23" i="110"/>
  <c r="L23" i="110"/>
  <c r="K23" i="110"/>
  <c r="J23" i="110"/>
  <c r="I23" i="110"/>
  <c r="H23" i="110"/>
  <c r="G23" i="110"/>
  <c r="AC10" i="110"/>
  <c r="AB10" i="110"/>
  <c r="AB76" i="110" s="1"/>
  <c r="AA10" i="110"/>
  <c r="Z10" i="110"/>
  <c r="Z76" i="110" s="1"/>
  <c r="Y10" i="110"/>
  <c r="Y76" i="110" s="1"/>
  <c r="X10" i="110"/>
  <c r="X76" i="110" s="1"/>
  <c r="W10" i="110"/>
  <c r="W76" i="110" s="1"/>
  <c r="V10" i="110"/>
  <c r="U10" i="110"/>
  <c r="U76" i="110" s="1"/>
  <c r="T10" i="110"/>
  <c r="S10" i="110"/>
  <c r="R10" i="110"/>
  <c r="Q10" i="110"/>
  <c r="P10" i="110"/>
  <c r="P76" i="110" s="1"/>
  <c r="O10" i="110"/>
  <c r="N10" i="110"/>
  <c r="M10" i="110"/>
  <c r="L10" i="110"/>
  <c r="L76" i="110" s="1"/>
  <c r="K10" i="110"/>
  <c r="K76" i="110" s="1"/>
  <c r="J10" i="110"/>
  <c r="I10" i="110"/>
  <c r="H10" i="110"/>
  <c r="G10" i="110"/>
  <c r="F10" i="110"/>
  <c r="H40" i="109" l="1"/>
  <c r="G40" i="109"/>
  <c r="F40" i="109"/>
  <c r="E40" i="109"/>
  <c r="H27" i="109"/>
  <c r="G27" i="109"/>
  <c r="F27" i="109"/>
  <c r="E27" i="109"/>
  <c r="H24" i="109"/>
  <c r="G24" i="109"/>
  <c r="F24" i="109"/>
  <c r="E24" i="109"/>
  <c r="S16" i="109"/>
  <c r="R16" i="109"/>
  <c r="Q16" i="109"/>
  <c r="P16" i="109"/>
  <c r="O16" i="109"/>
  <c r="N16" i="109"/>
  <c r="M16" i="109"/>
  <c r="L16" i="109"/>
  <c r="K16" i="109"/>
  <c r="J16" i="109"/>
  <c r="I16" i="109"/>
  <c r="H16" i="109"/>
  <c r="G16" i="109"/>
  <c r="F16" i="109"/>
  <c r="E16" i="109"/>
  <c r="E17" i="109" s="1"/>
  <c r="F17" i="109" s="1"/>
  <c r="G17" i="109" l="1"/>
  <c r="H17" i="109"/>
  <c r="I17" i="109" s="1"/>
  <c r="J17" i="109" s="1"/>
  <c r="K17" i="109" s="1"/>
  <c r="L17" i="109" s="1"/>
  <c r="M17" i="109" s="1"/>
  <c r="N17" i="109" s="1"/>
  <c r="O17" i="109" s="1"/>
  <c r="P17" i="109" s="1"/>
  <c r="Q17" i="109" s="1"/>
  <c r="R17" i="109" s="1"/>
  <c r="S17" i="109" s="1"/>
  <c r="N34" i="106"/>
  <c r="M34" i="106"/>
  <c r="N33" i="106"/>
  <c r="M33" i="106"/>
  <c r="N32" i="106"/>
  <c r="M32" i="106"/>
  <c r="N31" i="106"/>
  <c r="M31" i="106"/>
  <c r="N30" i="106"/>
  <c r="M30" i="106"/>
  <c r="N29" i="106"/>
  <c r="M29" i="106"/>
  <c r="N28" i="106"/>
  <c r="M28" i="106"/>
  <c r="N27" i="106"/>
  <c r="M27" i="106"/>
  <c r="N26" i="106"/>
  <c r="M26" i="106"/>
  <c r="C2" i="106"/>
  <c r="AE19" i="104"/>
  <c r="AD19" i="104"/>
  <c r="AC19" i="104"/>
  <c r="AB19" i="104"/>
  <c r="AA19" i="104"/>
  <c r="Z19" i="104"/>
  <c r="Y19" i="104"/>
  <c r="X19" i="104"/>
  <c r="C2" i="104"/>
  <c r="AC58" i="103"/>
  <c r="AC56" i="103"/>
  <c r="U26" i="103"/>
  <c r="K26" i="103"/>
  <c r="F26" i="103"/>
  <c r="U25" i="103"/>
  <c r="K25" i="103"/>
  <c r="F25" i="103"/>
  <c r="U24" i="103"/>
  <c r="K24" i="103"/>
  <c r="F24" i="103"/>
  <c r="U23" i="103"/>
  <c r="K23" i="103"/>
  <c r="F23" i="103"/>
  <c r="U22" i="103"/>
  <c r="K22" i="103"/>
  <c r="F22" i="103"/>
  <c r="U21" i="103"/>
  <c r="K21" i="103"/>
  <c r="F21" i="103"/>
  <c r="U20" i="103"/>
  <c r="K20" i="103"/>
  <c r="F20" i="103"/>
  <c r="U19" i="103"/>
  <c r="K19" i="103"/>
  <c r="F19" i="103"/>
  <c r="W18" i="103"/>
  <c r="U18" i="103"/>
  <c r="K18" i="103"/>
  <c r="F18" i="103"/>
  <c r="U17" i="103"/>
  <c r="K17" i="103"/>
  <c r="F17" i="103"/>
  <c r="I13" i="103"/>
  <c r="H13" i="103"/>
  <c r="G13" i="103"/>
  <c r="E13" i="103"/>
  <c r="AC11" i="103"/>
  <c r="AC9" i="103"/>
  <c r="E7" i="102"/>
  <c r="AG25" i="101"/>
  <c r="AF25" i="101"/>
  <c r="AE25" i="101"/>
  <c r="AB25" i="101"/>
  <c r="U25" i="101"/>
  <c r="T25" i="101"/>
  <c r="P25" i="101"/>
  <c r="L25" i="101"/>
  <c r="K25" i="101"/>
  <c r="M25" i="101" s="1"/>
  <c r="I25" i="101"/>
  <c r="H25" i="101"/>
  <c r="F25" i="101"/>
  <c r="G25" i="101" s="1"/>
  <c r="E25" i="101"/>
  <c r="AE24" i="101"/>
  <c r="AB24" i="101"/>
  <c r="P24" i="101"/>
  <c r="M24" i="101"/>
  <c r="J24" i="101"/>
  <c r="G24" i="101"/>
  <c r="AE23" i="101"/>
  <c r="AB23" i="101"/>
  <c r="P23" i="101"/>
  <c r="M23" i="101"/>
  <c r="J23" i="101"/>
  <c r="G23" i="101"/>
  <c r="AE22" i="101"/>
  <c r="AB22" i="101"/>
  <c r="P22" i="101"/>
  <c r="M22" i="101"/>
  <c r="J22" i="101"/>
  <c r="G22" i="101"/>
  <c r="AE21" i="101"/>
  <c r="AB21" i="101"/>
  <c r="P21" i="101"/>
  <c r="M21" i="101"/>
  <c r="J21" i="101"/>
  <c r="G21" i="101"/>
  <c r="AE20" i="101"/>
  <c r="AB20" i="101"/>
  <c r="P20" i="101"/>
  <c r="M20" i="101"/>
  <c r="J20" i="101"/>
  <c r="G20" i="101"/>
  <c r="AE19" i="101"/>
  <c r="AB19" i="101"/>
  <c r="P19" i="101"/>
  <c r="M19" i="101"/>
  <c r="J19" i="101"/>
  <c r="G19" i="101"/>
  <c r="AE18" i="101"/>
  <c r="AB18" i="101"/>
  <c r="P18" i="101"/>
  <c r="M18" i="101"/>
  <c r="J18" i="101"/>
  <c r="G18" i="101"/>
  <c r="AE17" i="101"/>
  <c r="AB17" i="101"/>
  <c r="P17" i="101"/>
  <c r="M17" i="101"/>
  <c r="J17" i="101"/>
  <c r="G17" i="101"/>
  <c r="AE16" i="101"/>
  <c r="AB16" i="101"/>
  <c r="P16" i="101"/>
  <c r="M16" i="101"/>
  <c r="J16" i="101"/>
  <c r="G16" i="101"/>
  <c r="E6" i="101"/>
  <c r="Q23" i="100"/>
  <c r="Z19" i="99"/>
  <c r="Z15" i="99"/>
  <c r="Z11" i="99"/>
  <c r="AS24" i="98"/>
  <c r="AT20" i="98" s="1"/>
  <c r="AQ24" i="98"/>
  <c r="AR18" i="98" s="1"/>
  <c r="AO24" i="98"/>
  <c r="AP23" i="98" s="1"/>
  <c r="AK24" i="98"/>
  <c r="AJ24" i="98"/>
  <c r="AI24" i="98"/>
  <c r="AH24" i="98"/>
  <c r="AL24" i="98" s="1"/>
  <c r="AG24" i="98"/>
  <c r="AF24" i="98"/>
  <c r="AA24" i="98"/>
  <c r="AB21" i="98" s="1"/>
  <c r="Y24" i="98"/>
  <c r="Z19" i="98" s="1"/>
  <c r="W24" i="98"/>
  <c r="X22" i="98" s="1"/>
  <c r="R24" i="98"/>
  <c r="S16" i="98" s="1"/>
  <c r="P24" i="98"/>
  <c r="N24" i="98"/>
  <c r="T24" i="98" s="1"/>
  <c r="K24" i="98"/>
  <c r="H24" i="98"/>
  <c r="AU23" i="98"/>
  <c r="AL23" i="98"/>
  <c r="AC23" i="98"/>
  <c r="X23" i="98"/>
  <c r="T23" i="98"/>
  <c r="S23" i="98"/>
  <c r="Q23" i="98"/>
  <c r="O23" i="98"/>
  <c r="K23" i="98"/>
  <c r="J23" i="98"/>
  <c r="H23" i="98"/>
  <c r="F23" i="98"/>
  <c r="AU22" i="98"/>
  <c r="AT22" i="98"/>
  <c r="AL22" i="98"/>
  <c r="AC22" i="98"/>
  <c r="T22" i="98"/>
  <c r="S22" i="98"/>
  <c r="Q22" i="98"/>
  <c r="O22" i="98"/>
  <c r="K22" i="98"/>
  <c r="J22" i="98"/>
  <c r="H22" i="98"/>
  <c r="F22" i="98"/>
  <c r="AU21" i="98"/>
  <c r="AL21" i="98"/>
  <c r="AC21" i="98"/>
  <c r="X21" i="98"/>
  <c r="T21" i="98"/>
  <c r="S21" i="98"/>
  <c r="Q21" i="98"/>
  <c r="O21" i="98"/>
  <c r="K21" i="98"/>
  <c r="J21" i="98"/>
  <c r="H21" i="98"/>
  <c r="F21" i="98"/>
  <c r="AU20" i="98"/>
  <c r="AL20" i="98"/>
  <c r="AC20" i="98"/>
  <c r="Z20" i="98"/>
  <c r="X20" i="98"/>
  <c r="T20" i="98"/>
  <c r="Q20" i="98"/>
  <c r="O20" i="98"/>
  <c r="K20" i="98"/>
  <c r="J20" i="98"/>
  <c r="H20" i="98"/>
  <c r="F20" i="98"/>
  <c r="AU19" i="98"/>
  <c r="AR19" i="98"/>
  <c r="AL19" i="98"/>
  <c r="AC19" i="98"/>
  <c r="X19" i="98"/>
  <c r="T19" i="98"/>
  <c r="S19" i="98"/>
  <c r="Q19" i="98"/>
  <c r="O19" i="98"/>
  <c r="K19" i="98"/>
  <c r="J19" i="98"/>
  <c r="H19" i="98"/>
  <c r="F19" i="98"/>
  <c r="AU18" i="98"/>
  <c r="AT18" i="98"/>
  <c r="AL18" i="98"/>
  <c r="AC18" i="98"/>
  <c r="Z18" i="98"/>
  <c r="X18" i="98"/>
  <c r="T18" i="98"/>
  <c r="Q18" i="98"/>
  <c r="O18" i="98"/>
  <c r="K18" i="98"/>
  <c r="J18" i="98"/>
  <c r="H18" i="98"/>
  <c r="F18" i="98"/>
  <c r="AU17" i="98"/>
  <c r="AR17" i="98"/>
  <c r="AL17" i="98"/>
  <c r="AC17" i="98"/>
  <c r="X17" i="98"/>
  <c r="T17" i="98"/>
  <c r="S17" i="98"/>
  <c r="Q17" i="98"/>
  <c r="O17" i="98"/>
  <c r="K17" i="98"/>
  <c r="J17" i="98"/>
  <c r="H17" i="98"/>
  <c r="F17" i="98"/>
  <c r="AU16" i="98"/>
  <c r="AL16" i="98"/>
  <c r="AC16" i="98"/>
  <c r="X16" i="98"/>
  <c r="T16" i="98"/>
  <c r="Q16" i="98"/>
  <c r="O16" i="98"/>
  <c r="K16" i="98"/>
  <c r="J16" i="98"/>
  <c r="H16" i="98"/>
  <c r="F16" i="98"/>
  <c r="AU15" i="98"/>
  <c r="AR15" i="98"/>
  <c r="AL15" i="98"/>
  <c r="AC15" i="98"/>
  <c r="AB15" i="98"/>
  <c r="X15" i="98"/>
  <c r="X24" i="98" s="1"/>
  <c r="T15" i="98"/>
  <c r="S15" i="98"/>
  <c r="Q15" i="98"/>
  <c r="Q24" i="98" s="1"/>
  <c r="O15" i="98"/>
  <c r="O24" i="98" s="1"/>
  <c r="K15" i="98"/>
  <c r="J15" i="98"/>
  <c r="J24" i="98" s="1"/>
  <c r="H15" i="98"/>
  <c r="F15" i="98"/>
  <c r="F24" i="98" s="1"/>
  <c r="W10" i="98"/>
  <c r="V10" i="98"/>
  <c r="T10" i="98"/>
  <c r="R10" i="98"/>
  <c r="P10" i="98"/>
  <c r="O10" i="98"/>
  <c r="N10" i="98"/>
  <c r="M10" i="98"/>
  <c r="L10" i="98"/>
  <c r="K10" i="98"/>
  <c r="J10" i="98"/>
  <c r="I10" i="98"/>
  <c r="H10" i="98"/>
  <c r="G10" i="98"/>
  <c r="F10" i="98"/>
  <c r="E10" i="98"/>
  <c r="C2" i="99"/>
  <c r="S24" i="98" l="1"/>
  <c r="AR16" i="98"/>
  <c r="Z17" i="98"/>
  <c r="S20" i="98"/>
  <c r="AP21" i="98"/>
  <c r="AT23" i="98"/>
  <c r="AP16" i="98"/>
  <c r="AR23" i="98"/>
  <c r="AT16" i="98"/>
  <c r="AB17" i="98"/>
  <c r="AR21" i="98"/>
  <c r="Z22" i="98"/>
  <c r="AB19" i="98"/>
  <c r="AB24" i="98" s="1"/>
  <c r="Z15" i="98"/>
  <c r="S18" i="98"/>
  <c r="AP19" i="98"/>
  <c r="AT21" i="98"/>
  <c r="AB22" i="98"/>
  <c r="AP17" i="98"/>
  <c r="AT19" i="98"/>
  <c r="AB20" i="98"/>
  <c r="AP24" i="98"/>
  <c r="AP22" i="98"/>
  <c r="AP15" i="98"/>
  <c r="AT17" i="98"/>
  <c r="AB18" i="98"/>
  <c r="AR22" i="98"/>
  <c r="Z23" i="98"/>
  <c r="AR24" i="98"/>
  <c r="Z16" i="98"/>
  <c r="AP20" i="98"/>
  <c r="AC24" i="98"/>
  <c r="AB23" i="98"/>
  <c r="AT15" i="98"/>
  <c r="AB16" i="98"/>
  <c r="AR20" i="98"/>
  <c r="Z21" i="98"/>
  <c r="AT24" i="98"/>
  <c r="AP18" i="98"/>
  <c r="AU24" i="98"/>
  <c r="Z24" i="98" l="1"/>
  <c r="AD43" i="95" l="1"/>
  <c r="AC43" i="95"/>
  <c r="AB43" i="95"/>
  <c r="AA43" i="95"/>
  <c r="Z43" i="95"/>
  <c r="Y43" i="95"/>
  <c r="X43" i="95"/>
  <c r="W43" i="95"/>
  <c r="V43" i="95"/>
  <c r="U43" i="95"/>
  <c r="T43" i="95"/>
  <c r="S43" i="95"/>
  <c r="R43" i="95"/>
  <c r="Q43" i="95"/>
  <c r="P43" i="95"/>
  <c r="O43" i="95"/>
  <c r="N43" i="95"/>
  <c r="M43" i="95"/>
  <c r="L43" i="95"/>
  <c r="K43" i="95"/>
  <c r="J43" i="95"/>
  <c r="I43" i="95"/>
  <c r="H43" i="95"/>
  <c r="G43" i="95"/>
  <c r="F43" i="95"/>
  <c r="E43" i="95"/>
  <c r="G27" i="95"/>
  <c r="H27" i="95" s="1"/>
  <c r="I27" i="95" s="1"/>
  <c r="J27" i="95" s="1"/>
  <c r="K27" i="95" s="1"/>
  <c r="L27" i="95" s="1"/>
  <c r="M27" i="95" s="1"/>
  <c r="N27" i="95" s="1"/>
  <c r="O27" i="95" s="1"/>
  <c r="P27" i="95" s="1"/>
  <c r="Q27" i="95" s="1"/>
  <c r="R27" i="95" s="1"/>
  <c r="S27" i="95" s="1"/>
  <c r="T27" i="95" s="1"/>
  <c r="U27" i="95" s="1"/>
  <c r="V27" i="95" s="1"/>
  <c r="W27" i="95" s="1"/>
  <c r="X27" i="95" s="1"/>
  <c r="Y27" i="95" s="1"/>
  <c r="Z27" i="95" s="1"/>
  <c r="AA27" i="95" s="1"/>
  <c r="AB27" i="95" s="1"/>
  <c r="AC27" i="95" s="1"/>
  <c r="AD27" i="95" s="1"/>
  <c r="G35" i="94" l="1"/>
  <c r="H35" i="94" s="1"/>
  <c r="I35" i="94" s="1"/>
  <c r="J35" i="94" s="1"/>
  <c r="K35" i="94" s="1"/>
  <c r="L35" i="94" s="1"/>
  <c r="M35" i="94" s="1"/>
  <c r="N35" i="94" s="1"/>
  <c r="O35" i="94" s="1"/>
  <c r="P35" i="94" s="1"/>
  <c r="Q35" i="94" s="1"/>
  <c r="R35" i="94" s="1"/>
  <c r="S35" i="94" s="1"/>
  <c r="T35" i="94" s="1"/>
  <c r="U35" i="94" s="1"/>
  <c r="F35" i="94"/>
  <c r="G30" i="94"/>
  <c r="H30" i="94" s="1"/>
  <c r="I30" i="94" s="1"/>
  <c r="J30" i="94" s="1"/>
  <c r="K30" i="94" s="1"/>
  <c r="L30" i="94" s="1"/>
  <c r="M30" i="94" s="1"/>
  <c r="N30" i="94" s="1"/>
  <c r="O30" i="94" s="1"/>
  <c r="P30" i="94" s="1"/>
  <c r="Q30" i="94" s="1"/>
  <c r="R30" i="94" s="1"/>
  <c r="S30" i="94" s="1"/>
  <c r="T30" i="94" s="1"/>
  <c r="U30" i="94" s="1"/>
  <c r="F30" i="94"/>
  <c r="U12" i="94"/>
  <c r="T12" i="94"/>
  <c r="S12" i="94"/>
  <c r="T11" i="94"/>
  <c r="P11" i="94"/>
  <c r="O11" i="94"/>
  <c r="L11" i="94"/>
  <c r="H11" i="94"/>
  <c r="G11" i="94"/>
  <c r="V10" i="94"/>
  <c r="V12" i="94" s="1"/>
  <c r="U10" i="94"/>
  <c r="U11" i="94" s="1"/>
  <c r="T10" i="94"/>
  <c r="S10" i="94"/>
  <c r="S11" i="94" s="1"/>
  <c r="R10" i="94"/>
  <c r="R12" i="94" s="1"/>
  <c r="Q10" i="94"/>
  <c r="Q11" i="94" s="1"/>
  <c r="P10" i="94"/>
  <c r="O10" i="94"/>
  <c r="N10" i="94"/>
  <c r="N11" i="94" s="1"/>
  <c r="M10" i="94"/>
  <c r="M11" i="94" s="1"/>
  <c r="L10" i="94"/>
  <c r="K10" i="94"/>
  <c r="K11" i="94" s="1"/>
  <c r="J10" i="94"/>
  <c r="J11" i="94" s="1"/>
  <c r="I10" i="94"/>
  <c r="I11" i="94" s="1"/>
  <c r="H10" i="94"/>
  <c r="G10" i="94"/>
  <c r="F10" i="94"/>
  <c r="F11" i="94" s="1"/>
  <c r="E10" i="94"/>
  <c r="E11" i="94" s="1"/>
  <c r="R11" i="94" l="1"/>
  <c r="W15" i="69" l="1"/>
  <c r="W11" i="69"/>
  <c r="F30" i="12" l="1"/>
  <c r="G30" i="12"/>
  <c r="H30" i="12"/>
  <c r="I30" i="12"/>
  <c r="J30" i="12"/>
  <c r="K30" i="12"/>
  <c r="L30" i="12"/>
  <c r="M30" i="12"/>
  <c r="N30" i="12"/>
  <c r="O30" i="12"/>
  <c r="P30" i="12"/>
  <c r="Q30" i="12"/>
  <c r="R30" i="12"/>
  <c r="S30" i="12"/>
  <c r="T30" i="12"/>
  <c r="U30" i="12"/>
  <c r="AH75" i="86" l="1"/>
  <c r="AF75" i="86"/>
  <c r="AD75" i="86"/>
  <c r="AB75" i="86"/>
  <c r="Z75" i="86"/>
  <c r="X75" i="86"/>
  <c r="V75" i="86"/>
  <c r="U75" i="86"/>
  <c r="S75" i="86"/>
  <c r="Q75" i="86"/>
  <c r="O75" i="86"/>
  <c r="M75" i="86"/>
  <c r="K75" i="86"/>
  <c r="I75" i="86"/>
  <c r="G75" i="86"/>
  <c r="E75" i="86"/>
  <c r="AQ10" i="86"/>
  <c r="AO10" i="86"/>
  <c r="AM10" i="86"/>
  <c r="AK10" i="86"/>
  <c r="AI10" i="86"/>
  <c r="AG10" i="86"/>
  <c r="AE10" i="86"/>
  <c r="AC10" i="86"/>
  <c r="AA10" i="86"/>
  <c r="Y10" i="86"/>
  <c r="W10" i="86"/>
  <c r="U10" i="86"/>
  <c r="S10" i="86"/>
  <c r="Q10" i="86"/>
  <c r="O10" i="86"/>
  <c r="M10" i="86"/>
  <c r="K10" i="86"/>
  <c r="I10" i="86"/>
  <c r="G10" i="86"/>
  <c r="E10" i="86"/>
  <c r="E6" i="86"/>
  <c r="W22" i="83"/>
  <c r="V22" i="83"/>
  <c r="U22" i="83"/>
  <c r="T22" i="83"/>
  <c r="S22" i="83"/>
  <c r="R22" i="83"/>
  <c r="Q22" i="83"/>
  <c r="P22" i="83"/>
  <c r="O22" i="83"/>
  <c r="N22" i="83"/>
  <c r="M22" i="83"/>
  <c r="L22" i="83"/>
  <c r="K22" i="83"/>
  <c r="J22" i="83"/>
  <c r="I22" i="83"/>
  <c r="H22" i="83"/>
  <c r="G22" i="83"/>
  <c r="F22" i="83"/>
  <c r="W18" i="83"/>
  <c r="V18" i="83"/>
  <c r="U18" i="83"/>
  <c r="Q18" i="83"/>
  <c r="P18" i="83"/>
  <c r="O18" i="83"/>
  <c r="N18" i="83"/>
  <c r="M18" i="83"/>
  <c r="L18" i="83"/>
  <c r="K18" i="83"/>
  <c r="J18" i="83"/>
  <c r="I18" i="83"/>
  <c r="H18" i="83"/>
  <c r="G18" i="83"/>
  <c r="F18" i="83"/>
  <c r="E18" i="83"/>
  <c r="W14" i="83"/>
  <c r="V14" i="83"/>
  <c r="U14" i="83"/>
  <c r="T14" i="83"/>
  <c r="S14" i="83"/>
  <c r="R14" i="83"/>
  <c r="Q14" i="83"/>
  <c r="P14" i="83"/>
  <c r="O14" i="83"/>
  <c r="N14" i="83"/>
  <c r="M14" i="83"/>
  <c r="L14" i="83"/>
  <c r="K14" i="83"/>
  <c r="J14" i="83"/>
  <c r="I14" i="83"/>
  <c r="H14" i="83"/>
  <c r="G14" i="83"/>
  <c r="F14" i="83"/>
  <c r="E14" i="83"/>
  <c r="W10" i="83"/>
  <c r="V10" i="83"/>
  <c r="U10" i="83"/>
  <c r="T10" i="83"/>
  <c r="S10" i="83"/>
  <c r="R10" i="83"/>
  <c r="Q10" i="83"/>
  <c r="P10" i="83"/>
  <c r="O10" i="83"/>
  <c r="N10" i="83"/>
  <c r="M9" i="83"/>
  <c r="M10" i="83" s="1"/>
  <c r="L10" i="83"/>
  <c r="K10" i="83"/>
  <c r="J10" i="83"/>
  <c r="I10" i="83"/>
  <c r="H10" i="83"/>
  <c r="G10" i="83"/>
  <c r="F10" i="83"/>
  <c r="E10" i="83"/>
  <c r="C2" i="81"/>
  <c r="T63" i="80"/>
  <c r="S63" i="80"/>
  <c r="Q63" i="80"/>
  <c r="O63" i="80"/>
  <c r="M63" i="80"/>
  <c r="L63" i="80"/>
  <c r="K63" i="80"/>
  <c r="J63" i="80"/>
  <c r="Q31" i="80"/>
  <c r="P31" i="80"/>
  <c r="O31" i="80"/>
  <c r="N31" i="80"/>
  <c r="L31" i="80"/>
  <c r="J31" i="80"/>
  <c r="I31" i="80"/>
  <c r="H31" i="80"/>
  <c r="G31" i="80"/>
  <c r="Q18" i="80"/>
  <c r="P18" i="80"/>
  <c r="O18" i="80"/>
  <c r="N18" i="80"/>
  <c r="R14" i="80"/>
  <c r="Q14" i="80"/>
  <c r="P14" i="80"/>
  <c r="O14" i="80"/>
  <c r="N14" i="80"/>
  <c r="P9" i="78"/>
  <c r="O9" i="78"/>
  <c r="N9" i="78"/>
  <c r="L9" i="78"/>
  <c r="K9" i="78"/>
  <c r="J9" i="78"/>
  <c r="I9" i="78"/>
  <c r="H9" i="78"/>
  <c r="G9" i="78"/>
  <c r="F9" i="78"/>
  <c r="E9" i="78"/>
  <c r="AD11" i="77"/>
  <c r="AC11" i="77"/>
  <c r="AB11" i="77"/>
  <c r="AA11" i="77"/>
  <c r="Z11" i="77"/>
  <c r="Y11" i="77"/>
  <c r="X11" i="77"/>
  <c r="W11" i="77"/>
  <c r="V11" i="77"/>
  <c r="U11" i="77"/>
  <c r="T11" i="77"/>
  <c r="S11" i="77"/>
  <c r="R11" i="77"/>
  <c r="Q11" i="77"/>
  <c r="P11" i="77"/>
  <c r="O11" i="77"/>
  <c r="N11" i="77"/>
  <c r="M11" i="77"/>
  <c r="L11" i="77"/>
  <c r="K11" i="77"/>
  <c r="J11" i="77"/>
  <c r="I11" i="77"/>
  <c r="H11" i="77"/>
  <c r="G11" i="77"/>
  <c r="F11" i="77"/>
  <c r="E11" i="77"/>
  <c r="AD10" i="77"/>
  <c r="AC10" i="77"/>
  <c r="AB10" i="77"/>
  <c r="AA10" i="77"/>
  <c r="Z10" i="77"/>
  <c r="Y10" i="77"/>
  <c r="V10" i="77"/>
  <c r="U10" i="77"/>
  <c r="T10" i="77"/>
  <c r="S10" i="77"/>
  <c r="R10" i="77"/>
  <c r="Q10" i="77"/>
  <c r="P10" i="77"/>
  <c r="O10" i="77"/>
  <c r="N10" i="77"/>
  <c r="M10" i="77"/>
  <c r="L10" i="77"/>
  <c r="K10" i="77"/>
  <c r="J10" i="77"/>
  <c r="I10" i="77"/>
  <c r="H10" i="77"/>
  <c r="G10" i="77"/>
  <c r="F10" i="77"/>
  <c r="E10" i="77"/>
  <c r="AD9" i="77"/>
  <c r="AC9" i="77"/>
  <c r="AB9" i="77"/>
  <c r="AA9" i="77"/>
  <c r="Z9" i="77"/>
  <c r="Y9" i="77"/>
  <c r="X9" i="77"/>
  <c r="W9" i="77"/>
  <c r="V9" i="77"/>
  <c r="U9" i="77"/>
  <c r="T9" i="77"/>
  <c r="S9" i="77"/>
  <c r="R9" i="77"/>
  <c r="Q9" i="77"/>
  <c r="P9" i="77"/>
  <c r="O9" i="77"/>
  <c r="N9" i="77"/>
  <c r="M9" i="77"/>
  <c r="L9" i="77"/>
  <c r="K9" i="77"/>
  <c r="J9" i="77"/>
  <c r="I9" i="77"/>
  <c r="H9" i="77"/>
  <c r="G9" i="77"/>
  <c r="F9" i="77"/>
  <c r="E9" i="77"/>
  <c r="AD17" i="76"/>
  <c r="Z17" i="76"/>
  <c r="Y17" i="76"/>
  <c r="X17" i="76"/>
  <c r="W17" i="76"/>
  <c r="V17" i="76"/>
  <c r="U17" i="76"/>
  <c r="T17" i="76"/>
  <c r="S17" i="76"/>
  <c r="R17" i="76"/>
  <c r="Q17" i="76"/>
  <c r="P17" i="76"/>
  <c r="O17" i="76"/>
  <c r="N17" i="76"/>
  <c r="M17" i="76"/>
  <c r="L17" i="76"/>
  <c r="K17" i="76"/>
  <c r="J17" i="76"/>
  <c r="I17" i="76"/>
  <c r="H17" i="76"/>
  <c r="G17" i="76"/>
  <c r="F17" i="76"/>
  <c r="AA15" i="76"/>
  <c r="AD11" i="76"/>
  <c r="X11" i="76"/>
  <c r="W11" i="76"/>
  <c r="V11" i="76"/>
  <c r="U11" i="76"/>
  <c r="T11" i="76"/>
  <c r="S11" i="76"/>
  <c r="R11" i="76"/>
  <c r="Q11" i="76"/>
  <c r="P11" i="76"/>
  <c r="O11" i="76"/>
  <c r="N11" i="76"/>
  <c r="M11" i="76"/>
  <c r="L11" i="76"/>
  <c r="K11" i="76"/>
  <c r="J11" i="76"/>
  <c r="I11" i="76"/>
  <c r="H11" i="76"/>
  <c r="G11" i="76"/>
  <c r="F11" i="76"/>
  <c r="AC9" i="76"/>
  <c r="AB9" i="76"/>
  <c r="AA9" i="76"/>
  <c r="AC22" i="75"/>
  <c r="AC23" i="75"/>
  <c r="AC24" i="75"/>
  <c r="AB24" i="75"/>
  <c r="AA24" i="75"/>
  <c r="Y24" i="75"/>
  <c r="X24" i="75"/>
  <c r="U24" i="75"/>
  <c r="T24" i="75"/>
  <c r="S24" i="75"/>
  <c r="R24" i="75"/>
  <c r="Q24" i="75"/>
  <c r="P24" i="75"/>
  <c r="O24" i="75"/>
  <c r="N24" i="75"/>
  <c r="M24" i="75"/>
  <c r="L24" i="75"/>
  <c r="K24" i="75"/>
  <c r="J24" i="75"/>
  <c r="I24" i="75"/>
  <c r="H24" i="75"/>
  <c r="G24" i="75"/>
  <c r="F24" i="75"/>
  <c r="E24" i="75"/>
  <c r="AC18" i="75"/>
  <c r="AA18" i="75"/>
  <c r="Z18" i="75"/>
  <c r="Y18" i="75"/>
  <c r="X18" i="75"/>
  <c r="W18" i="75"/>
  <c r="V18" i="75"/>
  <c r="U18" i="75"/>
  <c r="T18" i="75"/>
  <c r="S18" i="75"/>
  <c r="R18" i="75"/>
  <c r="Q18" i="75"/>
  <c r="P18" i="75"/>
  <c r="O18" i="75"/>
  <c r="N18" i="75"/>
  <c r="M18" i="75"/>
  <c r="L18" i="75"/>
  <c r="K18" i="75"/>
  <c r="J18" i="75"/>
  <c r="I18" i="75"/>
  <c r="H18" i="75"/>
  <c r="G18" i="75"/>
  <c r="F18" i="75"/>
  <c r="E18" i="75"/>
  <c r="AC10" i="75"/>
  <c r="W10" i="75"/>
  <c r="V10" i="75"/>
  <c r="U10" i="75"/>
  <c r="T10" i="75"/>
  <c r="S10" i="75"/>
  <c r="R10" i="75"/>
  <c r="Q10" i="75"/>
  <c r="P10" i="75"/>
  <c r="O10" i="75"/>
  <c r="N10" i="75"/>
  <c r="M10" i="75"/>
  <c r="L10" i="75"/>
  <c r="K10" i="75"/>
  <c r="J10" i="75"/>
  <c r="I10" i="75"/>
  <c r="H10" i="75"/>
  <c r="G10" i="75"/>
  <c r="AD35" i="74"/>
  <c r="AC35" i="74"/>
  <c r="AB35" i="74"/>
  <c r="AA35" i="74"/>
  <c r="Z35" i="74"/>
  <c r="Y35" i="74"/>
  <c r="X12" i="74"/>
  <c r="X35" i="74" s="1"/>
  <c r="W35" i="74"/>
  <c r="V12" i="74"/>
  <c r="V13" i="74"/>
  <c r="V35" i="74" s="1"/>
  <c r="U12" i="74"/>
  <c r="U13" i="74"/>
  <c r="U35" i="74" s="1"/>
  <c r="AD34" i="74"/>
  <c r="AC34" i="74"/>
  <c r="AB34" i="74"/>
  <c r="AA34" i="74"/>
  <c r="Z34" i="74"/>
  <c r="Y34" i="74"/>
  <c r="X9" i="74"/>
  <c r="X10" i="74"/>
  <c r="X34" i="74" s="1"/>
  <c r="W9" i="74"/>
  <c r="W10" i="74"/>
  <c r="W34" i="74" s="1"/>
  <c r="V9" i="74"/>
  <c r="V34" i="74" s="1"/>
  <c r="V10" i="74"/>
  <c r="V11" i="74" s="1"/>
  <c r="U9" i="74"/>
  <c r="U10" i="74"/>
  <c r="U34" i="74"/>
  <c r="AD11" i="74"/>
  <c r="AC11" i="74"/>
  <c r="AB11" i="74"/>
  <c r="AA11" i="74"/>
  <c r="Z11" i="74"/>
  <c r="Y11" i="74"/>
  <c r="U11" i="74"/>
  <c r="T11" i="74"/>
  <c r="S11" i="74"/>
  <c r="R11" i="74"/>
  <c r="Q11" i="74"/>
  <c r="P11" i="74"/>
  <c r="O11" i="74"/>
  <c r="N11" i="74"/>
  <c r="M11" i="74"/>
  <c r="L11" i="74"/>
  <c r="K11" i="74"/>
  <c r="J11" i="74"/>
  <c r="I11" i="74"/>
  <c r="H11" i="74"/>
  <c r="G11" i="74"/>
  <c r="F11" i="74"/>
  <c r="U27" i="73"/>
  <c r="W27" i="73" s="1"/>
  <c r="U26" i="73"/>
  <c r="W26" i="73" s="1"/>
  <c r="U25" i="73"/>
  <c r="W25" i="73" s="1"/>
  <c r="U24" i="73"/>
  <c r="W24" i="73" s="1"/>
  <c r="U20" i="73"/>
  <c r="W20" i="73" s="1"/>
  <c r="T20" i="73"/>
  <c r="S20" i="73"/>
  <c r="P20" i="73"/>
  <c r="M20" i="73"/>
  <c r="L20" i="73"/>
  <c r="K20" i="73"/>
  <c r="J20" i="73"/>
  <c r="I20" i="73"/>
  <c r="H20" i="73"/>
  <c r="G20" i="73"/>
  <c r="F20" i="73"/>
  <c r="E20" i="73"/>
  <c r="L19" i="73"/>
  <c r="K19" i="73"/>
  <c r="J19" i="73"/>
  <c r="L17" i="73"/>
  <c r="K17" i="73"/>
  <c r="J17" i="73"/>
  <c r="I17" i="73"/>
  <c r="H17" i="73"/>
  <c r="G17" i="73"/>
  <c r="F17" i="73"/>
  <c r="E17" i="73"/>
  <c r="U16" i="73"/>
  <c r="T16" i="73"/>
  <c r="S16" i="73"/>
  <c r="P16" i="73"/>
  <c r="M16" i="73"/>
  <c r="L16" i="73"/>
  <c r="K16" i="73"/>
  <c r="J16" i="73"/>
  <c r="I16" i="73"/>
  <c r="H16" i="73"/>
  <c r="G16" i="73"/>
  <c r="F16" i="73"/>
  <c r="E16" i="73"/>
  <c r="L14" i="73"/>
  <c r="L13" i="73" s="1"/>
  <c r="K14" i="73"/>
  <c r="K13" i="73" s="1"/>
  <c r="J14" i="73"/>
  <c r="J13" i="73" s="1"/>
  <c r="I14" i="73"/>
  <c r="H14" i="73"/>
  <c r="H13" i="73" s="1"/>
  <c r="G14" i="73"/>
  <c r="G13" i="73" s="1"/>
  <c r="F14" i="73"/>
  <c r="F13" i="73" s="1"/>
  <c r="E14" i="73"/>
  <c r="E13" i="73" s="1"/>
  <c r="U13" i="73"/>
  <c r="W13" i="73" s="1"/>
  <c r="T13" i="73"/>
  <c r="S13" i="73"/>
  <c r="P13" i="73"/>
  <c r="O13" i="73"/>
  <c r="M13" i="73"/>
  <c r="I13" i="73"/>
  <c r="U12" i="73"/>
  <c r="W12" i="73" s="1"/>
  <c r="T12" i="73"/>
  <c r="S12" i="73"/>
  <c r="P12" i="73"/>
  <c r="M12" i="73"/>
  <c r="L12" i="73"/>
  <c r="K12" i="73"/>
  <c r="K11" i="73" s="1"/>
  <c r="J12" i="73"/>
  <c r="I12" i="73"/>
  <c r="I11" i="73" s="1"/>
  <c r="H12" i="73"/>
  <c r="G12" i="73"/>
  <c r="F12" i="73"/>
  <c r="E12" i="73"/>
  <c r="U11" i="73"/>
  <c r="W11" i="73" s="1"/>
  <c r="S11" i="73"/>
  <c r="P11" i="73"/>
  <c r="O11" i="73"/>
  <c r="N11" i="73"/>
  <c r="L9" i="73"/>
  <c r="K9" i="73"/>
  <c r="J9" i="73"/>
  <c r="I9" i="73"/>
  <c r="H9" i="73"/>
  <c r="G9" i="73"/>
  <c r="F9" i="73"/>
  <c r="E9" i="73"/>
  <c r="U8" i="73"/>
  <c r="W8" i="73" s="1"/>
  <c r="T8" i="73"/>
  <c r="S8" i="73"/>
  <c r="P8" i="73"/>
  <c r="M8" i="73"/>
  <c r="L8" i="73"/>
  <c r="K8" i="73"/>
  <c r="J8" i="73"/>
  <c r="I8" i="73"/>
  <c r="H8" i="73"/>
  <c r="G8" i="73"/>
  <c r="F8" i="73"/>
  <c r="E8" i="73"/>
  <c r="P10" i="72"/>
  <c r="P9" i="72"/>
  <c r="R54" i="71"/>
  <c r="Q54" i="71"/>
  <c r="P54" i="71"/>
  <c r="O54" i="71"/>
  <c r="N54" i="71"/>
  <c r="M54" i="71"/>
  <c r="L54" i="71"/>
  <c r="K54" i="71"/>
  <c r="J54" i="71"/>
  <c r="I54" i="71"/>
  <c r="H54" i="71"/>
  <c r="T44" i="71"/>
  <c r="S44" i="71"/>
  <c r="R44" i="71"/>
  <c r="Q44" i="71"/>
  <c r="P44" i="71"/>
  <c r="O44" i="71"/>
  <c r="N44" i="71"/>
  <c r="M44" i="71"/>
  <c r="L44" i="71"/>
  <c r="K44" i="71"/>
  <c r="J44" i="71"/>
  <c r="I44" i="71"/>
  <c r="H44" i="71"/>
  <c r="G44" i="71"/>
  <c r="F44" i="71"/>
  <c r="T43" i="71"/>
  <c r="S43" i="71"/>
  <c r="R43" i="71"/>
  <c r="Q43" i="71"/>
  <c r="P43" i="71"/>
  <c r="O43" i="71"/>
  <c r="N43" i="71"/>
  <c r="M43" i="71"/>
  <c r="L43" i="71"/>
  <c r="K43" i="71"/>
  <c r="J43" i="71"/>
  <c r="I43" i="71"/>
  <c r="H43" i="71"/>
  <c r="G43" i="71"/>
  <c r="F43" i="71"/>
  <c r="T42" i="71"/>
  <c r="S42" i="71"/>
  <c r="R42" i="71"/>
  <c r="Q42" i="71"/>
  <c r="P42" i="71"/>
  <c r="O42" i="71"/>
  <c r="N42" i="71"/>
  <c r="M42" i="71"/>
  <c r="L42" i="71"/>
  <c r="K42" i="71"/>
  <c r="J42" i="71"/>
  <c r="I42" i="71"/>
  <c r="H42" i="71"/>
  <c r="G42" i="71"/>
  <c r="F42" i="71"/>
  <c r="T41" i="71"/>
  <c r="S41" i="71"/>
  <c r="R41" i="71"/>
  <c r="Q41" i="71"/>
  <c r="P41" i="71"/>
  <c r="O41" i="71"/>
  <c r="N41" i="71"/>
  <c r="M41" i="71"/>
  <c r="L41" i="71"/>
  <c r="K41" i="71"/>
  <c r="J41" i="71"/>
  <c r="I41" i="71"/>
  <c r="H41" i="71"/>
  <c r="G41" i="71"/>
  <c r="F41" i="71"/>
  <c r="T40" i="71"/>
  <c r="S40" i="71"/>
  <c r="R40" i="71"/>
  <c r="Q40" i="71"/>
  <c r="P40" i="71"/>
  <c r="O40" i="71"/>
  <c r="N40" i="71"/>
  <c r="M40" i="71"/>
  <c r="L40" i="71"/>
  <c r="K40" i="71"/>
  <c r="J40" i="71"/>
  <c r="I40" i="71"/>
  <c r="H40" i="71"/>
  <c r="G40" i="71"/>
  <c r="F40" i="71"/>
  <c r="T39" i="71"/>
  <c r="S39" i="71"/>
  <c r="R39" i="71"/>
  <c r="Q39" i="71"/>
  <c r="P39" i="71"/>
  <c r="O39" i="71"/>
  <c r="N39" i="71"/>
  <c r="M39" i="71"/>
  <c r="L39" i="71"/>
  <c r="K39" i="71"/>
  <c r="J39" i="71"/>
  <c r="I39" i="71"/>
  <c r="H39" i="71"/>
  <c r="G39" i="71"/>
  <c r="F39" i="71"/>
  <c r="T38" i="71"/>
  <c r="S38" i="71"/>
  <c r="R38" i="71"/>
  <c r="Q38" i="71"/>
  <c r="P38" i="71"/>
  <c r="O38" i="71"/>
  <c r="N38" i="71"/>
  <c r="M38" i="71"/>
  <c r="L38" i="71"/>
  <c r="K38" i="71"/>
  <c r="J38" i="71"/>
  <c r="I38" i="71"/>
  <c r="H38" i="71"/>
  <c r="G38" i="71"/>
  <c r="F38" i="71"/>
  <c r="T37" i="71"/>
  <c r="S37" i="71"/>
  <c r="R37" i="71"/>
  <c r="Q37" i="71"/>
  <c r="P37" i="71"/>
  <c r="O37" i="71"/>
  <c r="N37" i="71"/>
  <c r="M37" i="71"/>
  <c r="L37" i="71"/>
  <c r="K37" i="71"/>
  <c r="J37" i="71"/>
  <c r="I37" i="71"/>
  <c r="H37" i="71"/>
  <c r="G37" i="71"/>
  <c r="F37" i="71"/>
  <c r="T36" i="71"/>
  <c r="S36" i="71"/>
  <c r="R36" i="71"/>
  <c r="Q36" i="71"/>
  <c r="P36" i="71"/>
  <c r="O36" i="71"/>
  <c r="N36" i="71"/>
  <c r="M36" i="71"/>
  <c r="L36" i="71"/>
  <c r="K36" i="71"/>
  <c r="J36" i="71"/>
  <c r="I36" i="71"/>
  <c r="H36" i="71"/>
  <c r="G36" i="71"/>
  <c r="F36" i="71"/>
  <c r="T35" i="71"/>
  <c r="S35" i="71"/>
  <c r="R35" i="71"/>
  <c r="Q35" i="71"/>
  <c r="P35" i="71"/>
  <c r="O35" i="71"/>
  <c r="N35" i="71"/>
  <c r="M35" i="71"/>
  <c r="L35" i="71"/>
  <c r="K35" i="71"/>
  <c r="J35" i="71"/>
  <c r="I35" i="71"/>
  <c r="H35" i="71"/>
  <c r="G35" i="71"/>
  <c r="F35" i="71"/>
  <c r="S31" i="71"/>
  <c r="R31" i="71"/>
  <c r="S30" i="71"/>
  <c r="R30" i="71"/>
  <c r="S29" i="71"/>
  <c r="R29" i="71"/>
  <c r="S28" i="71"/>
  <c r="R28" i="71"/>
  <c r="S27" i="71"/>
  <c r="R27" i="71"/>
  <c r="S26" i="71"/>
  <c r="R26" i="71"/>
  <c r="S25" i="71"/>
  <c r="R25" i="71"/>
  <c r="S24" i="71"/>
  <c r="R24" i="71"/>
  <c r="S23" i="71"/>
  <c r="R23" i="71"/>
  <c r="S22" i="71"/>
  <c r="R22" i="71"/>
  <c r="R53" i="70"/>
  <c r="R54" i="70"/>
  <c r="Q54" i="70"/>
  <c r="P54" i="70"/>
  <c r="O54" i="70"/>
  <c r="N54" i="70"/>
  <c r="M54" i="70"/>
  <c r="L54" i="70"/>
  <c r="K54" i="70"/>
  <c r="J54" i="70"/>
  <c r="I54" i="70"/>
  <c r="T18" i="70"/>
  <c r="T44" i="70" s="1"/>
  <c r="S18" i="70"/>
  <c r="S31" i="70" s="1"/>
  <c r="Q44" i="70"/>
  <c r="P44" i="70"/>
  <c r="O44" i="70"/>
  <c r="N44" i="70"/>
  <c r="M44" i="70"/>
  <c r="L44" i="70"/>
  <c r="K44" i="70"/>
  <c r="J44" i="70"/>
  <c r="I44" i="70"/>
  <c r="H44" i="70"/>
  <c r="G44" i="70"/>
  <c r="E18" i="70"/>
  <c r="F44" i="70" s="1"/>
  <c r="T43" i="70"/>
  <c r="S43" i="70"/>
  <c r="R43" i="70"/>
  <c r="Q43" i="70"/>
  <c r="P43" i="70"/>
  <c r="O43" i="70"/>
  <c r="N43" i="70"/>
  <c r="M43" i="70"/>
  <c r="L43" i="70"/>
  <c r="K43" i="70"/>
  <c r="J43" i="70"/>
  <c r="I43" i="70"/>
  <c r="H43" i="70"/>
  <c r="G43" i="70"/>
  <c r="F43" i="70"/>
  <c r="T42" i="70"/>
  <c r="S42" i="70"/>
  <c r="R42" i="70"/>
  <c r="Q42" i="70"/>
  <c r="P42" i="70"/>
  <c r="O42" i="70"/>
  <c r="N42" i="70"/>
  <c r="M42" i="70"/>
  <c r="L42" i="70"/>
  <c r="K42" i="70"/>
  <c r="J42" i="70"/>
  <c r="I42" i="70"/>
  <c r="H42" i="70"/>
  <c r="G42" i="70"/>
  <c r="F42" i="70"/>
  <c r="T41" i="70"/>
  <c r="S41" i="70"/>
  <c r="R41" i="70"/>
  <c r="Q41" i="70"/>
  <c r="P41" i="70"/>
  <c r="O41" i="70"/>
  <c r="N41" i="70"/>
  <c r="M41" i="70"/>
  <c r="L41" i="70"/>
  <c r="K41" i="70"/>
  <c r="J41" i="70"/>
  <c r="I41" i="70"/>
  <c r="H41" i="70"/>
  <c r="G41" i="70"/>
  <c r="F41" i="70"/>
  <c r="T40" i="70"/>
  <c r="S40" i="70"/>
  <c r="R40" i="70"/>
  <c r="Q40" i="70"/>
  <c r="P40" i="70"/>
  <c r="O40" i="70"/>
  <c r="N40" i="70"/>
  <c r="M40" i="70"/>
  <c r="L40" i="70"/>
  <c r="K40" i="70"/>
  <c r="J40" i="70"/>
  <c r="I40" i="70"/>
  <c r="H40" i="70"/>
  <c r="G40" i="70"/>
  <c r="F40" i="70"/>
  <c r="T39" i="70"/>
  <c r="S39" i="70"/>
  <c r="R39" i="70"/>
  <c r="Q39" i="70"/>
  <c r="P39" i="70"/>
  <c r="O39" i="70"/>
  <c r="N39" i="70"/>
  <c r="M39" i="70"/>
  <c r="L39" i="70"/>
  <c r="K39" i="70"/>
  <c r="J39" i="70"/>
  <c r="I39" i="70"/>
  <c r="H39" i="70"/>
  <c r="G39" i="70"/>
  <c r="F39" i="70"/>
  <c r="T38" i="70"/>
  <c r="S38" i="70"/>
  <c r="R38" i="70"/>
  <c r="Q38" i="70"/>
  <c r="P38" i="70"/>
  <c r="O38" i="70"/>
  <c r="N38" i="70"/>
  <c r="M38" i="70"/>
  <c r="L38" i="70"/>
  <c r="K38" i="70"/>
  <c r="J38" i="70"/>
  <c r="I38" i="70"/>
  <c r="H38" i="70"/>
  <c r="G38" i="70"/>
  <c r="F38" i="70"/>
  <c r="T37" i="70"/>
  <c r="S37" i="70"/>
  <c r="R37" i="70"/>
  <c r="Q37" i="70"/>
  <c r="P37" i="70"/>
  <c r="O37" i="70"/>
  <c r="N37" i="70"/>
  <c r="M37" i="70"/>
  <c r="L37" i="70"/>
  <c r="K37" i="70"/>
  <c r="J37" i="70"/>
  <c r="I37" i="70"/>
  <c r="H37" i="70"/>
  <c r="G37" i="70"/>
  <c r="F37" i="70"/>
  <c r="T36" i="70"/>
  <c r="S36" i="70"/>
  <c r="R36" i="70"/>
  <c r="Q36" i="70"/>
  <c r="P36" i="70"/>
  <c r="O36" i="70"/>
  <c r="N36" i="70"/>
  <c r="M36" i="70"/>
  <c r="L36" i="70"/>
  <c r="K36" i="70"/>
  <c r="J36" i="70"/>
  <c r="I36" i="70"/>
  <c r="H36" i="70"/>
  <c r="G36" i="70"/>
  <c r="F36" i="70"/>
  <c r="T35" i="70"/>
  <c r="S35" i="70"/>
  <c r="R35" i="70"/>
  <c r="Q35" i="70"/>
  <c r="P35" i="70"/>
  <c r="O35" i="70"/>
  <c r="N35" i="70"/>
  <c r="M35" i="70"/>
  <c r="L35" i="70"/>
  <c r="K35" i="70"/>
  <c r="J35" i="70"/>
  <c r="I35" i="70"/>
  <c r="H35" i="70"/>
  <c r="G35" i="70"/>
  <c r="F35" i="70"/>
  <c r="R31" i="70"/>
  <c r="S30" i="70"/>
  <c r="R30" i="70"/>
  <c r="S29" i="70"/>
  <c r="R29" i="70"/>
  <c r="S28" i="70"/>
  <c r="R28" i="70"/>
  <c r="Q28" i="70"/>
  <c r="S27" i="70"/>
  <c r="R27" i="70"/>
  <c r="S26" i="70"/>
  <c r="R26" i="70"/>
  <c r="Q26" i="70"/>
  <c r="S25" i="70"/>
  <c r="R25" i="70"/>
  <c r="S24" i="70"/>
  <c r="R24" i="70"/>
  <c r="S23" i="70"/>
  <c r="R23" i="70"/>
  <c r="S22" i="70"/>
  <c r="R22" i="70"/>
  <c r="T65" i="69"/>
  <c r="U53" i="69"/>
  <c r="S65" i="69" s="1"/>
  <c r="R65" i="69"/>
  <c r="Q65" i="69"/>
  <c r="P65" i="69"/>
  <c r="O65" i="69"/>
  <c r="N65" i="69"/>
  <c r="M65" i="69"/>
  <c r="L65" i="69"/>
  <c r="K65" i="69"/>
  <c r="J65" i="69"/>
  <c r="I65" i="69"/>
  <c r="H65" i="69"/>
  <c r="G65" i="69"/>
  <c r="F65" i="69"/>
  <c r="T64" i="69"/>
  <c r="U52" i="69"/>
  <c r="S64" i="69" s="1"/>
  <c r="R64" i="69"/>
  <c r="Q64" i="69"/>
  <c r="P64" i="69"/>
  <c r="O64" i="69"/>
  <c r="N64" i="69"/>
  <c r="M64" i="69"/>
  <c r="L64" i="69"/>
  <c r="K64" i="69"/>
  <c r="J64" i="69"/>
  <c r="I64" i="69"/>
  <c r="G64" i="69"/>
  <c r="F64" i="69"/>
  <c r="T63" i="69"/>
  <c r="U51" i="69"/>
  <c r="S63" i="69"/>
  <c r="R63" i="69"/>
  <c r="Q63" i="69"/>
  <c r="P63" i="69"/>
  <c r="O63" i="69"/>
  <c r="N63" i="69"/>
  <c r="M63" i="69"/>
  <c r="L63" i="69"/>
  <c r="K63" i="69"/>
  <c r="J63" i="69"/>
  <c r="I63" i="69"/>
  <c r="H63" i="69"/>
  <c r="G63" i="69"/>
  <c r="F63" i="69"/>
  <c r="T62" i="69"/>
  <c r="U50" i="69"/>
  <c r="S62" i="69"/>
  <c r="R62" i="69"/>
  <c r="Q62" i="69"/>
  <c r="P62" i="69"/>
  <c r="O62" i="69"/>
  <c r="N62" i="69"/>
  <c r="M62" i="69"/>
  <c r="L62" i="69"/>
  <c r="K62" i="69"/>
  <c r="J62" i="69"/>
  <c r="I62" i="69"/>
  <c r="H62" i="69"/>
  <c r="G62" i="69"/>
  <c r="F62" i="69"/>
  <c r="T61" i="69"/>
  <c r="U49" i="69"/>
  <c r="S61" i="69"/>
  <c r="R61" i="69"/>
  <c r="Q61" i="69"/>
  <c r="P61" i="69"/>
  <c r="O61" i="69"/>
  <c r="N61" i="69"/>
  <c r="M61" i="69"/>
  <c r="L61" i="69"/>
  <c r="K61" i="69"/>
  <c r="J61" i="69"/>
  <c r="I61" i="69"/>
  <c r="H61" i="69"/>
  <c r="G61" i="69"/>
  <c r="F61" i="69"/>
  <c r="T60" i="69"/>
  <c r="U48" i="69"/>
  <c r="S60" i="69"/>
  <c r="R60" i="69"/>
  <c r="Q60" i="69"/>
  <c r="P60" i="69"/>
  <c r="O60" i="69"/>
  <c r="N60" i="69"/>
  <c r="M60" i="69"/>
  <c r="L60" i="69"/>
  <c r="K60" i="69"/>
  <c r="J60" i="69"/>
  <c r="I60" i="69"/>
  <c r="H60" i="69"/>
  <c r="G60" i="69"/>
  <c r="F60" i="69"/>
  <c r="T59" i="69"/>
  <c r="U47" i="69"/>
  <c r="S59" i="69" s="1"/>
  <c r="R59" i="69"/>
  <c r="Q59" i="69"/>
  <c r="P59" i="69"/>
  <c r="O59" i="69"/>
  <c r="N59" i="69"/>
  <c r="M59" i="69"/>
  <c r="L59" i="69"/>
  <c r="K59" i="69"/>
  <c r="J59" i="69"/>
  <c r="I59" i="69"/>
  <c r="H59" i="69"/>
  <c r="G59" i="69"/>
  <c r="F59" i="69"/>
  <c r="V15" i="69"/>
  <c r="U15" i="69"/>
  <c r="T15" i="69"/>
  <c r="S15" i="69"/>
  <c r="R15" i="69"/>
  <c r="Q15" i="69"/>
  <c r="P15" i="69"/>
  <c r="O15" i="69"/>
  <c r="N15" i="69"/>
  <c r="M15" i="69"/>
  <c r="L15" i="69"/>
  <c r="K15" i="69"/>
  <c r="J15" i="69"/>
  <c r="I15" i="69"/>
  <c r="H15" i="69"/>
  <c r="G15" i="69"/>
  <c r="F15" i="69"/>
  <c r="E15" i="69"/>
  <c r="W14" i="69"/>
  <c r="W13" i="69"/>
  <c r="W12" i="69"/>
  <c r="W10" i="69"/>
  <c r="W9" i="69"/>
  <c r="W8" i="69"/>
  <c r="AC16" i="68"/>
  <c r="AB16" i="68"/>
  <c r="AA16" i="68"/>
  <c r="Z16" i="68"/>
  <c r="Y16" i="68"/>
  <c r="X16" i="68"/>
  <c r="W16" i="68"/>
  <c r="V9" i="68"/>
  <c r="V10" i="68"/>
  <c r="V11" i="68"/>
  <c r="V12" i="68"/>
  <c r="V13" i="68"/>
  <c r="V16" i="68" s="1"/>
  <c r="V14" i="68"/>
  <c r="V15" i="68"/>
  <c r="U16" i="68"/>
  <c r="T16" i="68"/>
  <c r="S16" i="68"/>
  <c r="R16" i="68"/>
  <c r="Q16" i="68"/>
  <c r="P16" i="68"/>
  <c r="O16" i="68"/>
  <c r="N16" i="68"/>
  <c r="AC15" i="68"/>
  <c r="AB15" i="68"/>
  <c r="AA15" i="68"/>
  <c r="Z15" i="68"/>
  <c r="Y15" i="68"/>
  <c r="X15" i="68"/>
  <c r="W15" i="68"/>
  <c r="U15" i="68"/>
  <c r="T15" i="68"/>
  <c r="AC14" i="68"/>
  <c r="AB14" i="68"/>
  <c r="AA14" i="68"/>
  <c r="Z14" i="68"/>
  <c r="Y14" i="68"/>
  <c r="X14" i="68"/>
  <c r="W14" i="68"/>
  <c r="U14" i="68"/>
  <c r="T14" i="68"/>
  <c r="AC13" i="68"/>
  <c r="AB13" i="68"/>
  <c r="AA13" i="68"/>
  <c r="Z13" i="68"/>
  <c r="Y13" i="68"/>
  <c r="X13" i="68"/>
  <c r="W13" i="68"/>
  <c r="U13" i="68"/>
  <c r="T13" i="68"/>
  <c r="AC12" i="68"/>
  <c r="AB12" i="68"/>
  <c r="AA12" i="68"/>
  <c r="Z12" i="68"/>
  <c r="Y12" i="68"/>
  <c r="X12" i="68"/>
  <c r="W12" i="68"/>
  <c r="U12" i="68"/>
  <c r="T12" i="68"/>
  <c r="AC11" i="68"/>
  <c r="AB11" i="68"/>
  <c r="AA11" i="68"/>
  <c r="Z11" i="68"/>
  <c r="Y11" i="68"/>
  <c r="X11" i="68"/>
  <c r="W11" i="68"/>
  <c r="U11" i="68"/>
  <c r="T11" i="68"/>
  <c r="AC10" i="68"/>
  <c r="AB10" i="68"/>
  <c r="AA10" i="68"/>
  <c r="Z10" i="68"/>
  <c r="Y10" i="68"/>
  <c r="X10" i="68"/>
  <c r="W10" i="68"/>
  <c r="U10" i="68"/>
  <c r="T10" i="68"/>
  <c r="AC9" i="68"/>
  <c r="AB9" i="68"/>
  <c r="AA9" i="68"/>
  <c r="Z9" i="68"/>
  <c r="Y9" i="68"/>
  <c r="X9" i="68"/>
  <c r="W9" i="68"/>
  <c r="U9" i="68"/>
  <c r="T9" i="68"/>
  <c r="AD13" i="67"/>
  <c r="AD45" i="67"/>
  <c r="AD54" i="67" s="1"/>
  <c r="AC45" i="67"/>
  <c r="AC54" i="67" s="1"/>
  <c r="AB45" i="67"/>
  <c r="AB54" i="67" s="1"/>
  <c r="AA45" i="67"/>
  <c r="AA54" i="67" s="1"/>
  <c r="Z54" i="67"/>
  <c r="Y54" i="67"/>
  <c r="X54" i="67"/>
  <c r="W54" i="67"/>
  <c r="V54" i="67"/>
  <c r="U54" i="67"/>
  <c r="T54" i="67"/>
  <c r="S54" i="67"/>
  <c r="R54" i="67"/>
  <c r="Q54" i="67"/>
  <c r="P54" i="67"/>
  <c r="O54" i="67"/>
  <c r="N54" i="67"/>
  <c r="M54" i="67"/>
  <c r="L54" i="67"/>
  <c r="K54" i="67"/>
  <c r="J54" i="67"/>
  <c r="I54" i="67"/>
  <c r="H54" i="67"/>
  <c r="G54" i="67"/>
  <c r="F54" i="67"/>
  <c r="E54" i="67"/>
  <c r="AD12" i="67"/>
  <c r="AD44" i="67" s="1"/>
  <c r="AD53" i="67" s="1"/>
  <c r="AC44" i="67"/>
  <c r="AC53" i="67"/>
  <c r="AB44" i="67"/>
  <c r="AB53" i="67"/>
  <c r="AA44" i="67"/>
  <c r="AA53" i="67"/>
  <c r="Z53" i="67"/>
  <c r="Y53" i="67"/>
  <c r="X53" i="67"/>
  <c r="W53" i="67"/>
  <c r="V53" i="67"/>
  <c r="U53" i="67"/>
  <c r="T53" i="67"/>
  <c r="S53" i="67"/>
  <c r="R53" i="67"/>
  <c r="Q53" i="67"/>
  <c r="P53" i="67"/>
  <c r="O53" i="67"/>
  <c r="N53" i="67"/>
  <c r="M53" i="67"/>
  <c r="L53" i="67"/>
  <c r="K53" i="67"/>
  <c r="J53" i="67"/>
  <c r="I53" i="67"/>
  <c r="H53" i="67"/>
  <c r="G53" i="67"/>
  <c r="F53" i="67"/>
  <c r="E53" i="67"/>
  <c r="AD11" i="67"/>
  <c r="AD43" i="67"/>
  <c r="AD52" i="67" s="1"/>
  <c r="AC43" i="67"/>
  <c r="AC52" i="67" s="1"/>
  <c r="AB43" i="67"/>
  <c r="AB52" i="67" s="1"/>
  <c r="AA43" i="67"/>
  <c r="AA52" i="67" s="1"/>
  <c r="Z52" i="67"/>
  <c r="Y52" i="67"/>
  <c r="X52" i="67"/>
  <c r="W52" i="67"/>
  <c r="V52" i="67"/>
  <c r="U52" i="67"/>
  <c r="T52" i="67"/>
  <c r="S52" i="67"/>
  <c r="R52" i="67"/>
  <c r="Q52" i="67"/>
  <c r="P52" i="67"/>
  <c r="O52" i="67"/>
  <c r="N52" i="67"/>
  <c r="M52" i="67"/>
  <c r="L52" i="67"/>
  <c r="K52" i="67"/>
  <c r="J52" i="67"/>
  <c r="I52" i="67"/>
  <c r="H52" i="67"/>
  <c r="G52" i="67"/>
  <c r="F52" i="67"/>
  <c r="E52" i="67"/>
  <c r="AD10" i="67"/>
  <c r="AD42" i="67" s="1"/>
  <c r="AD51" i="67" s="1"/>
  <c r="AC42" i="67"/>
  <c r="AC51" i="67"/>
  <c r="AB42" i="67"/>
  <c r="AB51" i="67"/>
  <c r="AA42" i="67"/>
  <c r="AA51" i="67" s="1"/>
  <c r="Z51" i="67"/>
  <c r="Y51" i="67"/>
  <c r="X51" i="67"/>
  <c r="W51" i="67"/>
  <c r="V51" i="67"/>
  <c r="U51" i="67"/>
  <c r="T51" i="67"/>
  <c r="S51" i="67"/>
  <c r="R51" i="67"/>
  <c r="Q51" i="67"/>
  <c r="P51" i="67"/>
  <c r="O51" i="67"/>
  <c r="N51" i="67"/>
  <c r="M51" i="67"/>
  <c r="L51" i="67"/>
  <c r="K51" i="67"/>
  <c r="J51" i="67"/>
  <c r="I51" i="67"/>
  <c r="H51" i="67"/>
  <c r="G51" i="67"/>
  <c r="F51" i="67"/>
  <c r="E51" i="67"/>
  <c r="AD9" i="67"/>
  <c r="AD41" i="67"/>
  <c r="AD50" i="67" s="1"/>
  <c r="AC41" i="67"/>
  <c r="AC50" i="67" s="1"/>
  <c r="AB41" i="67"/>
  <c r="AB50" i="67" s="1"/>
  <c r="AA41" i="67"/>
  <c r="AA50" i="67" s="1"/>
  <c r="Z50" i="67"/>
  <c r="Y50" i="67"/>
  <c r="X50" i="67"/>
  <c r="W50" i="67"/>
  <c r="V50" i="67"/>
  <c r="U50" i="67"/>
  <c r="T50" i="67"/>
  <c r="S50" i="67"/>
  <c r="R50" i="67"/>
  <c r="Q50" i="67"/>
  <c r="P50" i="67"/>
  <c r="O50" i="67"/>
  <c r="N50" i="67"/>
  <c r="M50" i="67"/>
  <c r="L50" i="67"/>
  <c r="K50" i="67"/>
  <c r="J50" i="67"/>
  <c r="I50" i="67"/>
  <c r="H50" i="67"/>
  <c r="G50" i="67"/>
  <c r="F50" i="67"/>
  <c r="E50" i="67"/>
  <c r="AD14" i="67"/>
  <c r="AC14" i="67"/>
  <c r="AB14" i="67"/>
  <c r="AA14" i="67"/>
  <c r="Z14" i="67"/>
  <c r="Y14" i="67"/>
  <c r="X14" i="67"/>
  <c r="W14" i="67"/>
  <c r="V14" i="67"/>
  <c r="U14" i="67"/>
  <c r="T14" i="67"/>
  <c r="S14" i="67"/>
  <c r="R14" i="67"/>
  <c r="Q14" i="67"/>
  <c r="P14" i="67"/>
  <c r="O14" i="67"/>
  <c r="AC13" i="67"/>
  <c r="AB13" i="67"/>
  <c r="AA13" i="67"/>
  <c r="Z13" i="67"/>
  <c r="Y13" i="67"/>
  <c r="X13" i="67"/>
  <c r="W13" i="67"/>
  <c r="V13" i="67"/>
  <c r="U13" i="67"/>
  <c r="AC12" i="67"/>
  <c r="AB12" i="67"/>
  <c r="AA12" i="67"/>
  <c r="Z12" i="67"/>
  <c r="Y12" i="67"/>
  <c r="X12" i="67"/>
  <c r="W12" i="67"/>
  <c r="V12" i="67"/>
  <c r="U12" i="67"/>
  <c r="AC11" i="67"/>
  <c r="AB11" i="67"/>
  <c r="AA11" i="67"/>
  <c r="Z11" i="67"/>
  <c r="Y11" i="67"/>
  <c r="X11" i="67"/>
  <c r="W11" i="67"/>
  <c r="V11" i="67"/>
  <c r="U11" i="67"/>
  <c r="AC10" i="67"/>
  <c r="AB10" i="67"/>
  <c r="AA10" i="67"/>
  <c r="Z10" i="67"/>
  <c r="Y10" i="67"/>
  <c r="X10" i="67"/>
  <c r="W10" i="67"/>
  <c r="V10" i="67"/>
  <c r="U10" i="67"/>
  <c r="AC9" i="67"/>
  <c r="AB9" i="67"/>
  <c r="AA9" i="67"/>
  <c r="Z9" i="67"/>
  <c r="Y9" i="67"/>
  <c r="X9" i="67"/>
  <c r="W9" i="67"/>
  <c r="V9" i="67"/>
  <c r="U9" i="67"/>
  <c r="AD9" i="66"/>
  <c r="AD13" i="66" s="1"/>
  <c r="AD48" i="66" s="1"/>
  <c r="AD56" i="66" s="1"/>
  <c r="AD10" i="66"/>
  <c r="AD11" i="66"/>
  <c r="AD12" i="66"/>
  <c r="AD47" i="66" s="1"/>
  <c r="AD55" i="66" s="1"/>
  <c r="AC48" i="66"/>
  <c r="AC56" i="66" s="1"/>
  <c r="AB48" i="66"/>
  <c r="AB56" i="66" s="1"/>
  <c r="AA44" i="66"/>
  <c r="AA48" i="66" s="1"/>
  <c r="AA56" i="66" s="1"/>
  <c r="AA46" i="66"/>
  <c r="AA47" i="66"/>
  <c r="AA55" i="66" s="1"/>
  <c r="Z56" i="66"/>
  <c r="Y56" i="66"/>
  <c r="X56" i="66"/>
  <c r="W56" i="66"/>
  <c r="V56" i="66"/>
  <c r="U56" i="66"/>
  <c r="T56" i="66"/>
  <c r="S56" i="66"/>
  <c r="R56" i="66"/>
  <c r="Q56" i="66"/>
  <c r="P56" i="66"/>
  <c r="O56" i="66"/>
  <c r="N56" i="66"/>
  <c r="M56" i="66"/>
  <c r="L56" i="66"/>
  <c r="K56" i="66"/>
  <c r="J56" i="66"/>
  <c r="I56" i="66"/>
  <c r="H56" i="66"/>
  <c r="G56" i="66"/>
  <c r="F56" i="66"/>
  <c r="E56" i="66"/>
  <c r="AC47" i="66"/>
  <c r="AC55" i="66" s="1"/>
  <c r="AB47" i="66"/>
  <c r="AB55" i="66"/>
  <c r="Z55" i="66"/>
  <c r="Y55" i="66"/>
  <c r="X55" i="66"/>
  <c r="W55" i="66"/>
  <c r="V55" i="66"/>
  <c r="U55" i="66"/>
  <c r="T55" i="66"/>
  <c r="S55" i="66"/>
  <c r="R55" i="66"/>
  <c r="Q55" i="66"/>
  <c r="P55" i="66"/>
  <c r="O55" i="66"/>
  <c r="N55" i="66"/>
  <c r="M55" i="66"/>
  <c r="L55" i="66"/>
  <c r="K55" i="66"/>
  <c r="J55" i="66"/>
  <c r="I55" i="66"/>
  <c r="H55" i="66"/>
  <c r="G55" i="66"/>
  <c r="F55" i="66"/>
  <c r="E55" i="66"/>
  <c r="AD46" i="66"/>
  <c r="AD54" i="66" s="1"/>
  <c r="AC46" i="66"/>
  <c r="AC54" i="66" s="1"/>
  <c r="AB46" i="66"/>
  <c r="AB54" i="66" s="1"/>
  <c r="AA54" i="66"/>
  <c r="Z54" i="66"/>
  <c r="Y54" i="66"/>
  <c r="X54" i="66"/>
  <c r="W54" i="66"/>
  <c r="V54" i="66"/>
  <c r="U54" i="66"/>
  <c r="T54" i="66"/>
  <c r="S54" i="66"/>
  <c r="R54" i="66"/>
  <c r="Q54" i="66"/>
  <c r="P54" i="66"/>
  <c r="O54" i="66"/>
  <c r="N54" i="66"/>
  <c r="M54" i="66"/>
  <c r="L54" i="66"/>
  <c r="K54" i="66"/>
  <c r="J54" i="66"/>
  <c r="I54" i="66"/>
  <c r="H54" i="66"/>
  <c r="G54" i="66"/>
  <c r="F54" i="66"/>
  <c r="E54" i="66"/>
  <c r="AD45" i="66"/>
  <c r="AD53" i="66"/>
  <c r="AC45" i="66"/>
  <c r="AC53" i="66"/>
  <c r="AB45" i="66"/>
  <c r="AB53" i="66" s="1"/>
  <c r="AA53" i="66"/>
  <c r="Z53" i="66"/>
  <c r="Y53" i="66"/>
  <c r="X53" i="66"/>
  <c r="W53" i="66"/>
  <c r="V53" i="66"/>
  <c r="U53" i="66"/>
  <c r="T53" i="66"/>
  <c r="S53" i="66"/>
  <c r="R53" i="66"/>
  <c r="Q53" i="66"/>
  <c r="P53" i="66"/>
  <c r="O53" i="66"/>
  <c r="N53" i="66"/>
  <c r="M53" i="66"/>
  <c r="L53" i="66"/>
  <c r="K53" i="66"/>
  <c r="J53" i="66"/>
  <c r="I53" i="66"/>
  <c r="H53" i="66"/>
  <c r="G53" i="66"/>
  <c r="F53" i="66"/>
  <c r="E53" i="66"/>
  <c r="AC44" i="66"/>
  <c r="AC52" i="66" s="1"/>
  <c r="AB44" i="66"/>
  <c r="AB52" i="66" s="1"/>
  <c r="AA52" i="66"/>
  <c r="Z52" i="66"/>
  <c r="Y52" i="66"/>
  <c r="X52" i="66"/>
  <c r="W52" i="66"/>
  <c r="V52" i="66"/>
  <c r="U52" i="66"/>
  <c r="T52" i="66"/>
  <c r="S52" i="66"/>
  <c r="R52" i="66"/>
  <c r="Q52" i="66"/>
  <c r="P52" i="66"/>
  <c r="O52" i="66"/>
  <c r="N52" i="66"/>
  <c r="M52" i="66"/>
  <c r="L52" i="66"/>
  <c r="K52" i="66"/>
  <c r="J52" i="66"/>
  <c r="I52" i="66"/>
  <c r="H52" i="66"/>
  <c r="G52" i="66"/>
  <c r="F52" i="66"/>
  <c r="E52" i="66"/>
  <c r="AC13" i="66"/>
  <c r="AB13" i="66"/>
  <c r="AA13" i="66"/>
  <c r="Z13" i="66"/>
  <c r="Y13" i="66"/>
  <c r="X13" i="66"/>
  <c r="W13" i="66"/>
  <c r="V9" i="66"/>
  <c r="V10" i="66"/>
  <c r="V11" i="66"/>
  <c r="V12" i="66"/>
  <c r="V13" i="66"/>
  <c r="U13" i="66"/>
  <c r="AC12" i="66"/>
  <c r="AB12" i="66"/>
  <c r="AA12" i="66"/>
  <c r="Z12" i="66"/>
  <c r="Y12" i="66"/>
  <c r="X12" i="66"/>
  <c r="W12" i="66"/>
  <c r="U12" i="66"/>
  <c r="AC11" i="66"/>
  <c r="AB11" i="66"/>
  <c r="AA11" i="66"/>
  <c r="Z11" i="66"/>
  <c r="Y11" i="66"/>
  <c r="X11" i="66"/>
  <c r="W11" i="66"/>
  <c r="U11" i="66"/>
  <c r="AC10" i="66"/>
  <c r="AB10" i="66"/>
  <c r="AA10" i="66"/>
  <c r="Z10" i="66"/>
  <c r="Y10" i="66"/>
  <c r="X10" i="66"/>
  <c r="W10" i="66"/>
  <c r="U10" i="66"/>
  <c r="AC9" i="66"/>
  <c r="AB9" i="66"/>
  <c r="AA9" i="66"/>
  <c r="Z9" i="66"/>
  <c r="Y9" i="66"/>
  <c r="X9" i="66"/>
  <c r="W9" i="66"/>
  <c r="U9" i="66"/>
  <c r="AJ10" i="63"/>
  <c r="AF10" i="63"/>
  <c r="AB10" i="63"/>
  <c r="X10" i="63"/>
  <c r="T10" i="63"/>
  <c r="P10" i="63"/>
  <c r="L10" i="63"/>
  <c r="D9" i="63"/>
  <c r="E6" i="63"/>
  <c r="E6" i="61"/>
  <c r="AG76" i="60"/>
  <c r="AE76" i="60"/>
  <c r="AC76" i="60"/>
  <c r="AA76" i="60"/>
  <c r="Y76" i="60"/>
  <c r="W76" i="60"/>
  <c r="U76" i="60"/>
  <c r="S76" i="60"/>
  <c r="Q76" i="60"/>
  <c r="O76" i="60"/>
  <c r="M76" i="60"/>
  <c r="K76" i="60"/>
  <c r="I76" i="60"/>
  <c r="G76" i="60"/>
  <c r="E76" i="60"/>
  <c r="E7" i="60"/>
  <c r="G44" i="59"/>
  <c r="G43" i="59"/>
  <c r="G42" i="59"/>
  <c r="G41" i="59"/>
  <c r="G40" i="59"/>
  <c r="G39" i="59"/>
  <c r="G38" i="59"/>
  <c r="G37" i="59"/>
  <c r="G36" i="59"/>
  <c r="AK10" i="59"/>
  <c r="AI10" i="59"/>
  <c r="AG10" i="59"/>
  <c r="AE10" i="59"/>
  <c r="AC10" i="59"/>
  <c r="AA10" i="59"/>
  <c r="Y10" i="59"/>
  <c r="W10" i="59"/>
  <c r="U10" i="59"/>
  <c r="S10" i="59"/>
  <c r="Q10" i="59"/>
  <c r="O10" i="59"/>
  <c r="M10" i="59"/>
  <c r="K10" i="59"/>
  <c r="I10" i="59"/>
  <c r="G10" i="59"/>
  <c r="E10" i="59"/>
  <c r="Q21" i="58"/>
  <c r="S21" i="58" s="1"/>
  <c r="R21" i="58"/>
  <c r="N21" i="58"/>
  <c r="O21" i="58"/>
  <c r="P21" i="58" s="1"/>
  <c r="K21" i="58"/>
  <c r="M21" i="58" s="1"/>
  <c r="L21" i="58"/>
  <c r="H21" i="58"/>
  <c r="I21" i="58"/>
  <c r="J21" i="58" s="1"/>
  <c r="E21" i="58"/>
  <c r="G21" i="58" s="1"/>
  <c r="F21" i="58"/>
  <c r="S20" i="58"/>
  <c r="P20" i="58"/>
  <c r="M20" i="58"/>
  <c r="J20" i="58"/>
  <c r="G20" i="58"/>
  <c r="S19" i="58"/>
  <c r="P19" i="58"/>
  <c r="M19" i="58"/>
  <c r="J19" i="58"/>
  <c r="G19" i="58"/>
  <c r="S18" i="58"/>
  <c r="P18" i="58"/>
  <c r="M18" i="58"/>
  <c r="J18" i="58"/>
  <c r="G18" i="58"/>
  <c r="S17" i="58"/>
  <c r="P17" i="58"/>
  <c r="M17" i="58"/>
  <c r="J17" i="58"/>
  <c r="G17" i="58"/>
  <c r="S16" i="58"/>
  <c r="P16" i="58"/>
  <c r="M16" i="58"/>
  <c r="J16" i="58"/>
  <c r="G16" i="58"/>
  <c r="S15" i="58"/>
  <c r="P15" i="58"/>
  <c r="M15" i="58"/>
  <c r="J15" i="58"/>
  <c r="G15" i="58"/>
  <c r="S14" i="58"/>
  <c r="P14" i="58"/>
  <c r="M14" i="58"/>
  <c r="J14" i="58"/>
  <c r="G14" i="58"/>
  <c r="S13" i="58"/>
  <c r="P13" i="58"/>
  <c r="M13" i="58"/>
  <c r="J13" i="58"/>
  <c r="G13" i="58"/>
  <c r="S12" i="58"/>
  <c r="P12" i="58"/>
  <c r="M12" i="58"/>
  <c r="J12" i="58"/>
  <c r="G12" i="58"/>
  <c r="S10" i="58"/>
  <c r="P10" i="58"/>
  <c r="M10" i="58"/>
  <c r="J10" i="58"/>
  <c r="G10" i="58"/>
  <c r="P34" i="57"/>
  <c r="Q34" i="57" s="1"/>
  <c r="O34" i="57"/>
  <c r="M34" i="57"/>
  <c r="L34" i="57"/>
  <c r="N34" i="57"/>
  <c r="J34" i="57"/>
  <c r="K34" i="57" s="1"/>
  <c r="I34" i="57"/>
  <c r="G34" i="57"/>
  <c r="F34" i="57"/>
  <c r="H34" i="57"/>
  <c r="Q33" i="57"/>
  <c r="N33" i="57"/>
  <c r="K33" i="57"/>
  <c r="H33" i="57"/>
  <c r="Q32" i="57"/>
  <c r="N32" i="57"/>
  <c r="K32" i="57"/>
  <c r="H32" i="57"/>
  <c r="Q31" i="57"/>
  <c r="N31" i="57"/>
  <c r="K31" i="57"/>
  <c r="H31" i="57"/>
  <c r="Q30" i="57"/>
  <c r="N30" i="57"/>
  <c r="K30" i="57"/>
  <c r="H30" i="57"/>
  <c r="Q29" i="57"/>
  <c r="N29" i="57"/>
  <c r="K29" i="57"/>
  <c r="H29" i="57"/>
  <c r="Q28" i="57"/>
  <c r="N28" i="57"/>
  <c r="K28" i="57"/>
  <c r="H28" i="57"/>
  <c r="Q27" i="57"/>
  <c r="N27" i="57"/>
  <c r="K27" i="57"/>
  <c r="H27" i="57"/>
  <c r="Q26" i="57"/>
  <c r="N26" i="57"/>
  <c r="K26" i="57"/>
  <c r="H26" i="57"/>
  <c r="Q25" i="57"/>
  <c r="N25" i="57"/>
  <c r="K25" i="57"/>
  <c r="H25" i="57"/>
  <c r="Q20" i="57"/>
  <c r="N20" i="57"/>
  <c r="J20" i="57"/>
  <c r="K20" i="57" s="1"/>
  <c r="I20" i="57"/>
  <c r="G20" i="57"/>
  <c r="F20" i="57"/>
  <c r="H20" i="57"/>
  <c r="Q18" i="57"/>
  <c r="N18" i="57"/>
  <c r="K18" i="57"/>
  <c r="H18" i="57"/>
  <c r="Q17" i="57"/>
  <c r="N17" i="57"/>
  <c r="K17" i="57"/>
  <c r="H17" i="57"/>
  <c r="Q16" i="57"/>
  <c r="N16" i="57"/>
  <c r="K16" i="57"/>
  <c r="H16" i="57"/>
  <c r="Q15" i="57"/>
  <c r="N15" i="57"/>
  <c r="K15" i="57"/>
  <c r="H15" i="57"/>
  <c r="Q14" i="57"/>
  <c r="N14" i="57"/>
  <c r="K14" i="57"/>
  <c r="H14" i="57"/>
  <c r="Q13" i="57"/>
  <c r="N13" i="57"/>
  <c r="K13" i="57"/>
  <c r="H13" i="57"/>
  <c r="Q12" i="57"/>
  <c r="N12" i="57"/>
  <c r="K12" i="57"/>
  <c r="H12" i="57"/>
  <c r="Q11" i="57"/>
  <c r="N11" i="57"/>
  <c r="K11" i="57"/>
  <c r="H11" i="57"/>
  <c r="Q10" i="57"/>
  <c r="N10" i="57"/>
  <c r="K10" i="57"/>
  <c r="H10" i="57"/>
  <c r="AE20" i="56"/>
  <c r="AC20" i="56"/>
  <c r="AA20" i="56"/>
  <c r="AE19" i="56"/>
  <c r="AC19" i="56"/>
  <c r="AA19" i="56"/>
  <c r="AE17" i="56"/>
  <c r="AC17" i="56"/>
  <c r="AA17" i="56"/>
  <c r="Y17" i="56"/>
  <c r="N17" i="56"/>
  <c r="L17" i="56"/>
  <c r="J17" i="56"/>
  <c r="H17" i="56"/>
  <c r="AC14" i="56"/>
  <c r="AA14" i="56"/>
  <c r="Y14" i="56"/>
  <c r="N14" i="56"/>
  <c r="L14" i="56"/>
  <c r="J14" i="56"/>
  <c r="H14" i="56"/>
  <c r="AE13" i="56"/>
  <c r="AC13" i="56"/>
  <c r="AA13" i="56"/>
  <c r="Y13" i="56"/>
  <c r="N13" i="56"/>
  <c r="L13" i="56"/>
  <c r="J13" i="56"/>
  <c r="H13" i="56"/>
  <c r="F13" i="56"/>
  <c r="AE11" i="56"/>
  <c r="AC11" i="56"/>
  <c r="AA11" i="56"/>
  <c r="Y11" i="56"/>
  <c r="N11" i="56"/>
  <c r="L11" i="56"/>
  <c r="J11" i="56"/>
  <c r="H11" i="56"/>
  <c r="AD107" i="43"/>
  <c r="AD92" i="43"/>
  <c r="AD78" i="43"/>
  <c r="AB55" i="43"/>
  <c r="AC55" i="43" s="1"/>
  <c r="AB56" i="43"/>
  <c r="AB57" i="43"/>
  <c r="AB58" i="43"/>
  <c r="AA55" i="43"/>
  <c r="AA62" i="43" s="1"/>
  <c r="AA56" i="43"/>
  <c r="AA57" i="43"/>
  <c r="AA58" i="43"/>
  <c r="Z62" i="43"/>
  <c r="Y62" i="43"/>
  <c r="X62" i="43"/>
  <c r="W62" i="43"/>
  <c r="V62" i="43"/>
  <c r="U62" i="43"/>
  <c r="T62" i="43"/>
  <c r="S62" i="43"/>
  <c r="R62" i="43"/>
  <c r="Q62" i="43"/>
  <c r="P62" i="43"/>
  <c r="O62" i="43"/>
  <c r="N62" i="43"/>
  <c r="M62" i="43"/>
  <c r="L62" i="43"/>
  <c r="K62" i="43"/>
  <c r="J62" i="43"/>
  <c r="I62" i="43"/>
  <c r="H62" i="43"/>
  <c r="G62" i="43"/>
  <c r="F62" i="43"/>
  <c r="E62" i="43"/>
  <c r="D62" i="43"/>
  <c r="C62" i="43"/>
  <c r="AC58" i="43"/>
  <c r="AC57" i="43"/>
  <c r="AC56" i="43"/>
  <c r="AB40" i="43"/>
  <c r="AB47" i="43" s="1"/>
  <c r="AC47" i="43" s="1"/>
  <c r="AB41" i="43"/>
  <c r="AB42" i="43"/>
  <c r="AB43" i="43"/>
  <c r="AA40" i="43"/>
  <c r="AA41" i="43"/>
  <c r="AA42" i="43"/>
  <c r="AA43" i="43"/>
  <c r="AA47" i="43" s="1"/>
  <c r="Z47" i="43"/>
  <c r="Y47" i="43"/>
  <c r="X47" i="43"/>
  <c r="W47" i="43"/>
  <c r="V47" i="43"/>
  <c r="U47" i="43"/>
  <c r="T47" i="43"/>
  <c r="S47" i="43"/>
  <c r="R47" i="43"/>
  <c r="Q47" i="43"/>
  <c r="P47" i="43"/>
  <c r="O47" i="43"/>
  <c r="N47" i="43"/>
  <c r="M47" i="43"/>
  <c r="L47" i="43"/>
  <c r="K47" i="43"/>
  <c r="J47" i="43"/>
  <c r="I47" i="43"/>
  <c r="H47" i="43"/>
  <c r="G47" i="43"/>
  <c r="F47" i="43"/>
  <c r="E47" i="43"/>
  <c r="D47" i="43"/>
  <c r="C47" i="43"/>
  <c r="AC46" i="43"/>
  <c r="AC45" i="43"/>
  <c r="AC42" i="43"/>
  <c r="AC41" i="43"/>
  <c r="AA10" i="43"/>
  <c r="Z10" i="43"/>
  <c r="Y10" i="43"/>
  <c r="C2" i="41"/>
  <c r="C2" i="42" s="1"/>
  <c r="Q11" i="41"/>
  <c r="P11" i="41"/>
  <c r="O11" i="41"/>
  <c r="N11" i="41"/>
  <c r="M11" i="41"/>
  <c r="L11" i="41"/>
  <c r="K11" i="41"/>
  <c r="J11" i="41"/>
  <c r="I11" i="41"/>
  <c r="H11" i="41"/>
  <c r="G11" i="41"/>
  <c r="F11" i="41"/>
  <c r="E11" i="41"/>
  <c r="C11" i="39"/>
  <c r="C2" i="38"/>
  <c r="D9" i="37"/>
  <c r="X53" i="36"/>
  <c r="W53" i="36"/>
  <c r="V53" i="36"/>
  <c r="U53" i="36"/>
  <c r="T53" i="36"/>
  <c r="S53" i="36"/>
  <c r="R53" i="36"/>
  <c r="Q53" i="36"/>
  <c r="P53" i="36"/>
  <c r="O53" i="36"/>
  <c r="N53" i="36"/>
  <c r="M53" i="36"/>
  <c r="L53" i="36"/>
  <c r="K53" i="36"/>
  <c r="J53" i="36"/>
  <c r="I53" i="36"/>
  <c r="H53" i="36"/>
  <c r="X52" i="36"/>
  <c r="W52" i="36"/>
  <c r="V52" i="36"/>
  <c r="U52" i="36"/>
  <c r="T52" i="36"/>
  <c r="S52" i="36"/>
  <c r="R52" i="36"/>
  <c r="Q52" i="36"/>
  <c r="P52" i="36"/>
  <c r="O52" i="36"/>
  <c r="N52" i="36"/>
  <c r="M52" i="36"/>
  <c r="L52" i="36"/>
  <c r="K52" i="36"/>
  <c r="J52" i="36"/>
  <c r="I52" i="36"/>
  <c r="H52" i="36"/>
  <c r="Z24" i="34"/>
  <c r="Y24" i="34"/>
  <c r="X24" i="34"/>
  <c r="W24" i="34"/>
  <c r="V24" i="34"/>
  <c r="U24" i="34"/>
  <c r="T24" i="34"/>
  <c r="S24" i="34"/>
  <c r="R24" i="34"/>
  <c r="Q24" i="34"/>
  <c r="P24" i="34"/>
  <c r="O24" i="34"/>
  <c r="N24" i="34"/>
  <c r="M24" i="34"/>
  <c r="L24" i="34"/>
  <c r="K24" i="34"/>
  <c r="J24" i="34"/>
  <c r="I24" i="34"/>
  <c r="H24" i="34"/>
  <c r="G24" i="34"/>
  <c r="F24" i="34"/>
  <c r="E24" i="34"/>
  <c r="I23" i="33"/>
  <c r="O23" i="33" s="1"/>
  <c r="J23" i="33"/>
  <c r="K23" i="33"/>
  <c r="L23" i="33"/>
  <c r="M23" i="33"/>
  <c r="N23" i="33"/>
  <c r="H23" i="33"/>
  <c r="G23" i="33"/>
  <c r="F23" i="33"/>
  <c r="E23" i="33"/>
  <c r="AT38" i="28"/>
  <c r="AN38" i="28"/>
  <c r="AK38" i="28"/>
  <c r="AH38" i="28"/>
  <c r="AE38" i="28"/>
  <c r="AB38" i="28"/>
  <c r="Y38" i="28"/>
  <c r="V38" i="28"/>
  <c r="S38" i="28"/>
  <c r="AT37" i="28"/>
  <c r="AN37" i="28"/>
  <c r="AK37" i="28"/>
  <c r="AH37" i="28"/>
  <c r="AE37" i="28"/>
  <c r="AB37" i="28"/>
  <c r="X37" i="28"/>
  <c r="Y37" i="28" s="1"/>
  <c r="V37" i="28"/>
  <c r="S37" i="28"/>
  <c r="AA30" i="28"/>
  <c r="Z30" i="28"/>
  <c r="Y30" i="28"/>
  <c r="X29" i="28"/>
  <c r="X30" i="28"/>
  <c r="W29" i="28"/>
  <c r="W30" i="28"/>
  <c r="V30" i="28"/>
  <c r="U30" i="28"/>
  <c r="T30" i="28"/>
  <c r="S30" i="28"/>
  <c r="R30" i="28"/>
  <c r="Q30" i="28"/>
  <c r="P30" i="28"/>
  <c r="O30" i="28"/>
  <c r="N30" i="28"/>
  <c r="M30" i="28"/>
  <c r="L30" i="28"/>
  <c r="K30" i="28"/>
  <c r="AB18" i="28"/>
  <c r="AB19" i="28" s="1"/>
  <c r="AA18" i="28"/>
  <c r="AA19" i="28"/>
  <c r="Z18" i="28"/>
  <c r="Z19" i="28" s="1"/>
  <c r="Y18" i="28"/>
  <c r="Y19" i="28" s="1"/>
  <c r="X19" i="28"/>
  <c r="W19" i="28"/>
  <c r="V19" i="28"/>
  <c r="U19" i="28"/>
  <c r="T19" i="28"/>
  <c r="S19" i="28"/>
  <c r="R19" i="28"/>
  <c r="Q19" i="28"/>
  <c r="P19" i="28"/>
  <c r="O19" i="28"/>
  <c r="N19" i="28"/>
  <c r="M19" i="28"/>
  <c r="L19" i="28"/>
  <c r="K19" i="28"/>
  <c r="J19" i="28"/>
  <c r="I19" i="28"/>
  <c r="H19" i="28"/>
  <c r="G19" i="28"/>
  <c r="F19" i="28"/>
  <c r="E19" i="28"/>
  <c r="S11" i="28"/>
  <c r="S10" i="28"/>
  <c r="AB17" i="27"/>
  <c r="Z16" i="27"/>
  <c r="Y16" i="27"/>
  <c r="Z17" i="27"/>
  <c r="X16" i="27"/>
  <c r="X17" i="27" s="1"/>
  <c r="Y17" i="27"/>
  <c r="W16" i="27"/>
  <c r="W17" i="27" s="1"/>
  <c r="V16" i="27"/>
  <c r="U16" i="27"/>
  <c r="V17" i="27"/>
  <c r="T16" i="27"/>
  <c r="U17" i="27" s="1"/>
  <c r="S16" i="27"/>
  <c r="T17" i="27"/>
  <c r="R16" i="27"/>
  <c r="R17" i="27" s="1"/>
  <c r="S17" i="27"/>
  <c r="Q16" i="27"/>
  <c r="Q17" i="27" s="1"/>
  <c r="P16" i="27"/>
  <c r="O16" i="27"/>
  <c r="O17" i="27" s="1"/>
  <c r="P17" i="27"/>
  <c r="N16" i="27"/>
  <c r="M16" i="27"/>
  <c r="N17" i="27"/>
  <c r="L16" i="27"/>
  <c r="L17" i="27" s="1"/>
  <c r="M17" i="27"/>
  <c r="K16" i="27"/>
  <c r="K17" i="27" s="1"/>
  <c r="J16" i="27"/>
  <c r="I16" i="27"/>
  <c r="I17" i="27" s="1"/>
  <c r="J17" i="27"/>
  <c r="H16" i="27"/>
  <c r="G16" i="27"/>
  <c r="H17" i="27"/>
  <c r="F16" i="27"/>
  <c r="F17" i="27" s="1"/>
  <c r="G17" i="27"/>
  <c r="E16" i="27"/>
  <c r="N18" i="22"/>
  <c r="M18" i="22"/>
  <c r="L18" i="22"/>
  <c r="K18" i="22"/>
  <c r="J18" i="22"/>
  <c r="I18" i="22"/>
  <c r="H18" i="22"/>
  <c r="G18" i="22"/>
  <c r="F18" i="22"/>
  <c r="W42" i="20"/>
  <c r="V42" i="20"/>
  <c r="S42" i="20"/>
  <c r="R42" i="20"/>
  <c r="Q42" i="20"/>
  <c r="P42" i="20"/>
  <c r="O42" i="20"/>
  <c r="N42" i="20"/>
  <c r="M42" i="20"/>
  <c r="L42" i="20"/>
  <c r="K42" i="20"/>
  <c r="J42" i="20"/>
  <c r="I42" i="20"/>
  <c r="H42" i="20"/>
  <c r="G42" i="20"/>
  <c r="F42" i="20"/>
  <c r="E42" i="20"/>
  <c r="G9" i="18"/>
  <c r="H9" i="18"/>
  <c r="I9" i="18"/>
  <c r="J9" i="18"/>
  <c r="K9" i="18"/>
  <c r="L9" i="18"/>
  <c r="M9" i="18"/>
  <c r="N9" i="18"/>
  <c r="O9" i="18"/>
  <c r="P9" i="18"/>
  <c r="Q9" i="18"/>
  <c r="R9" i="18"/>
  <c r="G10" i="18"/>
  <c r="H10" i="18"/>
  <c r="I10" i="18"/>
  <c r="J10" i="18"/>
  <c r="K10" i="18"/>
  <c r="L10" i="18"/>
  <c r="M10" i="18"/>
  <c r="N10" i="18"/>
  <c r="O10" i="18"/>
  <c r="P10" i="18"/>
  <c r="Q10" i="18"/>
  <c r="R10" i="18"/>
  <c r="G48" i="18"/>
  <c r="H48" i="18"/>
  <c r="I48" i="18"/>
  <c r="J48" i="18"/>
  <c r="K48" i="18"/>
  <c r="L48" i="18"/>
  <c r="M48" i="18"/>
  <c r="N48" i="18"/>
  <c r="O48" i="18"/>
  <c r="P48" i="18"/>
  <c r="Q48" i="18"/>
  <c r="R48" i="18"/>
  <c r="G49" i="18"/>
  <c r="H49" i="18"/>
  <c r="I49" i="18"/>
  <c r="J49" i="18"/>
  <c r="K49" i="18"/>
  <c r="L49" i="18"/>
  <c r="M49" i="18"/>
  <c r="N49" i="18"/>
  <c r="O49" i="18"/>
  <c r="P49" i="18"/>
  <c r="Q49" i="18"/>
  <c r="R49" i="18"/>
  <c r="O41" i="17"/>
  <c r="AX35" i="17"/>
  <c r="AT35" i="17"/>
  <c r="AP35" i="17"/>
  <c r="AL35" i="17"/>
  <c r="C2" i="17"/>
  <c r="B60" i="16"/>
  <c r="C2" i="16"/>
  <c r="C2" i="14"/>
  <c r="DA133" i="13"/>
  <c r="CZ133" i="13"/>
  <c r="CY133" i="13"/>
  <c r="CX133" i="13"/>
  <c r="CW133" i="13"/>
  <c r="CV133" i="13"/>
  <c r="CU133" i="13"/>
  <c r="CT133" i="13"/>
  <c r="CS133" i="13"/>
  <c r="CR133" i="13"/>
  <c r="CQ133" i="13"/>
  <c r="CP133" i="13"/>
  <c r="CO133" i="13"/>
  <c r="CN133" i="13"/>
  <c r="CM133" i="13"/>
  <c r="CL133" i="13"/>
  <c r="CK133" i="13"/>
  <c r="CJ133" i="13"/>
  <c r="CI133" i="13"/>
  <c r="CH133" i="13"/>
  <c r="B42" i="13"/>
  <c r="E30" i="12"/>
  <c r="C2" i="12"/>
  <c r="C2" i="10"/>
  <c r="C2" i="8"/>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F51" i="7"/>
  <c r="E51" i="7"/>
  <c r="D51" i="7"/>
  <c r="BY49" i="7"/>
  <c r="BU49" i="7"/>
  <c r="BQ49" i="7"/>
  <c r="BM49" i="7"/>
  <c r="BI49" i="7"/>
  <c r="BE49" i="7"/>
  <c r="BA49" i="7"/>
  <c r="AW49" i="7"/>
  <c r="AS49" i="7"/>
  <c r="AO49" i="7"/>
  <c r="AK49" i="7"/>
  <c r="AG49" i="7"/>
  <c r="AC49" i="7"/>
  <c r="Y49" i="7"/>
  <c r="U49" i="7"/>
  <c r="Q49" i="7"/>
  <c r="M49" i="7"/>
  <c r="I49" i="7"/>
  <c r="E49" i="7"/>
  <c r="CF46" i="7"/>
  <c r="CE46" i="7"/>
  <c r="CD46" i="7"/>
  <c r="CC46" i="7"/>
  <c r="CB46" i="7"/>
  <c r="CA46" i="7"/>
  <c r="BZ46" i="7"/>
  <c r="BY46" i="7"/>
  <c r="BX46" i="7"/>
  <c r="BW46" i="7"/>
  <c r="BV46" i="7"/>
  <c r="BU46" i="7"/>
  <c r="BT46" i="7"/>
  <c r="BS46" i="7"/>
  <c r="BR46" i="7"/>
  <c r="BQ46" i="7"/>
  <c r="BP46" i="7"/>
  <c r="BO46" i="7"/>
  <c r="BN46" i="7"/>
  <c r="BM46" i="7"/>
  <c r="BL46" i="7"/>
  <c r="BK46" i="7"/>
  <c r="BJ46" i="7"/>
  <c r="BI46" i="7"/>
  <c r="BH46" i="7"/>
  <c r="BG46"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H46" i="7"/>
  <c r="G46" i="7"/>
  <c r="F46" i="7"/>
  <c r="E46" i="7"/>
  <c r="D46" i="7"/>
  <c r="BM42" i="7"/>
  <c r="C2" i="7"/>
  <c r="C2" i="6"/>
  <c r="C2" i="5"/>
  <c r="D33" i="4"/>
  <c r="C2" i="4"/>
  <c r="AB38" i="3"/>
  <c r="AA38" i="3"/>
  <c r="Z38" i="3"/>
  <c r="Y38" i="3"/>
  <c r="X38" i="3"/>
  <c r="W38" i="3"/>
  <c r="V38" i="3"/>
  <c r="U38" i="3"/>
  <c r="T38" i="3"/>
  <c r="S38" i="3"/>
  <c r="R38" i="3"/>
  <c r="Q38" i="3"/>
  <c r="P38" i="3"/>
  <c r="O38" i="3"/>
  <c r="N38" i="3"/>
  <c r="M38" i="3"/>
  <c r="L38" i="3"/>
  <c r="K38" i="3"/>
  <c r="J38" i="3"/>
  <c r="I38" i="3"/>
  <c r="H38" i="3"/>
  <c r="G38" i="3"/>
  <c r="F38" i="3"/>
  <c r="E38" i="3"/>
  <c r="F6" i="3"/>
  <c r="C2" i="3"/>
  <c r="C2" i="2"/>
  <c r="AG48" i="7" l="1"/>
  <c r="G11" i="73"/>
  <c r="M48" i="7"/>
  <c r="U48" i="7"/>
  <c r="H11" i="73"/>
  <c r="AC48" i="7"/>
  <c r="L11" i="73"/>
  <c r="E11" i="73"/>
  <c r="BA48" i="7"/>
  <c r="M11" i="73"/>
  <c r="AO48" i="7"/>
  <c r="AW48" i="7"/>
  <c r="BE48" i="7"/>
  <c r="BU48" i="7"/>
  <c r="E48" i="7"/>
  <c r="Y48" i="7"/>
  <c r="T11" i="73"/>
  <c r="BM48" i="7"/>
  <c r="J11" i="73"/>
  <c r="F11" i="73"/>
  <c r="I48" i="7"/>
  <c r="AK48" i="7"/>
  <c r="AS48" i="7"/>
  <c r="Q48" i="7"/>
  <c r="BI48" i="7"/>
  <c r="BQ48" i="7"/>
  <c r="BY48" i="7"/>
  <c r="AC40" i="43"/>
  <c r="AD44" i="66"/>
  <c r="AD52" i="66" s="1"/>
  <c r="R44" i="70"/>
  <c r="AC43" i="43"/>
  <c r="AB62" i="43"/>
  <c r="AC62" i="43" s="1"/>
  <c r="S44" i="70"/>
  <c r="W11" i="74"/>
  <c r="X1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Mokgoropo Makgaba</author>
  </authors>
  <commentList>
    <comment ref="D33" authorId="0" shapeId="0" xr:uid="{00000000-0006-0000-0400-000001000000}">
      <text>
        <r>
          <rPr>
            <b/>
            <sz val="9"/>
            <color indexed="81"/>
            <rFont val="Tahoma"/>
            <family val="2"/>
          </rPr>
          <t xml:space="preserve">Mokgoropo Makgaba
</t>
        </r>
        <r>
          <rPr>
            <sz val="9"/>
            <color indexed="81"/>
            <rFont val="Tahoma"/>
            <family val="2"/>
          </rPr>
          <t>Can we use the updated Budget Review. Maybe the 2019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Tshepang Chueu</author>
  </authors>
  <commentList>
    <comment ref="T7" authorId="0" shapeId="0" xr:uid="{00000000-0006-0000-5200-000001000000}">
      <text>
        <r>
          <rPr>
            <b/>
            <sz val="9"/>
            <color indexed="81"/>
            <rFont val="Tahoma"/>
            <family val="2"/>
          </rPr>
          <t>Tshepang Chueu:</t>
        </r>
        <r>
          <rPr>
            <sz val="9"/>
            <color indexed="81"/>
            <rFont val="Tahoma"/>
            <family val="2"/>
          </rPr>
          <t xml:space="preserve">
2021 information to be expected before the end of the year</t>
        </r>
      </text>
    </comment>
  </commentList>
</comments>
</file>

<file path=xl/sharedStrings.xml><?xml version="1.0" encoding="utf-8"?>
<sst xmlns="http://schemas.openxmlformats.org/spreadsheetml/2006/main" count="7904" uniqueCount="1982">
  <si>
    <r>
      <t>Indicator</t>
    </r>
    <r>
      <rPr>
        <sz val="10"/>
        <rFont val="Arial"/>
        <family val="2"/>
      </rPr>
      <t xml:space="preserve">     </t>
    </r>
  </si>
  <si>
    <t xml:space="preserve">Gross Domestic Product (GDP) growth </t>
  </si>
  <si>
    <r>
      <t>Category</t>
    </r>
    <r>
      <rPr>
        <sz val="10"/>
        <rFont val="Arial"/>
        <family val="2"/>
      </rPr>
      <t xml:space="preserve">     </t>
    </r>
  </si>
  <si>
    <t>Current growth</t>
  </si>
  <si>
    <t>Goal</t>
  </si>
  <si>
    <t>GDP growth of 5.4 percent per year</t>
  </si>
  <si>
    <t>Data</t>
  </si>
  <si>
    <t>Table 1</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</si>
  <si>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</si>
  <si>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</si>
  <si>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</si>
  <si>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</si>
  <si>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</si>
  <si>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</si>
  <si>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</si>
  <si>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</si>
  <si>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</si>
  <si>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</si>
  <si>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</si>
  <si>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</si>
  <si>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</si>
  <si>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</si>
  <si>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</si>
  <si>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</si>
  <si>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</si>
  <si>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</si>
  <si>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</si>
  <si>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</si>
  <si>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</si>
  <si>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</si>
  <si>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</si>
  <si>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</si>
  <si>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</si>
  <si>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</si>
  <si>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GDP growth (%)</t>
  </si>
  <si>
    <t>Table 2</t>
  </si>
  <si>
    <t>GDP Growth rate % country comparison (Year-on-Year)</t>
  </si>
  <si>
    <t>Argentina</t>
  </si>
  <si>
    <t>Australia</t>
  </si>
  <si>
    <t>Botswana</t>
  </si>
  <si>
    <t>Brazil</t>
  </si>
  <si>
    <t>Canada</t>
  </si>
  <si>
    <t>Chile</t>
  </si>
  <si>
    <t>Colombia</t>
  </si>
  <si>
    <t>Ghana</t>
  </si>
  <si>
    <t>Iceland</t>
  </si>
  <si>
    <t>India</t>
  </si>
  <si>
    <t>Indonesia</t>
  </si>
  <si>
    <t>Kenya</t>
  </si>
  <si>
    <t>Korea, Republic</t>
  </si>
  <si>
    <t>Malaysia</t>
  </si>
  <si>
    <t>Mexico</t>
  </si>
  <si>
    <t>Poland</t>
  </si>
  <si>
    <t>Portugal</t>
  </si>
  <si>
    <t>Slovak Rep</t>
  </si>
  <si>
    <t>Spain</t>
  </si>
  <si>
    <t>Graph</t>
  </si>
  <si>
    <t xml:space="preserve">                                                                                                               </t>
  </si>
  <si>
    <t>Data format</t>
  </si>
  <si>
    <t>Percentage change in GDP</t>
  </si>
  <si>
    <t>Definition</t>
  </si>
  <si>
    <r>
      <rPr>
        <b/>
        <sz val="10"/>
        <rFont val="Arial"/>
        <family val="2"/>
      </rPr>
      <t>GDP</t>
    </r>
    <r>
      <rPr>
        <sz val="10"/>
        <rFont val="Arial"/>
        <family val="2"/>
      </rPr>
      <t xml:space="preserve"> is the total market value of all goods and services produced in a country. It includes total consumption expenditure, capital formation, government consumption expenditure and the value of exports less the value of imports</t>
    </r>
  </si>
  <si>
    <t>Data source</t>
  </si>
  <si>
    <t>1. Statistics South Africa, GDP statistical releases.
2. World Bank Development Indicators, www.worldbank.org</t>
  </si>
  <si>
    <t>Data Note</t>
  </si>
  <si>
    <r>
      <rPr>
        <b/>
        <sz val="10"/>
        <rFont val="Arial"/>
        <family val="2"/>
      </rPr>
      <t>Real GDP</t>
    </r>
    <r>
      <rPr>
        <sz val="10"/>
        <rFont val="Arial"/>
        <family val="2"/>
      </rPr>
      <t xml:space="preserve"> is the nominal GDP adjusted for inflation. Annual percentage growth rates based on constant 2010 rand prices are used to calculate real GDP</t>
    </r>
  </si>
  <si>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</si>
  <si>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</si>
  <si>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</si>
  <si>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</si>
  <si>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</si>
  <si>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</si>
  <si>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</si>
  <si>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To grow per capita income by 3 percent per annum</t>
  </si>
  <si>
    <t>Table</t>
  </si>
  <si>
    <t xml:space="preserve">Real per capita GDP growth </t>
  </si>
  <si>
    <t>Per Capita GDP (%)</t>
  </si>
  <si>
    <t>Annual GDP per capita at 2010 constant prices: percentage change</t>
  </si>
  <si>
    <r>
      <rPr>
        <b/>
        <sz val="10"/>
        <rFont val="Arial"/>
        <family val="2"/>
      </rPr>
      <t>GDP per capita</t>
    </r>
    <r>
      <rPr>
        <sz val="10"/>
        <rFont val="Arial"/>
        <family val="2"/>
      </rPr>
      <t xml:space="preserve"> is a measure of a country’s economic output that accounts for its number of people. </t>
    </r>
  </si>
  <si>
    <t>South African Reserve Bank (SARB) Quarterly Bulletins</t>
  </si>
  <si>
    <t>The quarterly data series is used  to update the graph, while the table uses annual data</t>
  </si>
  <si>
    <r>
      <rPr>
        <b/>
        <sz val="10"/>
        <rFont val="Arial"/>
        <family val="2"/>
      </rPr>
      <t>GDP per capita</t>
    </r>
    <r>
      <rPr>
        <sz val="10"/>
        <color rgb="FF000000"/>
        <rFont val="Arial"/>
        <family val="2"/>
      </rPr>
      <t xml:space="preserve"> shows the ratio between the GDP divided by the number of people in the country. </t>
    </r>
    <r>
      <rPr>
        <sz val="10"/>
        <color theme="1"/>
        <rFont val="Arial"/>
        <family val="2"/>
      </rPr>
      <t>Annual GDP per capita at 2010 constant prices are used to calculate the percentage change</t>
    </r>
  </si>
  <si>
    <t>Net Foreign Direct Investment (Net FDI)</t>
  </si>
  <si>
    <t>Sustainable growth</t>
  </si>
  <si>
    <t>To increase Foreign Direct Investment in South Africa</t>
  </si>
  <si>
    <t xml:space="preserve">Table </t>
  </si>
  <si>
    <t>R'bn</t>
  </si>
  <si>
    <t>FDI</t>
  </si>
  <si>
    <t>Annual data: display only year, not month</t>
  </si>
  <si>
    <t xml:space="preserve">Ashraf: we need to have the same data in dollar terms </t>
  </si>
  <si>
    <t>Annual figures in rand billions</t>
  </si>
  <si>
    <r>
      <rPr>
        <b/>
        <sz val="10"/>
        <rFont val="Arial"/>
        <family val="2"/>
      </rPr>
      <t>FDI net inflows</t>
    </r>
    <r>
      <rPr>
        <sz val="10"/>
        <color theme="1"/>
        <rFont val="Arial"/>
        <family val="2"/>
      </rPr>
      <t xml:space="preserve"> are the value of inward direct investment made by non-resident investors in the reporting economy. </t>
    </r>
    <r>
      <rPr>
        <b/>
        <sz val="10"/>
        <color theme="1"/>
        <rFont val="Arial"/>
        <family val="2"/>
      </rPr>
      <t>FDI net outflows</t>
    </r>
    <r>
      <rPr>
        <sz val="10"/>
        <color theme="1"/>
        <rFont val="Arial"/>
        <family val="2"/>
      </rPr>
      <t xml:space="preserve"> are the value of outward direct investment made by the residents of the reporting economy to external economies.  </t>
    </r>
  </si>
  <si>
    <t>The rate of investment to GDP to rise to 30 percent by 2030</t>
  </si>
  <si>
    <t>GFCF (%)</t>
  </si>
  <si>
    <t>GFCF Quarterly at annualised rate as a percentage of GDP</t>
  </si>
  <si>
    <r>
      <rPr>
        <b/>
        <sz val="10"/>
        <rFont val="Arial"/>
        <family val="2"/>
      </rPr>
      <t>GFCF</t>
    </r>
    <r>
      <rPr>
        <sz val="10"/>
        <rFont val="Arial"/>
        <family val="2"/>
      </rPr>
      <t xml:space="preserve"> is the value of acquisitions of capital goods (e.g. machinery, equipment and buildings) by firms, adjusted for disposals, constitutes gross fixed capital formation.</t>
    </r>
  </si>
  <si>
    <t>South African Reserve Bank (SARB) quarterly bulletins.</t>
  </si>
  <si>
    <t>%</t>
  </si>
  <si>
    <t>Economic governance</t>
  </si>
  <si>
    <t>Fiscal policy adjustments to reduce the budget deficit</t>
  </si>
  <si>
    <t>Budget Balance as percentage of GDP</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</si>
  <si>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</si>
  <si>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</si>
  <si>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</si>
  <si>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</si>
  <si>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</si>
  <si>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</si>
  <si>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</si>
  <si>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</si>
  <si>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</si>
  <si>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</si>
  <si>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</si>
  <si>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</si>
  <si>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</si>
  <si>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</si>
  <si>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</si>
  <si>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</si>
  <si>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</si>
  <si>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</si>
  <si>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</si>
  <si>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</si>
  <si>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</si>
  <si>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</si>
  <si>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</si>
  <si>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</si>
  <si>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</si>
  <si>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</si>
  <si>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Budget Deficit</t>
  </si>
  <si>
    <r>
      <rPr>
        <b/>
        <sz val="10"/>
        <rFont val="Arial"/>
        <family val="2"/>
      </rPr>
      <t>Budget deficit</t>
    </r>
    <r>
      <rPr>
        <sz val="10"/>
        <color theme="1"/>
        <rFont val="Arial"/>
        <family val="2"/>
      </rPr>
      <t xml:space="preserve"> indicates the extent to which government expenditure exceeds government revenue. </t>
    </r>
    <r>
      <rPr>
        <b/>
        <sz val="10"/>
        <color theme="1"/>
        <rFont val="Arial"/>
        <family val="2"/>
      </rPr>
      <t>Budget surplus</t>
    </r>
    <r>
      <rPr>
        <sz val="10"/>
        <color theme="1"/>
        <rFont val="Arial"/>
        <family val="2"/>
      </rPr>
      <t xml:space="preserve"> indicates the extent to which government revenue exceeds government expenditure.</t>
    </r>
  </si>
  <si>
    <t>Consolidation to stabilise and reduce government’s debt-to-GDP ratio</t>
  </si>
  <si>
    <t>Net Government debt as a percentage of GDP</t>
  </si>
  <si>
    <t>Net Government Debt</t>
  </si>
  <si>
    <t>Gross government debt as percentage of GDP</t>
  </si>
  <si>
    <t>National Treasury Budget Review 2018</t>
  </si>
  <si>
    <t xml:space="preserve">Data note </t>
  </si>
  <si>
    <t>Interest rates: real and nominal</t>
  </si>
  <si>
    <t>Macroeconomic stability</t>
  </si>
  <si>
    <t>Low real interest rate that promotes the sustainability of growth and employment creation</t>
  </si>
  <si>
    <t>Interest Rates (prime)</t>
  </si>
  <si>
    <t>Real Interest</t>
  </si>
  <si>
    <t>Nominal Interest</t>
  </si>
  <si>
    <t>Interest Rates (repo)</t>
  </si>
  <si>
    <t xml:space="preserve">                                                                                                                                                                                                                                     </t>
  </si>
  <si>
    <t>`</t>
  </si>
  <si>
    <t>Rate</t>
  </si>
  <si>
    <r>
      <rPr>
        <b/>
        <sz val="10"/>
        <rFont val="Arial"/>
        <family val="2"/>
      </rPr>
      <t>Interest rate</t>
    </r>
    <r>
      <rPr>
        <sz val="10"/>
        <rFont val="Arial"/>
        <family val="2"/>
      </rPr>
      <t xml:space="preserve"> is the amount of interest (payment by a borrower to a lender for the use of funds) payable over a certain period, usually a year, expressed as a percentage of the amount borrowed.</t>
    </r>
  </si>
  <si>
    <t xml:space="preserve">South African Reserve Bank (SARB) Quarterly bulletins. Data provided by National Treasury  </t>
  </si>
  <si>
    <r>
      <rPr>
        <b/>
        <sz val="10"/>
        <rFont val="Arial"/>
        <family val="2"/>
      </rPr>
      <t>Nominal interest rate</t>
    </r>
    <r>
      <rPr>
        <sz val="10"/>
        <rFont val="Arial"/>
        <family val="2"/>
      </rPr>
      <t xml:space="preserve"> is prime overdraft rate (the prime overdraft rate is the lowest rate at which a clearing bank will lend money to its clients on overdraft). </t>
    </r>
    <r>
      <rPr>
        <b/>
        <sz val="10"/>
        <rFont val="Arial"/>
        <family val="2"/>
      </rPr>
      <t>Real interest rate</t>
    </r>
    <r>
      <rPr>
        <sz val="10"/>
        <rFont val="Arial"/>
        <family val="2"/>
      </rPr>
      <t xml:space="preserve"> is prime less Consumer Price Inflation (CPI) rate (see indicator 8: Inflation Rate). </t>
    </r>
    <r>
      <rPr>
        <b/>
        <sz val="10"/>
        <rFont val="Arial"/>
        <family val="2"/>
      </rPr>
      <t>Repurchase (repo) rate:</t>
    </r>
    <r>
      <rPr>
        <sz val="10"/>
        <rFont val="Arial"/>
        <family val="2"/>
      </rPr>
      <t xml:space="preserve"> This is the policy rate that is set by the Monetary Policy Committee (MPC). It is the rate that commercial banks pay to borrow money from the Reserve Bank</t>
    </r>
  </si>
  <si>
    <t>Real interest</t>
  </si>
  <si>
    <t>Nominal interest</t>
  </si>
  <si>
    <t>Average Interest</t>
  </si>
  <si>
    <t xml:space="preserve">Average Nominal </t>
  </si>
  <si>
    <t>Real</t>
  </si>
  <si>
    <t>Nom</t>
  </si>
  <si>
    <t>CPI</t>
  </si>
  <si>
    <t>Consumer Price Index (CPI)</t>
  </si>
  <si>
    <t xml:space="preserve">Consumer price Inflation should be between 3 and 6 percent </t>
  </si>
  <si>
    <t>Consumer Price Index</t>
  </si>
  <si>
    <t>Average</t>
  </si>
  <si>
    <t>CPI Rate</t>
  </si>
  <si>
    <t>Statistics South Africa's CPI and Consumer Price Index excluding mortgage (CPIX) costs data.</t>
  </si>
  <si>
    <t xml:space="preserve">CPI </t>
  </si>
  <si>
    <t>Bond points spread</t>
  </si>
  <si>
    <t>South Africa should pay as small a premium as possible on its bonds issue</t>
  </si>
  <si>
    <t>Bond Point Spread</t>
  </si>
  <si>
    <t>Bond Points Spread</t>
  </si>
  <si>
    <t xml:space="preserve">Rate </t>
  </si>
  <si>
    <r>
      <rPr>
        <b/>
        <sz val="10"/>
        <rFont val="Arial"/>
        <family val="2"/>
      </rPr>
      <t>Bond points spread</t>
    </r>
    <r>
      <rPr>
        <sz val="10"/>
        <rFont val="Arial"/>
        <family val="2"/>
      </rPr>
      <t xml:space="preserve"> is the measurement of risk between developed and developing economy in terms of difference paid for borrowing.</t>
    </r>
  </si>
  <si>
    <t>JP Morgan Emerging Market Bond Index, South African data via Bloomberg (JPSSGSAF index).</t>
  </si>
  <si>
    <r>
      <t xml:space="preserve">The </t>
    </r>
    <r>
      <rPr>
        <b/>
        <sz val="10"/>
        <rFont val="Arial"/>
        <family val="2"/>
      </rPr>
      <t>yield spread</t>
    </r>
    <r>
      <rPr>
        <sz val="10"/>
        <rFont val="Arial"/>
        <family val="2"/>
      </rPr>
      <t xml:space="preserve"> is a key metric that bond investors use when gauging the level of expense for a bond or group of bonds, e.g. if one bond is yielding 7 percent and another is yielding 4 percent, the spread is three percentage points, or 300 basis points.</t>
    </r>
  </si>
  <si>
    <t>Bond point spread</t>
  </si>
  <si>
    <t>Expenditure on Research and Development (R&amp;D)</t>
  </si>
  <si>
    <t>Future competitiveness</t>
  </si>
  <si>
    <t>To achieve R&amp;D expenditure of at least 1.5 percent of GDP by 2019</t>
  </si>
  <si>
    <t>Analysis</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</si>
  <si>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</si>
  <si>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</si>
  <si>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</si>
  <si>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</si>
  <si>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</si>
  <si>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</si>
  <si>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</si>
  <si>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</si>
  <si>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</si>
  <si>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 of GDP</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</si>
  <si>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</si>
  <si>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</si>
  <si>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</si>
  <si>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</si>
  <si>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t>Data definition</t>
  </si>
  <si>
    <r>
      <t>Expenditure on R&amp;D is the amount of private and public funds spent on research and experimental development.</t>
    </r>
    <r>
      <rPr>
        <sz val="10"/>
        <color rgb="FFFF0000"/>
        <rFont val="Arial"/>
        <family val="2"/>
      </rPr>
      <t xml:space="preserve">  </t>
    </r>
  </si>
  <si>
    <t>Information and communication technology</t>
  </si>
  <si>
    <t>Infrastructure</t>
  </si>
  <si>
    <t>To improve ICT infrastructure of South Africa, particularly broadband penetration to 100 percent by 2020</t>
  </si>
  <si>
    <t>Telephone, Cellular, Internet and Broadband subscribers</t>
  </si>
  <si>
    <t>Mobile cellular subscriptions</t>
  </si>
  <si>
    <t>Mobile cellular subscriptions (per 100 people)</t>
  </si>
  <si>
    <t>Fixed broadband Internet subscribers</t>
  </si>
  <si>
    <t>Fixed broadband Internet subscribers (per 100 people)</t>
  </si>
  <si>
    <t>Network readiness index</t>
  </si>
  <si>
    <t>Rank</t>
  </si>
  <si>
    <t xml:space="preserve">Table 3
</t>
  </si>
  <si>
    <t>HOUSEHOLDS OWNING VARIOUS HOUSEHOLD  ICT GOODS (CENSUS)</t>
  </si>
  <si>
    <t>Cellphone</t>
  </si>
  <si>
    <t>Radio</t>
  </si>
  <si>
    <t>Computer</t>
  </si>
  <si>
    <t>Television</t>
  </si>
  <si>
    <t>Landline telephone</t>
  </si>
  <si>
    <t>Table 3.1</t>
  </si>
  <si>
    <t>HOUSEHOLDS OWNING VARIOUS HOUSEHOLD  ICT GOODS (GENERAL HOUSEHOLD SURVEY)</t>
  </si>
  <si>
    <t>Number, ratio, Index</t>
  </si>
  <si>
    <r>
      <rPr>
        <b/>
        <u/>
        <sz val="10"/>
        <rFont val="Arial"/>
        <family val="2"/>
      </rPr>
      <t>Mobile cellular telephone subscriptions</t>
    </r>
    <r>
      <rPr>
        <sz val="10"/>
        <rFont val="Arial"/>
        <family val="2"/>
      </rPr>
      <t xml:space="preserve"> are subscriptions to a public mobile telephone service using cellular technology, which provide access to the public switched telephone network. Post-paid and prepaid subscriptions are included.</t>
    </r>
    <r>
      <rPr>
        <u/>
        <sz val="10"/>
        <rFont val="Arial"/>
        <family val="2"/>
      </rPr>
      <t xml:space="preserve">
</t>
    </r>
    <r>
      <rPr>
        <b/>
        <u/>
        <sz val="10"/>
        <rFont val="Arial"/>
        <family val="2"/>
      </rPr>
      <t>Telephone line</t>
    </r>
    <r>
      <rPr>
        <u/>
        <sz val="10"/>
        <rFont val="Arial"/>
        <family val="2"/>
      </rPr>
      <t xml:space="preserv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t>
    </r>
    <r>
      <rPr>
        <b/>
        <u/>
        <sz val="10"/>
        <rFont val="Arial"/>
        <family val="2"/>
      </rPr>
      <t>Fixed broadband Internet subscribers</t>
    </r>
    <r>
      <rPr>
        <u/>
        <sz val="10"/>
        <rFont val="Arial"/>
        <family val="2"/>
      </rPr>
      <t xml:space="preserve"> </t>
    </r>
    <r>
      <rPr>
        <sz val="10"/>
        <rFont val="Arial"/>
        <family val="2"/>
      </rPr>
      <t>are the number of broadband subscribers with a digital subscriber line, cable modem, or other high-speed technology.</t>
    </r>
    <r>
      <rPr>
        <u/>
        <sz val="10"/>
        <rFont val="Arial"/>
        <family val="2"/>
      </rPr>
      <t xml:space="preserve">
</t>
    </r>
    <r>
      <rPr>
        <b/>
        <u/>
        <sz val="10"/>
        <rFont val="Arial"/>
        <family val="2"/>
      </rPr>
      <t>Secure servers</t>
    </r>
    <r>
      <rPr>
        <u/>
        <sz val="10"/>
        <rFont val="Arial"/>
        <family val="2"/>
      </rPr>
      <t xml:space="preserve"> </t>
    </r>
    <r>
      <rPr>
        <sz val="10"/>
        <rFont val="Arial"/>
        <family val="2"/>
      </rPr>
      <t>are servers using encryption technology in Internet transactions.</t>
    </r>
    <r>
      <rPr>
        <u/>
        <sz val="10"/>
        <rFont val="Arial"/>
        <family val="2"/>
      </rPr>
      <t xml:space="preserve">
</t>
    </r>
    <r>
      <rPr>
        <b/>
        <u/>
        <sz val="10"/>
        <rFont val="Arial"/>
        <family val="2"/>
      </rPr>
      <t>Internet users</t>
    </r>
    <r>
      <rPr>
        <u/>
        <sz val="10"/>
        <rFont val="Arial"/>
        <family val="2"/>
      </rPr>
      <t xml:space="preserve"> </t>
    </r>
    <r>
      <rPr>
        <sz val="10"/>
        <rFont val="Arial"/>
        <family val="2"/>
      </rPr>
      <t xml:space="preserve">are people with access to the worldwide network. </t>
    </r>
    <r>
      <rPr>
        <b/>
        <u/>
        <sz val="10"/>
        <rFont val="Arial"/>
        <family val="2"/>
      </rPr>
      <t>The network readiness index</t>
    </r>
    <r>
      <rPr>
        <sz val="10"/>
        <rFont val="Arial"/>
        <family val="2"/>
      </rPr>
      <t xml:space="preserve">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</si>
  <si>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</si>
  <si>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</si>
  <si>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</si>
  <si>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</si>
  <si>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</si>
  <si>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</si>
  <si>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</si>
  <si>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</si>
  <si>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</si>
  <si>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</si>
  <si>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</si>
  <si>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</si>
  <si>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China</t>
  </si>
  <si>
    <t>United Kingdom</t>
  </si>
  <si>
    <t>New Zealand</t>
  </si>
  <si>
    <t>Singapore</t>
  </si>
  <si>
    <t>Russian Federation</t>
  </si>
  <si>
    <t>Republic of Korea</t>
  </si>
  <si>
    <t>Japan</t>
  </si>
  <si>
    <t>Others</t>
  </si>
  <si>
    <t>Total</t>
  </si>
  <si>
    <t>Table and Graph</t>
  </si>
  <si>
    <t>Table 3</t>
  </si>
  <si>
    <t>Patents applicants by top fields of technology  (1998 to 2014)</t>
  </si>
  <si>
    <t>1997 to 2012</t>
  </si>
  <si>
    <t>2000 to 2014</t>
  </si>
  <si>
    <t>2001 to 2015</t>
  </si>
  <si>
    <t>2002 to 2016</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</si>
  <si>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</si>
  <si>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</si>
  <si>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</si>
  <si>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</si>
  <si>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</si>
  <si>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</si>
  <si>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</si>
  <si>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</si>
  <si>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</si>
  <si>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</si>
  <si>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</si>
  <si>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</si>
  <si>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Table 4</t>
  </si>
  <si>
    <t>Resident</t>
  </si>
  <si>
    <t>1,010</t>
  </si>
  <si>
    <t>Non-Resident</t>
  </si>
  <si>
    <t>6,663</t>
  </si>
  <si>
    <t>6,179</t>
  </si>
  <si>
    <t>2,497</t>
  </si>
  <si>
    <t>1,858</t>
  </si>
  <si>
    <t>4,167</t>
  </si>
  <si>
    <t>4,835</t>
  </si>
  <si>
    <t>Abroad</t>
  </si>
  <si>
    <t>Numbers</t>
  </si>
  <si>
    <r>
      <t xml:space="preserve">A </t>
    </r>
    <r>
      <rPr>
        <b/>
        <sz val="10"/>
        <rFont val="Arial"/>
        <family val="2"/>
      </rPr>
      <t>Patent</t>
    </r>
    <r>
      <rPr>
        <sz val="10"/>
        <rFont val="Arial"/>
        <family val="2"/>
      </rPr>
      <t xml:space="preserve"> is a set of exclusive rights granted by a state (national government) to an inventor or their assignee for a limited period of time in exchange for a public disclosure of an invention. A </t>
    </r>
    <r>
      <rPr>
        <b/>
        <sz val="10"/>
        <rFont val="Arial"/>
        <family val="2"/>
      </rPr>
      <t xml:space="preserve">resident filing </t>
    </r>
    <r>
      <rPr>
        <sz val="10"/>
        <rFont val="Arial"/>
        <family val="2"/>
      </rPr>
      <t xml:space="preserve">refers to an application filed in the country by its own resident; whereas a non-resident filing refers to the one filed by a foreign applicant. An </t>
    </r>
    <r>
      <rPr>
        <b/>
        <sz val="10"/>
        <rFont val="Arial"/>
        <family val="2"/>
      </rPr>
      <t>abroad filing</t>
    </r>
    <r>
      <rPr>
        <sz val="10"/>
        <rFont val="Arial"/>
        <family val="2"/>
      </rPr>
      <t xml:space="preserve"> refers to an application filed by this country's resident at a foreign office. </t>
    </r>
  </si>
  <si>
    <t>WIPO statistics database</t>
  </si>
  <si>
    <t xml:space="preserve">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t>
  </si>
  <si>
    <t>Balance of payments</t>
  </si>
  <si>
    <t>Competitiveness</t>
  </si>
  <si>
    <t>To increase the ratio of exports to GDP</t>
  </si>
  <si>
    <t>Exports, Imports, Trade balance and balance on current account</t>
  </si>
  <si>
    <t xml:space="preserve">Imports </t>
  </si>
  <si>
    <t>Exports</t>
  </si>
  <si>
    <t>Trade balance</t>
  </si>
  <si>
    <t xml:space="preserve">Balance on current account </t>
  </si>
  <si>
    <t>Percentage of GDP</t>
  </si>
  <si>
    <t>Balance of Payment (BoP) is a record of transactions between the home country and the rest of the world over a specific period of time. It includes the current account and financial account.</t>
  </si>
  <si>
    <t>South African Reserve Bank (SARB) Quarterly Bulletins.</t>
  </si>
  <si>
    <t>Data note</t>
  </si>
  <si>
    <t>Exports (constant 2000 prices) R'billions</t>
  </si>
  <si>
    <t xml:space="preserve">Ratio of exports to GDP </t>
  </si>
  <si>
    <t>Volume of Trade (2000=base)</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</si>
  <si>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</si>
  <si>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</si>
  <si>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</si>
  <si>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</si>
  <si>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</si>
  <si>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</si>
  <si>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</si>
  <si>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</si>
  <si>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</si>
  <si>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</si>
  <si>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</si>
  <si>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</si>
  <si>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</si>
  <si>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</si>
  <si>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</si>
  <si>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</si>
  <si>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</si>
  <si>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</si>
  <si>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</si>
  <si>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</si>
  <si>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2019/20</t>
  </si>
  <si>
    <t>Estonia</t>
  </si>
  <si>
    <t>Lithuania</t>
  </si>
  <si>
    <t>Slovakia</t>
  </si>
  <si>
    <t>South Africa</t>
  </si>
  <si>
    <t>Latvia</t>
  </si>
  <si>
    <t>Hungary</t>
  </si>
  <si>
    <t>Mauritius</t>
  </si>
  <si>
    <t>Romania</t>
  </si>
  <si>
    <t>No. of Countries</t>
  </si>
  <si>
    <t>Global Competitiveness - IMD</t>
  </si>
  <si>
    <t>Overall rankings</t>
  </si>
  <si>
    <t>no data</t>
  </si>
  <si>
    <t>Slovakia ( Republic)</t>
  </si>
  <si>
    <t xml:space="preserve">South Africa </t>
  </si>
  <si>
    <t>Ranking by category : South Africa only</t>
  </si>
  <si>
    <t>Economic performance</t>
  </si>
  <si>
    <t>Government efficiency</t>
  </si>
  <si>
    <t>Business efficiency</t>
  </si>
  <si>
    <t>Normalised data of the selected economic group - Upper Middle Income Economies</t>
  </si>
  <si>
    <r>
      <t xml:space="preserve">In its </t>
    </r>
    <r>
      <rPr>
        <b/>
        <sz val="10"/>
        <rFont val="Arial"/>
        <family val="2"/>
      </rPr>
      <t>Global Competitiveness Index WEF</t>
    </r>
    <r>
      <rPr>
        <sz val="10"/>
        <rFont val="Arial"/>
        <family val="2"/>
      </rPr>
      <t xml:space="preserve">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r>
  </si>
  <si>
    <t xml:space="preserve">The Global Competitiveness Reports 2006-2018;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</si>
  <si>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</si>
  <si>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</si>
  <si>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</si>
  <si>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</si>
  <si>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</si>
  <si>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</si>
  <si>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</si>
  <si>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</si>
  <si>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</si>
  <si>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</si>
  <si>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</si>
  <si>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</si>
  <si>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</si>
  <si>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</si>
  <si>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</si>
  <si>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</si>
  <si>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</si>
  <si>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</si>
  <si>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</si>
  <si>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</si>
  <si>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</si>
  <si>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</si>
  <si>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</si>
  <si>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</si>
  <si>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</si>
  <si>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</si>
  <si>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</si>
  <si>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</si>
  <si>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</si>
  <si>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</si>
  <si>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Normalised data of the selected economic group – Upper Middle Income Economies. It should be noted that the methodologies employed by these global indices have limitations, particular in their use of limited samples of large business leaders and their use of opinion-based data, where hard numbers could arguably provide better measurements.</t>
  </si>
  <si>
    <t>Black and Female Managers</t>
  </si>
  <si>
    <t>Empowerment</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</si>
  <si>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</si>
  <si>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</si>
  <si>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</si>
  <si>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</si>
  <si>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</si>
  <si>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</si>
  <si>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</si>
  <si>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r>
      <rPr>
        <b/>
        <sz val="10"/>
        <rFont val="Arial"/>
        <family val="2"/>
      </rPr>
      <t>Black managers</t>
    </r>
    <r>
      <rPr>
        <sz val="10"/>
        <rFont val="Arial"/>
        <family val="2"/>
      </rPr>
      <t xml:space="preserve"> include Africans, Coloureds and Indians, but data does not include male and female foreign nationals.</t>
    </r>
  </si>
  <si>
    <t>Department of Labour, Commission on Employment Equity Annual Report, Appendix A Table on number of employees (including employees with disabilities).</t>
  </si>
  <si>
    <t>Top and Senior managers who are black</t>
  </si>
  <si>
    <t>Black Top managers</t>
  </si>
  <si>
    <t>Black Senior Managers</t>
  </si>
  <si>
    <t>Female Top Managers</t>
  </si>
  <si>
    <t>Female Senior Managers</t>
  </si>
  <si>
    <t xml:space="preserve">For odd years (2001, 2003, 2005, 2007, 2009 ,2011, 2013, 2015) data is based on large companies only
For even years (2002, 2004, 2006, 2008, 2010, 2012, 2014, 2016) data is based on all companies (large and small)
Employers with 150 or more employees ( large employers) are required to submit reports annually and employers with less than 150 employees (small employers) are expected to submit reports every two years to the Department of Labour
</t>
  </si>
  <si>
    <t>Real GDP growth rate % (Year on Year) for South Africa</t>
  </si>
  <si>
    <r>
      <rPr>
        <b/>
        <sz val="10"/>
        <rFont val="Arial"/>
        <family val="2"/>
      </rPr>
      <t>FDI</t>
    </r>
    <r>
      <rPr>
        <sz val="10"/>
        <rFont val="Arial"/>
        <family val="2"/>
      </rPr>
      <t xml:space="preserve"> is an investment in the form of a controlling ownership in a business in one country by an entity based in another country</t>
    </r>
    <r>
      <rPr>
        <b/>
        <sz val="10"/>
        <rFont val="Arial"/>
        <family val="2"/>
      </rPr>
      <t>. Net FDI</t>
    </r>
    <r>
      <rPr>
        <sz val="10"/>
        <rFont val="Arial"/>
        <family val="2"/>
      </rPr>
      <t xml:space="preserve"> is long-term direct investment by foreigners in the economy.  </t>
    </r>
  </si>
  <si>
    <t>Gross Fixed Capital Formation (GFCF)</t>
  </si>
  <si>
    <t>Gross Fixed Capital Formation as a Percentage of GDP</t>
  </si>
  <si>
    <t>Budget Balance as a percentage of GDP</t>
  </si>
  <si>
    <r>
      <rPr>
        <b/>
        <sz val="10"/>
        <rFont val="Arial"/>
        <family val="2"/>
      </rPr>
      <t>Budget Balance before borrowing</t>
    </r>
    <r>
      <rPr>
        <sz val="10"/>
        <rFont val="Arial"/>
        <family val="2"/>
      </rPr>
      <t xml:space="preserve"> is the difference between total government revenue and expenditure as percentage of GDP.</t>
    </r>
  </si>
  <si>
    <t>Budget Balance before borrowing</t>
  </si>
  <si>
    <t>Government Debt</t>
  </si>
  <si>
    <r>
      <rPr>
        <b/>
        <sz val="10"/>
        <rFont val="Arial"/>
        <family val="2"/>
      </rPr>
      <t>Net loan debt</t>
    </r>
    <r>
      <rPr>
        <sz val="10"/>
        <rFont val="Arial"/>
        <family val="2"/>
      </rPr>
      <t xml:space="preserve"> is gross loan debt minus National Revenue Fund (NRF) bank balances.</t>
    </r>
  </si>
  <si>
    <r>
      <rPr>
        <b/>
        <sz val="10"/>
        <rFont val="Arial"/>
        <family val="2"/>
      </rPr>
      <t>Net loan debt</t>
    </r>
    <r>
      <rPr>
        <sz val="10"/>
        <rFont val="Arial"/>
        <family val="2"/>
      </rPr>
      <t xml:space="preserve">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 from 1 April every year. This indicator is mostly used by investors to measure the country’s ability to pay its debt commitments, it is therefore, affects it borrowing costs and the yields of its bonds.</t>
    </r>
  </si>
  <si>
    <r>
      <rPr>
        <b/>
        <sz val="10"/>
        <rFont val="Arial"/>
        <family val="2"/>
      </rPr>
      <t>Inflation</t>
    </r>
    <r>
      <rPr>
        <sz val="10"/>
        <rFont val="Arial"/>
        <family val="2"/>
      </rPr>
      <t xml:space="preserve"> is an increase in the overall price level of goods and services in an economy over a specific period of time. </t>
    </r>
    <r>
      <rPr>
        <b/>
        <sz val="10"/>
        <rFont val="Arial"/>
        <family val="2"/>
      </rPr>
      <t>CPI</t>
    </r>
    <r>
      <rPr>
        <sz val="10"/>
        <rFont val="Arial"/>
        <family val="2"/>
      </rPr>
      <t xml:space="preserve"> is the rise in prices of a typical basket of goods, as measured by Stats SA. </t>
    </r>
  </si>
  <si>
    <r>
      <rPr>
        <b/>
        <sz val="10"/>
        <rFont val="Arial"/>
        <family val="2"/>
      </rPr>
      <t>Headline consumer price index (CPI)</t>
    </r>
    <r>
      <rPr>
        <sz val="10"/>
        <rFont val="Arial"/>
        <family val="2"/>
      </rPr>
      <t xml:space="preserve"> is a measure of price levels in all urban areas. The 12-month percentage change in headline CPI is referred to as ‘headline CPI inflation’ and reflects changes in the cost of living. The currently targeted inflation is the headline CPI for all urban areas. </t>
    </r>
    <r>
      <rPr>
        <b/>
        <sz val="10"/>
        <rFont val="Arial"/>
        <family val="2"/>
      </rPr>
      <t>CPIX</t>
    </r>
    <r>
      <rPr>
        <sz val="10"/>
        <rFont val="Arial"/>
        <family val="2"/>
      </rPr>
      <t xml:space="preserve"> is the consumer price index excluding mortgage costs. </t>
    </r>
    <r>
      <rPr>
        <b/>
        <sz val="10"/>
        <rFont val="Arial"/>
        <family val="2"/>
      </rPr>
      <t>CPIX</t>
    </r>
    <r>
      <rPr>
        <sz val="10"/>
        <rFont val="Arial"/>
        <family val="2"/>
      </rPr>
      <t xml:space="preserve"> was used between 2000 and 2009 as a measure of inflation. </t>
    </r>
  </si>
  <si>
    <t>Balance of Payments</t>
  </si>
  <si>
    <t xml:space="preserve">Trade balance refers to: Merchandise exports plus Net gold exports minus Merchandise imports (free on board)
Balance on current account refers to Trade balance + net income payments + net service payments + current transfers.
Current account of the BoP consists of net exports (exports net imports) in the trade account as well as the services, income and current transfer account.
Exports refers to: The quantity or value of all that is exported from a country Imports refers to: The quantity or value of all that is imported into a country.
</t>
  </si>
  <si>
    <t xml:space="preserve">National Patents Granted </t>
  </si>
  <si>
    <t>Department of Science and Innovation, South African National Survey of Research and Experimental Development, Statistical report 2017/18</t>
  </si>
  <si>
    <r>
      <rPr>
        <b/>
        <sz val="10"/>
        <rFont val="Arial"/>
        <family val="2"/>
      </rPr>
      <t>R&amp;D</t>
    </r>
    <r>
      <rPr>
        <sz val="10"/>
        <color theme="1"/>
        <rFont val="Arial"/>
        <family val="2"/>
      </rPr>
      <t xml:space="preserve">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r>
  </si>
  <si>
    <t>Employment</t>
  </si>
  <si>
    <t>To increase employment to 24 million in 2030</t>
  </si>
  <si>
    <t>Thousands ('000)</t>
  </si>
  <si>
    <t>Informal sector employment (excl agric)</t>
  </si>
  <si>
    <t>Formal sector employement (excl agric)</t>
  </si>
  <si>
    <t>Agriculture</t>
  </si>
  <si>
    <t>Private households</t>
  </si>
  <si>
    <t>Total Employment</t>
  </si>
  <si>
    <t>Population 15-64</t>
  </si>
  <si>
    <t>Labour absorption rate</t>
  </si>
  <si>
    <t>Labour force participation rate</t>
  </si>
  <si>
    <t>Labour absorption rate by province</t>
  </si>
  <si>
    <t>Western Cape</t>
  </si>
  <si>
    <t>Eastern Cape</t>
  </si>
  <si>
    <t>Northern Cape</t>
  </si>
  <si>
    <t>Free State</t>
  </si>
  <si>
    <t>KwaZulu-Natal</t>
  </si>
  <si>
    <t>North West</t>
  </si>
  <si>
    <t>Gauteng</t>
  </si>
  <si>
    <t>Mpumalanga</t>
  </si>
  <si>
    <t>Limpopo</t>
  </si>
  <si>
    <r>
      <rPr>
        <b/>
        <sz val="10"/>
        <rFont val="Arial"/>
        <family val="2"/>
      </rPr>
      <t>Employed persons</t>
    </r>
    <r>
      <rPr>
        <sz val="10"/>
        <rFont val="Arial"/>
        <family val="2"/>
      </rPr>
      <t xml:space="preserve"> are those aged 15-64, who did any work or who did not work but had a job or business in the seven days prior to the survey interview. 
</t>
    </r>
    <r>
      <rPr>
        <b/>
        <sz val="10"/>
        <rFont val="Arial"/>
        <family val="2"/>
      </rPr>
      <t>Labour force participation rate</t>
    </r>
    <r>
      <rPr>
        <sz val="10"/>
        <rFont val="Arial"/>
        <family val="2"/>
      </rPr>
      <t xml:space="preserve"> is the either proportion of the working-age population that is employed or unemployed. 
</t>
    </r>
    <r>
      <rPr>
        <b/>
        <sz val="10"/>
        <rFont val="Arial"/>
        <family val="2"/>
      </rPr>
      <t>Labour absorption rate</t>
    </r>
    <r>
      <rPr>
        <sz val="10"/>
        <rFont val="Arial"/>
        <family val="2"/>
      </rPr>
      <t xml:space="preserve"> is the proportion of the working-age population that is employed. For international comparisons, Stats SA uses the United Nations Definition of the youth as those aged between 15 and 34 years. 
According to the National Youth Commission (SAYC) Act, 1996 (Act 19 of 1996), youth is defined as young people between the ages of 15 to 34 years.
</t>
    </r>
  </si>
  <si>
    <t>Stats SA’s LFS (2001-2007) and QLFS (2008-2017).</t>
  </si>
  <si>
    <t xml:space="preserve">Annual data is derived by pooling together the four quarters of the QLFS. For LFS annual data is obtained by averaging the biannual LFS (March and September).
</t>
  </si>
  <si>
    <t>Labour force participation rate by province</t>
  </si>
  <si>
    <t>Labour force participation rate by gender</t>
  </si>
  <si>
    <t>Male</t>
  </si>
  <si>
    <t>Female</t>
  </si>
  <si>
    <t>Labour force absorption rate by gender</t>
  </si>
  <si>
    <t>Sep</t>
  </si>
  <si>
    <t>Unemployment (broad and narrow)</t>
  </si>
  <si>
    <t>To reduce unemployment by at least half to 14 percent in 2020 and 6 percent in 2030.</t>
  </si>
  <si>
    <t>Narrow (official)</t>
  </si>
  <si>
    <t>Broad (unofficial)</t>
  </si>
  <si>
    <t>Unemployment rate by province (Official)</t>
  </si>
  <si>
    <t>Province</t>
  </si>
  <si>
    <t>Unemployment rate by age group - Official definition</t>
  </si>
  <si>
    <t>15-24 yrs</t>
  </si>
  <si>
    <t>25-34 yrs</t>
  </si>
  <si>
    <t>35-44 yrs</t>
  </si>
  <si>
    <t>45-54 yrs</t>
  </si>
  <si>
    <t>55-64 yrs</t>
  </si>
  <si>
    <t>Long and short term unemployed</t>
  </si>
  <si>
    <t>Long term unemployed</t>
  </si>
  <si>
    <t>Short term unemployed</t>
  </si>
  <si>
    <t>Total unemployed</t>
  </si>
  <si>
    <t>Long term unemployed as a share of Total</t>
  </si>
  <si>
    <t>Percentage, numbers</t>
  </si>
  <si>
    <r>
      <rPr>
        <b/>
        <sz val="10"/>
        <rFont val="Arial"/>
        <family val="2"/>
      </rPr>
      <t>Narrow (official)</t>
    </r>
    <r>
      <rPr>
        <sz val="10"/>
        <rFont val="Arial"/>
        <family val="2"/>
      </rPr>
      <t xml:space="preserve"> is the number of people who were without work in the reference week, have taken steps to look for work or start a business and were available to work. </t>
    </r>
    <r>
      <rPr>
        <b/>
        <sz val="10"/>
        <rFont val="Arial"/>
        <family val="2"/>
      </rPr>
      <t xml:space="preserve">Broad (unofficial) </t>
    </r>
    <r>
      <rPr>
        <sz val="10"/>
        <rFont val="Arial"/>
        <family val="2"/>
      </rPr>
      <t xml:space="preserve">is the number of people who were without work in the reference week and were available to work. Persons in short-term unemployment have been unemployed, available for work, and looking for a job for less than one year. </t>
    </r>
  </si>
  <si>
    <t>Stats SA’s LFS (2001-2007) and QLFS (2008-2017)</t>
  </si>
  <si>
    <t>Annual data is derived by pooling together the four quarters of the QLFS. Individual weights are divided by four and reported numbers are the averages for the year. For LFS annual data obtained by averaging the biannual LFS (March and September).</t>
  </si>
  <si>
    <t>Unemployment rate by age group-official definition</t>
  </si>
  <si>
    <t>15 - 24</t>
  </si>
  <si>
    <t>25 - 34</t>
  </si>
  <si>
    <t>35 - 44</t>
  </si>
  <si>
    <t>45 - 54</t>
  </si>
  <si>
    <t>55 - 64</t>
  </si>
  <si>
    <t>Unemployment rate by gender-expanded definition</t>
  </si>
  <si>
    <t>Unemployment rate by age group-expanded definition</t>
  </si>
  <si>
    <t>Unemployment rate by gender-official definition</t>
  </si>
  <si>
    <t xml:space="preserve">Work Opportunities created by the Expanded Public Works Programme (EPWP) </t>
  </si>
  <si>
    <t>EPWP</t>
  </si>
  <si>
    <t>To provide 6 000 000 work opportunities by 2019 through the labour-intensive delivery of public and community assets and services</t>
  </si>
  <si>
    <t xml:space="preserve"> PHASE 1-3 (2004/05 to 2014/15): Gross work opportunities created</t>
  </si>
  <si>
    <t>Environment &amp; Culture</t>
  </si>
  <si>
    <t>Social</t>
  </si>
  <si>
    <t>Economic</t>
  </si>
  <si>
    <t>Non-State Sectors</t>
  </si>
  <si>
    <t>Community Works (DCoG)</t>
  </si>
  <si>
    <t>Non Profit Organisation (NPO)</t>
  </si>
  <si>
    <t>Annual total</t>
  </si>
  <si>
    <t>Cumulative total</t>
  </si>
  <si>
    <t>PHASE 3: EPWP Overall National Consolidated Report per sector for the period 1 April 2018 to 31 March 2019</t>
  </si>
  <si>
    <t>Number 
of Projects</t>
  </si>
  <si>
    <t>Person-years
of work
including training  (FTE)</t>
  </si>
  <si>
    <t xml:space="preserve">Person-Years 
of
training
</t>
  </si>
  <si>
    <t>Number 
of work
opportunities
created</t>
  </si>
  <si>
    <t xml:space="preserve">% of
 youth
</t>
  </si>
  <si>
    <t xml:space="preserve">% of women
</t>
  </si>
  <si>
    <t>% of people 
with
disabilities</t>
  </si>
  <si>
    <t xml:space="preserve">Infrastructure </t>
  </si>
  <si>
    <t>Environment and Culture</t>
  </si>
  <si>
    <t xml:space="preserve">Social </t>
  </si>
  <si>
    <t>PHASE 3: EPWP Overall National Consolidated Report per province for the period 1 April 2018 to 31 March 2019</t>
  </si>
  <si>
    <t>Person-years
of work
including training (FTE)</t>
  </si>
  <si>
    <t xml:space="preserve">% of 
women
</t>
  </si>
  <si>
    <t>Free Sate</t>
  </si>
  <si>
    <t>Number of work opportunities created</t>
  </si>
  <si>
    <r>
      <t xml:space="preserve">A </t>
    </r>
    <r>
      <rPr>
        <b/>
        <sz val="10"/>
        <rFont val="Arial"/>
        <family val="2"/>
      </rPr>
      <t>work opportunity</t>
    </r>
    <r>
      <rPr>
        <sz val="10"/>
        <rFont val="Arial"/>
        <family val="2"/>
      </rPr>
      <t xml:space="preserve"> is paid work created for an individual for any period. The same individual can be employed on different projects and each period of employment will be counted as a work opportunity. One Person-Year of work is equal to 230 paid working days including paid training days. Non State Sector includes Community works (DCoG) and Non-profit organisation (NPO's).</t>
    </r>
  </si>
  <si>
    <t>Department of Public Works; EPWP Phase 1-3 data; Report Quarter 4, 2016/17.</t>
  </si>
  <si>
    <t>* Work opportunities created with adjustments to account for multi-year projects.</t>
  </si>
  <si>
    <t>Work opportunities created by the community works Programme</t>
  </si>
  <si>
    <r>
      <t>1 000 000 (one million)</t>
    </r>
    <r>
      <rPr>
        <sz val="10"/>
        <color indexed="10"/>
        <rFont val="Arial"/>
        <family val="2"/>
      </rPr>
      <t xml:space="preserve"> </t>
    </r>
    <r>
      <rPr>
        <sz val="10"/>
        <rFont val="Arial"/>
        <family val="2"/>
      </rPr>
      <t>Work opportunities created through CWP by</t>
    </r>
    <r>
      <rPr>
        <sz val="10"/>
        <color indexed="10"/>
        <rFont val="Arial"/>
        <family val="2"/>
      </rPr>
      <t xml:space="preserve"> </t>
    </r>
    <r>
      <rPr>
        <sz val="10"/>
        <rFont val="Arial"/>
        <family val="2"/>
      </rPr>
      <t>2019</t>
    </r>
  </si>
  <si>
    <t>Number of opportunities created per province</t>
  </si>
  <si>
    <t>Not available</t>
  </si>
  <si>
    <r>
      <t xml:space="preserve">A </t>
    </r>
    <r>
      <rPr>
        <b/>
        <sz val="10"/>
        <rFont val="Arial"/>
        <family val="2"/>
      </rPr>
      <t>work opportunity</t>
    </r>
    <r>
      <rPr>
        <sz val="10"/>
        <rFont val="Arial"/>
        <family val="2"/>
      </rPr>
      <t xml:space="preserve"> is paid work created for an individual for any period. The same individual can be employed on different projects and each period of employment will be counted as a work opportunity.</t>
    </r>
  </si>
  <si>
    <t xml:space="preserve">Department of Public Works; CWP data
</t>
  </si>
  <si>
    <t xml:space="preserve">Figures do not add up due to double counting, for instance a participant could be a woman with special needs (disabilities). </t>
  </si>
  <si>
    <r>
      <t>Indicator</t>
    </r>
    <r>
      <rPr>
        <sz val="10"/>
        <rFont val="Arial Narrow"/>
        <family val="2"/>
      </rPr>
      <t xml:space="preserve">     </t>
    </r>
  </si>
  <si>
    <t>South Africa Multidimensional poverty Index (SAMPI)</t>
  </si>
  <si>
    <r>
      <t>Category</t>
    </r>
    <r>
      <rPr>
        <sz val="10"/>
        <rFont val="Arial Narrow"/>
        <family val="2"/>
      </rPr>
      <t xml:space="preserve">     </t>
    </r>
  </si>
  <si>
    <t xml:space="preserve">Poverty </t>
  </si>
  <si>
    <t>To reduce the poverty gap and the severity of poverty</t>
  </si>
  <si>
    <t xml:space="preserve">                                               Table:  Povery Measures </t>
  </si>
  <si>
    <t>Headcount (H)</t>
  </si>
  <si>
    <t>Intensity (A)</t>
  </si>
  <si>
    <t>SAMPI score</t>
  </si>
  <si>
    <t>RSA</t>
  </si>
  <si>
    <t>KwaZulu Natal</t>
  </si>
  <si>
    <t>Index</t>
  </si>
  <si>
    <r>
      <t xml:space="preserve">South African Multidimensional poverty index (SAMPI) :Is a non monetory measure of poverty taking into account the social aspects of poverty besides income and expenditure. The index encompasses the various deprivations experienced of the poor – such as poor health, lack of education, inadequate living standards and unemployment. It defined a combination of access to municipal services, assets and economic activity. </t>
    </r>
    <r>
      <rPr>
        <b/>
        <sz val="10"/>
        <rFont val="Arial Narrow"/>
        <family val="2"/>
      </rPr>
      <t>Headcount</t>
    </r>
    <r>
      <rPr>
        <sz val="10"/>
        <rFont val="Arial Narrow"/>
        <family val="2"/>
      </rPr>
      <t xml:space="preserve"> is the proportion of households defined as multidimensionally poor using the poverty cut-off. </t>
    </r>
    <r>
      <rPr>
        <b/>
        <sz val="10"/>
        <rFont val="Arial Narrow"/>
        <family val="2"/>
      </rPr>
      <t>Intensity of the poverty</t>
    </r>
    <r>
      <rPr>
        <sz val="10"/>
        <rFont val="Arial Narrow"/>
        <family val="2"/>
      </rPr>
      <t xml:space="preserve"> is defined as the average proportion of indicators in which poor households are deprived.</t>
    </r>
  </si>
  <si>
    <t>The South African MPI: Creating a multidimensional poverty index using census data, StatsSA</t>
  </si>
  <si>
    <t>Notes on calculations</t>
  </si>
  <si>
    <t xml:space="preserve">SAMPI score is derived from the product of the headcount, known as H and the intensity of the poverty experienced, known as A. The SAMPI is not intended to replace the poverty headcounts and gaps produced by Stats SA using the national poverty lines that have been developed . SAMPI should rather be seen as a complementary measure to these money-metric measures. </t>
  </si>
  <si>
    <t>Inequality measures</t>
  </si>
  <si>
    <t>Poverty and inequality</t>
  </si>
  <si>
    <t>To reduce income inequality to 0.6 by 2030</t>
  </si>
  <si>
    <t>NIDS</t>
  </si>
  <si>
    <t>Gini coefficient</t>
  </si>
  <si>
    <t xml:space="preserve"> Income</t>
  </si>
  <si>
    <t>African</t>
  </si>
  <si>
    <t>Asian</t>
  </si>
  <si>
    <t>Coloured</t>
  </si>
  <si>
    <t>White</t>
  </si>
  <si>
    <t xml:space="preserve"> Expenditure</t>
  </si>
  <si>
    <t>Theil (0)</t>
  </si>
  <si>
    <t>Within-Race</t>
  </si>
  <si>
    <t>Expenditure</t>
  </si>
  <si>
    <t>Between-Share</t>
  </si>
  <si>
    <t>Income</t>
  </si>
  <si>
    <t>Between-Race</t>
  </si>
  <si>
    <t>Theil (1)</t>
  </si>
  <si>
    <t xml:space="preserve">Table 2 </t>
  </si>
  <si>
    <t>Gini Coefficient by province</t>
  </si>
  <si>
    <t xml:space="preserve">Province </t>
  </si>
  <si>
    <t xml:space="preserve">Gauteng </t>
  </si>
  <si>
    <t>StatsSA</t>
  </si>
  <si>
    <t>0.70</t>
  </si>
  <si>
    <t>0.68</t>
  </si>
  <si>
    <t>0.67</t>
  </si>
  <si>
    <t>0.65</t>
  </si>
  <si>
    <t>0.71</t>
  </si>
  <si>
    <t>0.62</t>
  </si>
  <si>
    <t>0.61</t>
  </si>
  <si>
    <t>0.60</t>
  </si>
  <si>
    <t>0.63</t>
  </si>
  <si>
    <t>Indian/Asian</t>
  </si>
  <si>
    <t>0.54</t>
  </si>
  <si>
    <t>0.58</t>
  </si>
  <si>
    <t>0.56</t>
  </si>
  <si>
    <t>0.53</t>
  </si>
  <si>
    <t>0.55</t>
  </si>
  <si>
    <t>0.59</t>
  </si>
  <si>
    <t>0.45</t>
  </si>
  <si>
    <t>0.50</t>
  </si>
  <si>
    <t>0.44</t>
  </si>
  <si>
    <t>0.51</t>
  </si>
  <si>
    <t>0.49</t>
  </si>
  <si>
    <t>0.48</t>
  </si>
  <si>
    <t>0.47</t>
  </si>
  <si>
    <t>0.43</t>
  </si>
  <si>
    <t>Gini (per capita income)</t>
  </si>
  <si>
    <t>Gini (per capita expenditure)</t>
  </si>
  <si>
    <t xml:space="preserve">Gini coefficient measures the inequality as a proportion of its theoretical maximum. The Gini coefficient can range from 0 (no inequality) to one (complete inequality).            </t>
  </si>
  <si>
    <t>National Income Dynamic Survey, 2017.</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</si>
  <si>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</si>
  <si>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Poverty headcount index</t>
  </si>
  <si>
    <t xml:space="preserve">Eliminate income poverty </t>
  </si>
  <si>
    <t>Poverty Headcount Index</t>
  </si>
  <si>
    <t>Percentage of the population that is UBPL poor</t>
  </si>
  <si>
    <t>Number of UBPL poor persons (in millions)</t>
  </si>
  <si>
    <t>Percentage of the population that is LBPL poor</t>
  </si>
  <si>
    <t>Number of LBPL poor persons (in millions)</t>
  </si>
  <si>
    <t>Percentage of the population living in extreme poverty (below FPL)</t>
  </si>
  <si>
    <t>Number of extremely poor persons (in millions)</t>
  </si>
  <si>
    <t>Percentage.</t>
  </si>
  <si>
    <t xml:space="preserve">Poverty headcount index is the share of the population whose in-kind consumption is below the upper bound poverty line; that is, the share of the population that cannot meet its basic needs (this is also referred to as P0).
</t>
  </si>
  <si>
    <t>Poverty trends in South Africa: An examination of absolute poverty between 2006 and 2015/ Statistics South Africa, 2017.</t>
  </si>
  <si>
    <t>Notes on calculation</t>
  </si>
  <si>
    <t xml:space="preserve">The upper bound poverty line was used to determine the poverty headcount index. Cost of goods (food, clothing, etc.) and services (taxi fare, electricity, etc.), as well as consumption patterns are key drivers in the design of the poverty lines. The prices of goods and services are expected to change over time, though in different ways and at different rates. With time, changes in the cost of living affect purchasing power or value implied by poverty lines. To maintain integrity in the absolute poverty lines, two types of updates are required. These include adjustments by means of inflation index (updating happens annually based on CPI data) or construction of new lines (done once every five years based on new household expenditure data collected through an IES or LCS). </t>
  </si>
  <si>
    <t>POVERTY HEADCOUNT INDEX</t>
  </si>
  <si>
    <t>Poverty gap analysis: Poverty Gap Index (P1) and Squared Poverty Gap Index (P2)</t>
  </si>
  <si>
    <t>P1: Poverty Gap</t>
  </si>
  <si>
    <t xml:space="preserve">P2: Severity of poverty </t>
  </si>
  <si>
    <t xml:space="preserve">Total </t>
  </si>
  <si>
    <t xml:space="preserve">Percentage. </t>
  </si>
  <si>
    <t xml:space="preserve">Depth of poverty (P1) is based on how far below the poverty line the average income, i.e. how deep their poverty is. This provides the mean distance of the population from the poverty line relative to the poverty line. Severity of poverty (P2) is based on the square of the gap between the poverty line and the incomes of the poor, thus it gives great weight to those who are most deeply in poverty. This takes into account not only the distance separating the population from the poverty line (the poverty gap), but also the inequality among the poor. That is, a higher weight is placed on those households/individuals who are further away from the poverty line. </t>
  </si>
  <si>
    <t xml:space="preserve">Household expenditure surveys used, like the Income and Expenditure Survey (IES) And Living Conditions Survey (LCS). 
</t>
  </si>
  <si>
    <t>Social-assistance support</t>
  </si>
  <si>
    <t xml:space="preserve">Improve access to social secutiy including social-assistance </t>
  </si>
  <si>
    <t>Social assistance grants recipients</t>
  </si>
  <si>
    <t>Grant type</t>
  </si>
  <si>
    <t>Old Age Grant</t>
  </si>
  <si>
    <t>War Veterans Grant</t>
  </si>
  <si>
    <t>Disability Grant</t>
  </si>
  <si>
    <t>Grant in Aid</t>
  </si>
  <si>
    <t>Foster Child Grant</t>
  </si>
  <si>
    <t>Child Dependency Grant</t>
  </si>
  <si>
    <t>Child Support Grant</t>
  </si>
  <si>
    <t>Growth Rate</t>
  </si>
  <si>
    <t>Social assistance grants recipients per province, 31 March 2012</t>
  </si>
  <si>
    <t>Social assistance grants recipients per province, 31 March 2013</t>
  </si>
  <si>
    <t>Social assistance grants recipients per province, 31 March 2014</t>
  </si>
  <si>
    <t>Social assistance grants recipients per province, 31 March 2015</t>
  </si>
  <si>
    <t>Social grants per province, 31 March 2016</t>
  </si>
  <si>
    <t>Social grants per province, 31 March 2017</t>
  </si>
  <si>
    <t>Social grants per province, 31 March 2018</t>
  </si>
  <si>
    <t>Social grants per province, 31 March 2019</t>
  </si>
  <si>
    <t>Social grants per province, 31 March 2020</t>
  </si>
  <si>
    <t>Mpuma-langa</t>
  </si>
  <si>
    <t>North-West</t>
  </si>
  <si>
    <t>Old age</t>
  </si>
  <si>
    <t>War Veteran</t>
  </si>
  <si>
    <t>Permanent disability</t>
  </si>
  <si>
    <t>Temporary disability</t>
  </si>
  <si>
    <t>Grant-in-aid</t>
  </si>
  <si>
    <t>Total 2006/07</t>
  </si>
  <si>
    <t>Total 2007/08</t>
  </si>
  <si>
    <t>Total 2008/09</t>
  </si>
  <si>
    <t>Total 2009/10</t>
  </si>
  <si>
    <t>Total 2010/11</t>
  </si>
  <si>
    <t>Total 2011/12</t>
  </si>
  <si>
    <t>Total 2012/13</t>
  </si>
  <si>
    <t>Total 2013/14</t>
  </si>
  <si>
    <t>Total 2014/15</t>
  </si>
  <si>
    <t>Total 2015/16</t>
  </si>
  <si>
    <t>Total 2016/17</t>
  </si>
  <si>
    <t>Total 2017/18</t>
  </si>
  <si>
    <t>Total 2018/19</t>
  </si>
  <si>
    <t>Total 2019/20</t>
  </si>
  <si>
    <t>Social assistance grant expenditure</t>
  </si>
  <si>
    <t xml:space="preserve">
2013/14 </t>
  </si>
  <si>
    <t xml:space="preserve">
2014/15</t>
  </si>
  <si>
    <t xml:space="preserve">
2015/16</t>
  </si>
  <si>
    <t>Expenditure (R million)</t>
  </si>
  <si>
    <t>Number of recipients, Rand in million, Percentage of GDP</t>
  </si>
  <si>
    <t>Total number of recipients of social-assistance grants as recorded for each financial year.</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</si>
  <si>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</si>
  <si>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People with disabilities</t>
  </si>
  <si>
    <t>Empowerment and equity</t>
  </si>
  <si>
    <t>To implement inclusive education and mainstreaming disability in South Africa</t>
  </si>
  <si>
    <t xml:space="preserve"> Statistics South Africa data on people with diabilities</t>
  </si>
  <si>
    <t>Census 1996</t>
  </si>
  <si>
    <t>Census 2001</t>
  </si>
  <si>
    <t>Community Survey 2007</t>
  </si>
  <si>
    <t>Census 2011</t>
  </si>
  <si>
    <t>% of total population</t>
  </si>
  <si>
    <t>SASSA data on Disability Grant Beneficiaries</t>
  </si>
  <si>
    <t>1996/07</t>
  </si>
  <si>
    <t>1997/08</t>
  </si>
  <si>
    <t>1998/09</t>
  </si>
  <si>
    <t>2007/08*</t>
  </si>
  <si>
    <t>Number of Care Dependency Grant Beneficiaries</t>
  </si>
  <si>
    <t>Number of Disability Grant Beneficiaries</t>
  </si>
  <si>
    <t>Total Number of Disabled Beneficiaries</t>
  </si>
  <si>
    <t>Disability grant beneficiaries as a % of total social grant beneficiaries</t>
  </si>
  <si>
    <t>Total social grant beneficiaries</t>
  </si>
  <si>
    <t>Department of Education data on Special Schools  Matric Pass Rate</t>
  </si>
  <si>
    <t>In special schools</t>
  </si>
  <si>
    <t>Number of Learners who wrote Matric in Special Schools</t>
  </si>
  <si>
    <t>Number of Learners who passed without endorsement</t>
  </si>
  <si>
    <t>Learners who received a Conditional Pass</t>
  </si>
  <si>
    <t>Learners Passed with Endorsement</t>
  </si>
  <si>
    <t>Total Pass</t>
  </si>
  <si>
    <t>Pass rate</t>
  </si>
  <si>
    <t>Department of Labour data on Employees with disabilities</t>
  </si>
  <si>
    <t>Top Management</t>
  </si>
  <si>
    <t>Senior Management</t>
  </si>
  <si>
    <t>Number of disabled population, Percentage</t>
  </si>
  <si>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</si>
  <si>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</si>
  <si>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www.dpme.gov.za</t>
  </si>
  <si>
    <r>
      <t>Indicator</t>
    </r>
    <r>
      <rPr>
        <sz val="10"/>
        <rFont val="Arial"/>
        <family val="2"/>
      </rPr>
      <t xml:space="preserve">     </t>
    </r>
  </si>
  <si>
    <t>Housing needs</t>
  </si>
  <si>
    <r>
      <t>Category</t>
    </r>
    <r>
      <rPr>
        <sz val="10"/>
        <rFont val="Arial"/>
        <family val="2"/>
      </rPr>
      <t xml:space="preserve">     </t>
    </r>
  </si>
  <si>
    <t>Subsidised housing</t>
  </si>
  <si>
    <r>
      <t>Meeting housing needs</t>
    </r>
    <r>
      <rPr>
        <sz val="10"/>
        <rFont val="Arial"/>
        <family val="2"/>
      </rPr>
      <t xml:space="preserve"> by creating sustainable human settlements </t>
    </r>
  </si>
  <si>
    <t>Number of households - Statistics South Africa</t>
  </si>
  <si>
    <t>Number of households (HH)</t>
  </si>
  <si>
    <t>HH in formal dwelling</t>
  </si>
  <si>
    <t>HH in formal dwelling as a % of total HH</t>
  </si>
  <si>
    <t>Tenure status for households living in formal dwellings</t>
  </si>
  <si>
    <t>Fully Owned</t>
  </si>
  <si>
    <t>Partially Owned</t>
  </si>
  <si>
    <t>Renting</t>
  </si>
  <si>
    <t>Other</t>
  </si>
  <si>
    <t>HH not in formal dwelling</t>
  </si>
  <si>
    <t xml:space="preserve">HH in traditional structures </t>
  </si>
  <si>
    <r>
      <t>Subsidised Housing</t>
    </r>
    <r>
      <rPr>
        <b/>
        <sz val="8"/>
        <rFont val="Arial"/>
        <family val="2"/>
      </rPr>
      <t xml:space="preserve"> - Department of Human Settlements</t>
    </r>
  </si>
  <si>
    <t xml:space="preserve">2003/04  </t>
  </si>
  <si>
    <t>Beneficiaries</t>
  </si>
  <si>
    <t>Subsidised Housing units (cumulative)</t>
  </si>
  <si>
    <t>Serviced sites completed</t>
  </si>
  <si>
    <t>Houses completed</t>
  </si>
  <si>
    <t>Subsidised Housing opportunities by province - Department of Human Settlements</t>
  </si>
  <si>
    <t>Numbers, Percentage</t>
  </si>
  <si>
    <t xml:space="preserve">Formal dwelling refers to a structure built according to approved plans, i,e, house on a separate stand, flat or apartment, townhouse, room in backyard, rooms or flatlet elsewhere, Contrasted with informal dwelling and traditional dwelling, Informal dwelling is a makeshift structure not erected according to approved architectural plans, for example shacks or shanties in informal settlements or in backyards,
Beneficiaries refers to the number of beneficiaries in respect of whom subsidies have been approved for the relevent period,                                                                                                                                                                                                               
Serviced sites completed: Refers to sites (erven) in a formal township (with a township register) where occupants will have secure tenure and possibly ownership of the erf (stand),serviced sites are delivered on a project level in conjunction with township proclamation processes, where applicable, For the stand to be deemed a serviced site, the minimum level of engineering service are a metered water connection to each stand, road access for each stand, a VIP toilet or higher sanitation service for each stand and storm-water management systems for the development area,                                                                                                                                                                                                                                                                                                                                                    Houses/Units completed: Refers to separate houses and residential units (top structures) developed across any of the housing programmes whether built as separate houses or as units in multi-floor structures, including affordable rental and Community Residential Units (CRU), This excludes units re-built in the Rectification Programme, 
                                                                                    </t>
  </si>
  <si>
    <t xml:space="preserve">Housing delivery in the first five years of democracy varied greatly from year to year and from province to province as different systems of reporting and monitoring had to be unified,The difference in household figures is due to the different methodologies used by the departments where data is sourced vis a vis the various surveys conducted by Statistics SA,  
Data reported for beneficiaries  is a cumulative figure from 1994/95                                                                                                                                                                                                                                                              </t>
  </si>
  <si>
    <t>Potable water</t>
  </si>
  <si>
    <t>Basic services</t>
  </si>
  <si>
    <t xml:space="preserve">5.2 million additional households with access to water services  (MTSF 2014-2019) </t>
  </si>
  <si>
    <t xml:space="preserve">Table 1 </t>
  </si>
  <si>
    <t>Percentage of households with access to piped water by province</t>
  </si>
  <si>
    <t>Northen Cape</t>
  </si>
  <si>
    <t>Westen Cape</t>
  </si>
  <si>
    <t>Number of households with access to piped water by province</t>
  </si>
  <si>
    <t>Households with access to potable water</t>
  </si>
  <si>
    <t>Numbers, percentage</t>
  </si>
  <si>
    <t>Data source for basic services data was changed from Department of Water Affairs to Stats SA's GHS.</t>
  </si>
  <si>
    <t>Percentage of households with access to piped water</t>
  </si>
  <si>
    <t>Sanitation</t>
  </si>
  <si>
    <t xml:space="preserve">90 percent of households in South Africa to have access to improved sanitation facilities by 2019. </t>
  </si>
  <si>
    <t>Percentage of households with access to improved sanitation facilities by province</t>
  </si>
  <si>
    <t>Number of  households with access to improved sanitation facilities by province</t>
  </si>
  <si>
    <t xml:space="preserve">Table 3 </t>
  </si>
  <si>
    <t>Number of  households using bucket toilet system by province</t>
  </si>
  <si>
    <t xml:space="preserve">Households with with access to improved sanitation facilities 
</t>
  </si>
  <si>
    <t xml:space="preserve">Improved sanitation facilities are defined as flush toilets connected to a public sewerage system or a septic tank, or a pit toilet with a ventilation pipe  </t>
  </si>
  <si>
    <t xml:space="preserve">Percentage of households with access to improved sanitation facilities </t>
  </si>
  <si>
    <t>Proportion of households with access to electricity</t>
  </si>
  <si>
    <t xml:space="preserve">The proportion of people with access to the electricity grid should increase to 90 percent by 2030, with balance met through off-grid technologies (NDP 2030) </t>
  </si>
  <si>
    <t xml:space="preserve"> Households with access to electricity</t>
  </si>
  <si>
    <t>Total number of households</t>
  </si>
  <si>
    <t>HH with access to electricity</t>
  </si>
  <si>
    <t>HH with no access to electricity</t>
  </si>
  <si>
    <t>Number of households with grid elecricity by Province,2002-2017</t>
  </si>
  <si>
    <t>Department of Mineral Resources and Energy's data on grid electrical connections</t>
  </si>
  <si>
    <t>New electrical connections</t>
  </si>
  <si>
    <t>New electrical connections(cumulative)</t>
  </si>
  <si>
    <t>Department of Mineral Resources and Energy's data on off-grid technologies connections</t>
  </si>
  <si>
    <t xml:space="preserve">HOUSEHOLDS WITH ACCESS TO ELECTRICITY
</t>
  </si>
  <si>
    <t>Table 1 &amp; 2: Date stamp - end of March each year, cumulative numbers</t>
  </si>
  <si>
    <t>Number, Percentage</t>
  </si>
  <si>
    <t>Number of households connected to grid electricity through Eskom and municipalities.</t>
  </si>
  <si>
    <t>Table 1, 2: data sourced from StatsSA's GHS (2002-2018); Table 3, 4: Data sourced from Department of Mineral Resources and Energy</t>
  </si>
  <si>
    <t>Cumulative figures calculated by adding figure for previous year to current figure. Household figures based on Department of Mineral Resources and Energy's projection using census data. Additional data disaggregated by province is available in the Excel version on the DPME website: www.thepresidency-dpme.gov.za. Data source for basic services data was changed from Department of Mineral Resources and Energy to Stats SA's GHS.</t>
  </si>
  <si>
    <t>Land restitution</t>
  </si>
  <si>
    <t>Assets</t>
  </si>
  <si>
    <t xml:space="preserve">To provide equitable redress to victims of racially motivated land dispossession, in line with the provisions of the Restitution of 1994 Land Rights Act, as amended </t>
  </si>
  <si>
    <t>Land restitution cumulatives trends</t>
  </si>
  <si>
    <t xml:space="preserve">Cumulative Settled claims </t>
  </si>
  <si>
    <t>Cumulative Finalised claims</t>
  </si>
  <si>
    <t>Table  2</t>
  </si>
  <si>
    <t>Provincial breakdown of cumulative statistics on settled restitution claims 1995-2018/19</t>
  </si>
  <si>
    <t xml:space="preserve">GRANTS IN RANDS </t>
  </si>
  <si>
    <t>Claims</t>
  </si>
  <si>
    <t>Households</t>
  </si>
  <si>
    <t>Hectares (Ha)</t>
  </si>
  <si>
    <t>Land Costs</t>
  </si>
  <si>
    <t>Financial Compensation</t>
  </si>
  <si>
    <t xml:space="preserve">Development </t>
  </si>
  <si>
    <t>RDG</t>
  </si>
  <si>
    <t>SPG</t>
  </si>
  <si>
    <t>RSG</t>
  </si>
  <si>
    <t>TOTAL</t>
  </si>
  <si>
    <t>Cumulative numbers</t>
  </si>
  <si>
    <t xml:space="preserve">Settled claims are claims that have been resolved with an approved signed section submission or land claims court order, implementation thereof is still ongoing.
Finalised / Settled claims are claims that have been brought to completion with the transfer of land/funds to the relevant beneficiaries’ i.e. all actions pertaining to a specific claim have been dealt with; Number of land restitution claims settled. 
Development grant is where claimants have opted to become part of a housing development building of clinic or an electrification project or any infrastructure development.
Financial Compensation - where claimants have opted for monetary compensation and not restoration of original or alternative land. 
</t>
  </si>
  <si>
    <t xml:space="preserve">Department of Rural Development and Land Reform's Office of the Chief Land Claims Commissioner </t>
  </si>
  <si>
    <t xml:space="preserve">Statistics compiled on the information reflected in the Database of Settled Restitution claims. The database is on an ongoing basis subjected to internal audit. 
The Commission started to keep official statistics on finalised claims from 2011 and therefore can only report on the claims finalised from the 2010/2011 financial year onwards.
The Restitution Discretionary Grant was set at a maximum of R3 000 per restitution claimant household where the original land is to be restored or where compensatory land is to be granted.
The Settlement Planning Grant (SPG) was set at maximum of R1 440 per restitution claimant household to be used to enlist the services of planners and other professionals. 
The Restitution Settlement Grant is set at a maximum of R6 595 per restitution claimant household and it was introducted in 2007/08 to replace the Restitution Discretionary Grant and the Settlement Planning Grant. 
</t>
  </si>
  <si>
    <t>Land redistribution</t>
  </si>
  <si>
    <t>Promote equitable land redistribution and agricultural development by acquiring strategically located land by 2030 (NDP)</t>
  </si>
  <si>
    <t>Land redistribution-hectares delivered</t>
  </si>
  <si>
    <t>2000
(Jan-Mar)</t>
  </si>
  <si>
    <t>Annual Target</t>
  </si>
  <si>
    <t>Distributed hectares per year</t>
  </si>
  <si>
    <t>Cumulative</t>
  </si>
  <si>
    <t>Land redistribution-hectares delivered by province</t>
  </si>
  <si>
    <t xml:space="preserve"> -   </t>
  </si>
  <si>
    <t xml:space="preserve">Hectares </t>
  </si>
  <si>
    <t>Hectares of land redistributed to previously disadvantaged individuals</t>
  </si>
  <si>
    <t>Department of Rural Development and Land Reform's Annual reports</t>
  </si>
  <si>
    <t>Life Expectancy (LE)</t>
  </si>
  <si>
    <t>Health</t>
  </si>
  <si>
    <t>A long and healthy life for all South Africans</t>
  </si>
  <si>
    <t>Target</t>
  </si>
  <si>
    <t xml:space="preserve">NDP 2030 target: Average male and female life expectancy at birth increased to 70 years </t>
  </si>
  <si>
    <t>Life Expectancy</t>
  </si>
  <si>
    <t>LE male  StatsSA</t>
  </si>
  <si>
    <t>LE female  StatsSA</t>
  </si>
  <si>
    <t>LE combined  StatsSA</t>
  </si>
  <si>
    <t>LE male RMS</t>
  </si>
  <si>
    <t>LE female RMS</t>
  </si>
  <si>
    <t>LE combined  RMS</t>
  </si>
  <si>
    <t>Average LE for 2001-2005, 2006-2010, 2011-2015,2016-2021 periods by province</t>
  </si>
  <si>
    <t>male</t>
  </si>
  <si>
    <t>female</t>
  </si>
  <si>
    <t>2001-2006</t>
  </si>
  <si>
    <t>2006-2011</t>
  </si>
  <si>
    <t>2011-2016</t>
  </si>
  <si>
    <t>2016-2021</t>
  </si>
  <si>
    <t>Life expectancy at birth: The number of years a new-born infant would live if prevailing patterns of age-specific mortality rates at the time of birth were to stay the same throughout the child's life</t>
  </si>
  <si>
    <t>1,2,3) Life Expectancy Statistics South Africa - Mid Year Population Estimates 2019</t>
  </si>
  <si>
    <t>4,5,6) Rapid Mortality Surveillance (RMS) Report 2015, 2016 and 2017.</t>
  </si>
  <si>
    <t>Infant Mortality Rate and Under-five Mortality Rate</t>
  </si>
  <si>
    <t>NDP 2030 goal: Reduce under-five mortality from 56 to below 30 per 1 000 live births
                      : Reduce infant mortality from 43 to below 20 per 1 000 live births</t>
  </si>
  <si>
    <t>Infant (under one year) and under 5 deaths per 1000 live births</t>
  </si>
  <si>
    <t xml:space="preserve"> Stats SA estimates</t>
  </si>
  <si>
    <t>Infant mortality rate (IMR)</t>
  </si>
  <si>
    <t>Under 5 mortality</t>
  </si>
  <si>
    <t xml:space="preserve">Health Systems Trust </t>
  </si>
  <si>
    <t>Infant mortality (under one year)</t>
  </si>
  <si>
    <t>Child mortality (under five years)</t>
  </si>
  <si>
    <t>Medical Research Council</t>
  </si>
  <si>
    <t>Dept of Health</t>
  </si>
  <si>
    <t xml:space="preserve">RMS </t>
  </si>
  <si>
    <t>SADHS</t>
  </si>
  <si>
    <t>Infant Mortality Rate (IMR) refers to the number of children younger than one-year-old who die in a year per 1 000 live births during that year. Under-five Mortality Rate (U5MR) refers to the number of children under five years who die per 1 000 live births during that year.</t>
  </si>
  <si>
    <t>Note that Statistics South Africa applies the country-specific UN Model Life table for South Africa in Spectrum</t>
  </si>
  <si>
    <t>Under 5 mortality rate (U5MR)</t>
  </si>
  <si>
    <t>Severe acute malnutrition under five years</t>
  </si>
  <si>
    <t xml:space="preserve">Target </t>
  </si>
  <si>
    <t>Severe acute Malnutrition under Five years - new ambulatory</t>
  </si>
  <si>
    <t>number</t>
  </si>
  <si>
    <t>66 813</t>
  </si>
  <si>
    <t>70 276</t>
  </si>
  <si>
    <t>61 710</t>
  </si>
  <si>
    <t>39 684</t>
  </si>
  <si>
    <t>32 242</t>
  </si>
  <si>
    <t>29 005</t>
  </si>
  <si>
    <t>27 062</t>
  </si>
  <si>
    <t>27 042</t>
  </si>
  <si>
    <t>27 988</t>
  </si>
  <si>
    <t>24 955</t>
  </si>
  <si>
    <t>23 428</t>
  </si>
  <si>
    <t>20 729</t>
  </si>
  <si>
    <t>22 265</t>
  </si>
  <si>
    <t>25 235</t>
  </si>
  <si>
    <t>23 540</t>
  </si>
  <si>
    <t>21 123</t>
  </si>
  <si>
    <t>12 539</t>
  </si>
  <si>
    <t>13 005</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</si>
  <si>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</si>
  <si>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</si>
  <si>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</si>
  <si>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</si>
  <si>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</si>
  <si>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</si>
  <si>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</si>
  <si>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</si>
  <si>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</si>
  <si>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</si>
  <si>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</si>
  <si>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t>
  </si>
  <si>
    <t xml:space="preserve">Malnutrition under five years old </t>
  </si>
  <si>
    <t>HAZ&lt;= -3</t>
  </si>
  <si>
    <t>HAZ&lt;=-2</t>
  </si>
  <si>
    <t>HAZ&lt;=-1</t>
  </si>
  <si>
    <t>WAZ&lt;=-3</t>
  </si>
  <si>
    <t>WAZ&lt;=-2</t>
  </si>
  <si>
    <t>WAZ&lt;=-1</t>
  </si>
  <si>
    <t>WHZ&lt;=-3</t>
  </si>
  <si>
    <t>WHZ&lt;=-2</t>
  </si>
  <si>
    <t>WHZ&lt;=-1</t>
  </si>
  <si>
    <t>na</t>
  </si>
  <si>
    <r>
      <t xml:space="preserve">Severe acute malnutrition is defined by a very low weight for height (below -3z scores of the median WHO growth standards), by visible serve wasting, or by the presence of nutritional oedema.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</si>
  <si>
    <r>
      <t xml:space="preserve">National Department of Health: District Health Information System (DHIS)
Statistics South Africa: South Africa Demographic and Health Survey: Key Indicator Report 2016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</si>
  <si>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</si>
  <si>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 xml:space="preserve">Immunisation coverage </t>
  </si>
  <si>
    <t>Immunisation Coverage</t>
  </si>
  <si>
    <t>Immunisation coverage per province</t>
  </si>
  <si>
    <t>Percentage of children under one year who received all their primary vaccines for tuberculosis (TB), diphtheria, whooping cough, tetanus, polio, measles, hepatitis B and haemophilus influenzae</t>
  </si>
  <si>
    <t xml:space="preserve">Department of Health's District Health Information System (DHIS) </t>
  </si>
  <si>
    <t>Maternal Mortality Ratio (MMR)</t>
  </si>
  <si>
    <t>NDP 2030 goal: Reduce maternal, infant and child mortality</t>
  </si>
  <si>
    <t>Maternal Deaths / 100 000 live births</t>
  </si>
  <si>
    <t>*Provide a report that can be referenced and quote</t>
  </si>
  <si>
    <t>RMS</t>
  </si>
  <si>
    <t>Table 2  iMMR in South Africa</t>
  </si>
  <si>
    <t>122.9</t>
  </si>
  <si>
    <t>Ratio</t>
  </si>
  <si>
    <t xml:space="preserve">Maternal Mortality Ratio (MMR) is the number of deaths per 100 000 live births. It represents the risk of death associated with pregnancy. Deaths of women while pregnant or within 42 days of termination of pregnancy from any cause related to or aggravated by the pregnancy or its management, but not from accidental or incidental causes. 
Institutional Maternal Mortality rate - </t>
  </si>
  <si>
    <t>1) Statistics SA's calculations based on civil registration and vital statistics system (CRVS) in the Country's SDG Report
2) Rapid Mortality Surveillance (RMS) Report 2012, 2015, 2016, 2017 and 2018.
3) Draft Saving Mothers and Babies 2019: Annual Report 2019</t>
  </si>
  <si>
    <t>Following a maternal death in a hospital, it is standard requirement that the department of health is notified. The Department of Health’s MMR calculation uses the reports that are completed in this process which are analysed by the National Committee of Confidential Enquiry into Maternal Death. The change of RMS report from the previous report is due to a change in estimates of the number of births based on more recent data. NCCEMD figures for 2017 in Gauteng were adjusted.</t>
  </si>
  <si>
    <t>https://bhekisisa.org/article/2018-03-28-00-maternal-mortality-ratio-south-africa-decreased-by-29</t>
  </si>
  <si>
    <t>HIV prevalence</t>
  </si>
  <si>
    <t>A long and healthy life for all South Africans.</t>
  </si>
  <si>
    <t>Total HIV prevalence</t>
  </si>
  <si>
    <t>Youth 15-24</t>
  </si>
  <si>
    <t>Adult women 15-49</t>
  </si>
  <si>
    <t>All adults 15-49</t>
  </si>
  <si>
    <t xml:space="preserve">Total Population </t>
  </si>
  <si>
    <t>Incidence 15-49</t>
  </si>
  <si>
    <t>HIV Incidence</t>
  </si>
  <si>
    <t>Mother to child transmissions</t>
  </si>
  <si>
    <t>Infant HIV - exposure prevelence</t>
  </si>
  <si>
    <t>National perinatal transmission rate (MTCT)</t>
  </si>
  <si>
    <t>Population</t>
  </si>
  <si>
    <t xml:space="preserve">Total HIV positive </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</si>
  <si>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</si>
  <si>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t>HIV prevalence is the percentage of people that are HIV positive in the population out of the total population at a given point in time.</t>
  </si>
  <si>
    <t>Statistics SA's Mid-year population estimates, 2020</t>
  </si>
  <si>
    <t>Adult women 20-64</t>
  </si>
  <si>
    <t>Adult men 20-64</t>
  </si>
  <si>
    <t>All adults 20-64</t>
  </si>
  <si>
    <t>Total Female Population</t>
  </si>
  <si>
    <t xml:space="preserve">Total Male Population </t>
  </si>
  <si>
    <t>HSRC, South African National HIV Prevalence, Incidence, behavious and Communication Survey, 2008</t>
  </si>
  <si>
    <r>
      <t>Indicator</t>
    </r>
    <r>
      <rPr>
        <sz val="8"/>
        <rFont val="Arial"/>
        <family val="2"/>
      </rPr>
      <t xml:space="preserve">     </t>
    </r>
  </si>
  <si>
    <t>Antiretroviral Treatment (ART)</t>
  </si>
  <si>
    <r>
      <t>Category</t>
    </r>
    <r>
      <rPr>
        <sz val="8"/>
        <rFont val="Arial"/>
        <family val="2"/>
      </rPr>
      <t xml:space="preserve">     </t>
    </r>
  </si>
  <si>
    <t xml:space="preserve">NDP 2030 goal: Average male and female life expectancy at birth increases to 70 years. </t>
  </si>
  <si>
    <t>ART</t>
  </si>
  <si>
    <t>Total remaining on ART (Adult) * (December)</t>
  </si>
  <si>
    <t>Total remaining on ART (Child) (December)</t>
  </si>
  <si>
    <t>*Remaing on ART (All)</t>
  </si>
  <si>
    <t>Number, rate,</t>
  </si>
  <si>
    <r>
      <t xml:space="preserve">Total remaining on ART is defined </t>
    </r>
    <r>
      <rPr>
        <sz val="10"/>
        <color rgb="FFFF0000"/>
        <rFont val="Arial"/>
        <family val="2"/>
      </rPr>
      <t>as</t>
    </r>
    <r>
      <rPr>
        <sz val="10"/>
        <rFont val="Arial"/>
        <family val="2"/>
      </rPr>
      <t xml:space="preserve"> all patients started ART, all patients transferred in, minus patients died, lost to follow up and transferred out. Patients reaching 1 year on treatment in a given reporting year will have started in the previous year, whereas those who could have reached 5 years on ART will have started 5 years previously. </t>
    </r>
  </si>
  <si>
    <t>Tuberculosis (TB)</t>
  </si>
  <si>
    <t xml:space="preserve">NDP 2030 goal: Progressively improve TB prevention and cure </t>
  </si>
  <si>
    <t>TB prevalence</t>
  </si>
  <si>
    <r>
      <t>2013</t>
    </r>
    <r>
      <rPr>
        <sz val="8"/>
        <color theme="1"/>
        <rFont val="Calibri"/>
        <family val="2"/>
      </rPr>
      <t> </t>
    </r>
  </si>
  <si>
    <r>
      <t>2014</t>
    </r>
    <r>
      <rPr>
        <sz val="8"/>
        <color theme="1"/>
        <rFont val="Calibri"/>
        <family val="2"/>
      </rPr>
      <t> </t>
    </r>
  </si>
  <si>
    <t>TB case notification</t>
  </si>
  <si>
    <t>Treatment Success rate (%)</t>
  </si>
  <si>
    <t>Loss to Follow-up rate</t>
  </si>
  <si>
    <t>Death rate</t>
  </si>
  <si>
    <t>Number, rate</t>
  </si>
  <si>
    <t xml:space="preserve">1) TB Case Notification- Number of TB cases all types reported to the Department of Health.
2) Successful Treatment Rate- Successful completion of treatment rate.
3) Loss to follow-up -  It measures the percentage of TB patients who interrupted treatment for two concecutive months or more.  
4) Death rate - The percentage of patients who died due to TB in a given time period
</t>
  </si>
  <si>
    <t>1,2,3,4) Department of Health: ETR.net</t>
  </si>
  <si>
    <t>Multidrug-resistant TB (MDR-TB)</t>
  </si>
  <si>
    <t>Estimated incidents of ss+ MDR cases</t>
  </si>
  <si>
    <t>Diagnosed and notified</t>
  </si>
  <si>
    <t>Registered for treatment</t>
  </si>
  <si>
    <t>(-%)</t>
  </si>
  <si>
    <t>-(-%)</t>
  </si>
  <si>
    <t>4552(56%)</t>
  </si>
  <si>
    <t>4933(54%)</t>
  </si>
  <si>
    <t>5402(73%)</t>
  </si>
  <si>
    <t>GLC</t>
  </si>
  <si>
    <t>non-GLC</t>
  </si>
  <si>
    <t>Malaria</t>
  </si>
  <si>
    <t>Eliminate Malaria (zero local malaria cases and deaths) by 2030 in the region</t>
  </si>
  <si>
    <t xml:space="preserve">Malaria </t>
  </si>
  <si>
    <t>Cases</t>
  </si>
  <si>
    <t>Deaths</t>
  </si>
  <si>
    <t>Fatality Rate</t>
  </si>
  <si>
    <t>Numbers, Rate</t>
  </si>
  <si>
    <t>Fatality rate: The number of reported deaths due to malaria divided by number of malaria reported cases multiplied by 100</t>
  </si>
  <si>
    <t>Department of Health's Malaria Notification System</t>
  </si>
  <si>
    <t>MALARIA CASES IN SOUTH AFRICA DURING 2008</t>
  </si>
  <si>
    <t>MONTH</t>
  </si>
  <si>
    <t>Jan</t>
  </si>
  <si>
    <t>Feb</t>
  </si>
  <si>
    <t>Mar</t>
  </si>
  <si>
    <t>Apr</t>
  </si>
  <si>
    <t>May</t>
  </si>
  <si>
    <t>Jun</t>
  </si>
  <si>
    <t>Jul</t>
  </si>
  <si>
    <t>Aug</t>
  </si>
  <si>
    <t>Oct</t>
  </si>
  <si>
    <t>Nov</t>
  </si>
  <si>
    <t>Dec</t>
  </si>
  <si>
    <t>CF***</t>
  </si>
  <si>
    <t>PROVINCE</t>
  </si>
  <si>
    <t>C</t>
  </si>
  <si>
    <t>Cases*</t>
  </si>
  <si>
    <t>Deaths**</t>
  </si>
  <si>
    <t>.</t>
  </si>
  <si>
    <t>MALARIA CASES IN SOUTH AFRICA DURING 2009</t>
  </si>
  <si>
    <t>MALARIA CASES IN SOUTH AFRICA DURING 2010</t>
  </si>
  <si>
    <t>MALARIA CASES IN SOUTH AFRICA DURING 2011</t>
  </si>
  <si>
    <t>MALARIA CASES IN SOUTH AFRICA DURING 2012</t>
  </si>
  <si>
    <t>Early childhood development</t>
  </si>
  <si>
    <t>Education</t>
  </si>
  <si>
    <t>All boys and girls have access to quality early childhood development by 2030</t>
  </si>
  <si>
    <t>Children attending ECD facilities</t>
  </si>
  <si>
    <t>0-4 year olds</t>
  </si>
  <si>
    <t>3-5 year olds</t>
  </si>
  <si>
    <t>5 year olds</t>
  </si>
  <si>
    <t xml:space="preserve">6 year olds </t>
  </si>
  <si>
    <t>Apparent intake rate</t>
  </si>
  <si>
    <t>Grade 1 who attended Grade R</t>
  </si>
  <si>
    <t>3-5 year olds attending ECD facilities and Apparent intake rate for 2009 and 2010</t>
  </si>
  <si>
    <t>ECD attendance</t>
  </si>
  <si>
    <t>Apparent intake rate (AIR)</t>
  </si>
  <si>
    <t xml:space="preserve">Early Childhood Development (ECD) programme comprises of a set of activities which are meant to provide stimulation and learning appropriate to children’s developmental needs, including children with a disability, chronic illness and other special needs. </t>
  </si>
  <si>
    <t>Department of basic education, calculations are based on Stats SA's General Household Survey (GHS)2017_Focus on Schooling.</t>
  </si>
  <si>
    <t xml:space="preserve">learner - educator  ratio in public ordinary schools </t>
  </si>
  <si>
    <t>To reduce learner-educator ratios in line with relevant international standards</t>
  </si>
  <si>
    <t>Learner: Educator Ratio in Public Ordinary Schools</t>
  </si>
  <si>
    <t>Educator</t>
  </si>
  <si>
    <t>Learners</t>
  </si>
  <si>
    <t>Learner: Educator Ratio</t>
  </si>
  <si>
    <t>Learner: Educator Ratio in Public Ordinary Schools by province (2015)</t>
  </si>
  <si>
    <t>Learner: Educator Ratio in Public Ordinary Schools by province (2016)</t>
  </si>
  <si>
    <t>Learner: Educator Ratio in Public Ordinary Schools by province (2017)</t>
  </si>
  <si>
    <t>Table 5</t>
  </si>
  <si>
    <t>Learner: Educator Ratio in Public Ordinary Schools by province (2018)</t>
  </si>
  <si>
    <t>Table 6</t>
  </si>
  <si>
    <t>Learner: Educator Ratio in Public Ordinary Schools by province (2019)</t>
  </si>
  <si>
    <t>As % of National Total</t>
  </si>
  <si>
    <t>Educators</t>
  </si>
  <si>
    <t>Schools</t>
  </si>
  <si>
    <t>National</t>
  </si>
  <si>
    <t xml:space="preserve">The average number of learners per teacher in a given school year based on headcounts for both learners and teachers in public ordinary schools and independent schools( collectively reffered to as ordinary schools) that are subsidised by the Department of Basic Education (DBE).  The number of teachers includes both those that are paid by DBE and SGBs.  </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</si>
  <si>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2014,2015,2018  data from DBE.</t>
  </si>
  <si>
    <t>These data are from databases uploaded on the Learner Unit Record Information and Tracking System (LURITS) and Provincial Data Warehouses as at August 2018.  The figures from the School Realities publication are preliminary, and the final figures will be published in the more comprehensive Education Statistics in South Africa 2018.</t>
  </si>
  <si>
    <t>Enrolment rates: Gross Enrolment Ratio (GER), Gender Parity Index (GPI)</t>
  </si>
  <si>
    <t>To ensure that all girls and boys have access to quality education by 2030</t>
  </si>
  <si>
    <t>GER and GPI for Basic Education</t>
  </si>
  <si>
    <t xml:space="preserve">Primary   </t>
  </si>
  <si>
    <t>Primary GER of female learners</t>
  </si>
  <si>
    <t>Primary GER of male learners</t>
  </si>
  <si>
    <t>Primary GPI</t>
  </si>
  <si>
    <t>Secondary</t>
  </si>
  <si>
    <t>Secondary GER of female learners</t>
  </si>
  <si>
    <t>Secondary GER of male learners</t>
  </si>
  <si>
    <t>Secondary GPI</t>
  </si>
  <si>
    <t>Total for basic education</t>
  </si>
  <si>
    <t>Total GER of female learners</t>
  </si>
  <si>
    <t>Total GER of male learners</t>
  </si>
  <si>
    <t>Overall GPI</t>
  </si>
  <si>
    <t>GER and GPI for Universities</t>
  </si>
  <si>
    <t>Universities</t>
  </si>
  <si>
    <t>Total GER for female learners</t>
  </si>
  <si>
    <t>22.6</t>
  </si>
  <si>
    <t>Total GER for male learners</t>
  </si>
  <si>
    <t>15.9</t>
  </si>
  <si>
    <t>University GPI</t>
  </si>
  <si>
    <t>GER and GPI for TVET</t>
  </si>
  <si>
    <t>TVET</t>
  </si>
  <si>
    <t>TVET GPI</t>
  </si>
  <si>
    <t>Gross Enrolment Ratio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</si>
  <si>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 xml:space="preserve">Table 1: Education statistics in South Africa at a Glance (2006), published February 2008, with data originally sourced from 2001 -  2006 SNAP surveys (conducted on the 10th school day), School Realities publications 2005 to 2014 Department of Basic Education.
Table 2: Department of Higher Education and Training's (DHET) Higher Education Management Information System (HEMIS) database.
Table 3: Deparment of Higher Education and Training's (DHET) Technical and Vocational Education and Training Magement Information System (TVETMIS); Statistics South Africa Mid-year population estimates.
</t>
  </si>
  <si>
    <t>The data on the GER (primary and sec) have been distorted in 2010 owing to changes in the way Stats SA has calculated its 2010 population estimates. Hence changes to the trend line.Goal statement adopted from Sustainable Development Goal.                                      The GER for Universities is calculated as the total headcount enrolment (regardless of age) expressed relative to the population of the 20-24 year olds.                                                                                                                                                                                                                                      The GER for TVET is calculated as the total headcount enrolment (regardless of age) expressed relative to the population of the 16-20 year olds.                                                                                                                                                                                                                                           Universities refers to Public Higher Education Institutions.</t>
  </si>
  <si>
    <t>GPI ratio measures the progress towards gender parity in education participation / learning opportunities available for women in relation to those available to men.</t>
  </si>
  <si>
    <t>A GPI equal to 1 indicates parity between females and males. A value less than 1 indicates disparity in favour of men.</t>
  </si>
  <si>
    <t>A GPI greater than 1 indicates disparity in favour of females.</t>
  </si>
  <si>
    <t>GROSS ENROLMENT RATIO  (GER) for Universities</t>
  </si>
  <si>
    <t>Race</t>
  </si>
  <si>
    <t>Gender</t>
  </si>
  <si>
    <t>African/Black</t>
  </si>
  <si>
    <t>Coulored</t>
  </si>
  <si>
    <t>Both</t>
  </si>
  <si>
    <t>Number of persons who are not in employment, education or training (NEET) &amp; Highest level of education attainment</t>
  </si>
  <si>
    <t>Education and training</t>
  </si>
  <si>
    <t>To significantly decrease the number of young people who are not in employment, education or training by 2030</t>
  </si>
  <si>
    <t>Number of NEETs</t>
  </si>
  <si>
    <t>15-24 years</t>
  </si>
  <si>
    <t>18-24 years</t>
  </si>
  <si>
    <t>15-34 years</t>
  </si>
  <si>
    <t>Number of persons in the population aged 25-64 years by highest level of education attainment</t>
  </si>
  <si>
    <t>Education Status</t>
  </si>
  <si>
    <t>No schooling</t>
  </si>
  <si>
    <t>Less than primary completed</t>
  </si>
  <si>
    <t>Primary completed</t>
  </si>
  <si>
    <t>Secondary not completed</t>
  </si>
  <si>
    <t>Secondary completed</t>
  </si>
  <si>
    <t>Tertiary</t>
  </si>
  <si>
    <t>Number of persons in the population aged 25-34 years by highest level of education attainment</t>
  </si>
  <si>
    <t>Number of employed persons in the population aged 25-64 years by highest level of education attainment</t>
  </si>
  <si>
    <t>Number of employed persons in the population aged 25-34 years by highest level of education attainment</t>
  </si>
  <si>
    <t>Goal statement adopted from the National Development Plan</t>
  </si>
  <si>
    <t>Statistics South Africa, Quarterly Labour Force Surveys</t>
  </si>
  <si>
    <t>National Senior Certificate Examination Pass Rate</t>
  </si>
  <si>
    <t>To improve the number of learners eligible for bachelors programme to 300 000 by 2024</t>
  </si>
  <si>
    <t>Number Wrote</t>
  </si>
  <si>
    <t>Number Passed</t>
  </si>
  <si>
    <t>Bachelor passes</t>
  </si>
  <si>
    <t>National Senior Certificate Examination pass rate 
per province</t>
  </si>
  <si>
    <t>76.5</t>
  </si>
  <si>
    <t>88.4</t>
  </si>
  <si>
    <t>87.2</t>
  </si>
  <si>
    <t>81.3</t>
  </si>
  <si>
    <t>73.2</t>
  </si>
  <si>
    <t>80.3</t>
  </si>
  <si>
    <t>86.8</t>
  </si>
  <si>
    <t>82.3</t>
  </si>
  <si>
    <t>Total Wrote</t>
  </si>
  <si>
    <t>Number of learners, Percentage</t>
  </si>
  <si>
    <t>Number of learners who passed the senior certificate examination as a percentage of those that wrote the examinations</t>
  </si>
  <si>
    <t xml:space="preserve">NSC 2018 Examnation Report </t>
  </si>
  <si>
    <t>Number of candidates for the National Senior Certficate examinations with mathematics and physical science passes</t>
  </si>
  <si>
    <t>To increase the number of National Senior Certificate passes with mathematics and Physical science to 450 000 by 2030</t>
  </si>
  <si>
    <t>Mathematics passes</t>
  </si>
  <si>
    <t>Achieved at 50% and above</t>
  </si>
  <si>
    <t>Physical Science passes</t>
  </si>
  <si>
    <t>Total number of matriculants who passed Mathematics on the higher grade and standard grade. Total number of matriculants who passed Mathematics and Mathematics Literacy. Total number of matriculants who passed Physical Science.</t>
  </si>
  <si>
    <t>Adult literacy rate</t>
  </si>
  <si>
    <t>To ensure that all youth and a substantial proportion of adults achieve numeracy and literacy by 2030</t>
  </si>
  <si>
    <t>Literacy</t>
  </si>
  <si>
    <t>Total literacy - GHS</t>
  </si>
  <si>
    <t>Total literacy - OHS</t>
  </si>
  <si>
    <t>Female literacy - GHS</t>
  </si>
  <si>
    <t>Female literacy - OHS</t>
  </si>
  <si>
    <t>Illiteracy</t>
  </si>
  <si>
    <t>Literacy rate- Census</t>
  </si>
  <si>
    <t>Total literacy</t>
  </si>
  <si>
    <t>Total Literacy the number of people in a country who can read and write as percentage of total population. In the data obtained from the General and October household surveys. literate adult is defined as a person 20 years and older who has achieved at least seven years of education (i.e. passed grade 7). Illiteracy: Percentage of persons aged 20 years and above with no formal education or highest level of education less than grade 7</t>
  </si>
  <si>
    <t>Statistics SA's various October Household Surveys (OHS) and General Household Surveys (GHS) 2002-2015, Census 1996, 2001 and 2011</t>
  </si>
  <si>
    <t>Goal statement adopted from the sustainable Development Goals</t>
  </si>
  <si>
    <t xml:space="preserve">Total literacy </t>
  </si>
  <si>
    <t xml:space="preserve">Female literacy </t>
  </si>
  <si>
    <t>Number of university students who graduate in SET expressed as a percentage of total number of students who graduated</t>
  </si>
  <si>
    <t>Improve global competitiveness and produce 5000 PHD graduates per year</t>
  </si>
  <si>
    <t>Higher Education</t>
  </si>
  <si>
    <t>Total Enrolment</t>
  </si>
  <si>
    <t> 760 889</t>
  </si>
  <si>
    <t> 422 402</t>
  </si>
  <si>
    <t>Total number of graduates</t>
  </si>
  <si>
    <t> 338 481</t>
  </si>
  <si>
    <t>Total number of SET graduates</t>
  </si>
  <si>
    <t>Unreported gender</t>
  </si>
  <si>
    <t> 6</t>
  </si>
  <si>
    <t>SET as % of total graduates</t>
  </si>
  <si>
    <t> 74 845</t>
  </si>
  <si>
    <t> 51 773</t>
  </si>
  <si>
    <t> 760889.00</t>
  </si>
  <si>
    <t> 126618</t>
  </si>
  <si>
    <t xml:space="preserve">Number of Engineering Sciences ( excuding Technology) graduates </t>
  </si>
  <si>
    <t xml:space="preserve">Annual targets </t>
  </si>
  <si>
    <t>Table 2: Doctoral graduates in universities</t>
  </si>
  <si>
    <t>PHD graduates</t>
  </si>
  <si>
    <t xml:space="preserve">The number of graduates have also been increasing but at a lower rate than the enrollemnt. </t>
  </si>
  <si>
    <t>Percentage of university graduates with degrees in SET (Science Engineering and Technology). SET refers to the following fields of study: Agricultural Studies, Computer and Information Technology, Engineering, Health and related Sciences, Consumer Science, Life and Physical Science, Mathematics, Statistics and Military Science.</t>
  </si>
  <si>
    <r>
      <t xml:space="preserve">Department of </t>
    </r>
    <r>
      <rPr>
        <sz val="10"/>
        <color rgb="FFFF0000"/>
        <rFont val="Arial"/>
        <family val="2"/>
      </rPr>
      <t>Higher Education and Training</t>
    </r>
    <r>
      <rPr>
        <sz val="10"/>
        <rFont val="Arial"/>
        <family val="2"/>
      </rPr>
      <t>, Higher Education Management Information System (HEMIS)</t>
    </r>
  </si>
  <si>
    <t>Educational Performance below high school</t>
  </si>
  <si>
    <t>To improve performance of learners in basic education</t>
  </si>
  <si>
    <t xml:space="preserve">Table 1      Performance of learners per province </t>
  </si>
  <si>
    <t>SACMEQ II</t>
  </si>
  <si>
    <t>SACMEQ III</t>
  </si>
  <si>
    <t>SACMEQ IV</t>
  </si>
  <si>
    <t>Reading</t>
  </si>
  <si>
    <t>Mathematics</t>
  </si>
  <si>
    <t>Mean</t>
  </si>
  <si>
    <t>SE</t>
  </si>
  <si>
    <t xml:space="preserve">Mean, Standard Error </t>
  </si>
  <si>
    <t xml:space="preserve">Table 1)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
  </si>
  <si>
    <t xml:space="preserve">SACMEQ- Southern and Eastern African Consortium for Monitoring Educational Quality </t>
  </si>
  <si>
    <t xml:space="preserve">Table 1) SACMEQ II and III Project results (2005 to 2010): Pupil achievement levels in reading and mathematics,website - www.SACMEQ.org
</t>
  </si>
  <si>
    <t>Language Achievement</t>
  </si>
  <si>
    <t>Mathematics Achievement</t>
  </si>
  <si>
    <t>Not Achieved</t>
  </si>
  <si>
    <t>Province (%)</t>
  </si>
  <si>
    <t>Outstanding</t>
  </si>
  <si>
    <t>Achieved</t>
  </si>
  <si>
    <t>Partly Achieved</t>
  </si>
  <si>
    <t xml:space="preserve">Educational Performance ff Grade 6 students 2004 </t>
  </si>
  <si>
    <t xml:space="preserve">Overall Grade 3 Literacy and Numeracy Achievement </t>
  </si>
  <si>
    <t>Literacy Achievement</t>
  </si>
  <si>
    <t>Numeracy Achievement</t>
  </si>
  <si>
    <t xml:space="preserve">Mathematics and Science achievement   </t>
  </si>
  <si>
    <t>To increase the percentage of potential students for SET disciplines</t>
  </si>
  <si>
    <t xml:space="preserve">International students achievements in Maths and Science Average Scale score </t>
  </si>
  <si>
    <t>Science</t>
  </si>
  <si>
    <t>Maths</t>
  </si>
  <si>
    <t xml:space="preserve">Country </t>
  </si>
  <si>
    <t>435 (4.5)</t>
  </si>
  <si>
    <t>420 (4.1)</t>
  </si>
  <si>
    <t>406 (4.5)</t>
  </si>
  <si>
    <t>403 (4.9)</t>
  </si>
  <si>
    <t>411 (4.8)</t>
  </si>
  <si>
    <t>386 (4.3)</t>
  </si>
  <si>
    <t>Tunisia</t>
  </si>
  <si>
    <t>420 (3.7)</t>
  </si>
  <si>
    <t>413 (2.9)</t>
  </si>
  <si>
    <t>439 (2.5)</t>
  </si>
  <si>
    <t>448 (2.4)</t>
  </si>
  <si>
    <t>410 (2.2)</t>
  </si>
  <si>
    <t>425 (2.8)</t>
  </si>
  <si>
    <t>430 (3.4)</t>
  </si>
  <si>
    <t>404 (2.1)</t>
  </si>
  <si>
    <t>461 (2.5)</t>
  </si>
  <si>
    <t>454(3,1)</t>
  </si>
  <si>
    <t>392 (4.4)</t>
  </si>
  <si>
    <t>387 (3.3)</t>
  </si>
  <si>
    <t>416 (2.6)</t>
  </si>
  <si>
    <t>427(3,2)</t>
  </si>
  <si>
    <t>Phillippines</t>
  </si>
  <si>
    <t>345 (7.5)</t>
  </si>
  <si>
    <t>377 (5.8)</t>
  </si>
  <si>
    <t>345 (6.0)</t>
  </si>
  <si>
    <t>378 (5.2)</t>
  </si>
  <si>
    <t>243 (7,8)</t>
  </si>
  <si>
    <t>244 (6,7)</t>
  </si>
  <si>
    <t>332 (3,7)</t>
  </si>
  <si>
    <t>358(5,6)</t>
  </si>
  <si>
    <t>275 (6,8)</t>
  </si>
  <si>
    <t>264 (5,5)</t>
  </si>
  <si>
    <t>352 (2,5)</t>
  </si>
  <si>
    <t>372(4,5)</t>
  </si>
  <si>
    <r>
      <t xml:space="preserve">Trends in South African Mathematics and Science achievement: 1995 to </t>
    </r>
    <r>
      <rPr>
        <b/>
        <sz val="8"/>
        <color theme="1"/>
        <rFont val="Arial"/>
        <family val="2"/>
      </rPr>
      <t>2016</t>
    </r>
  </si>
  <si>
    <t>Grade 8</t>
  </si>
  <si>
    <t>Grade 9</t>
  </si>
  <si>
    <t>276 (6,7)</t>
  </si>
  <si>
    <t>260 (7,9)</t>
  </si>
  <si>
    <t>285 (4,2)</t>
  </si>
  <si>
    <t>268 (5,5)</t>
  </si>
  <si>
    <t>Average Science and Maths scale by province (2015 and 2016)</t>
  </si>
  <si>
    <t>change in achievement</t>
  </si>
  <si>
    <t>+</t>
  </si>
  <si>
    <t>Kwazulu Natal</t>
  </si>
  <si>
    <t>Numbers, Average</t>
  </si>
  <si>
    <t xml:space="preserve">International mathematics and Science achievement and South Africa's performance in relation to the other participating countries
</t>
  </si>
  <si>
    <t xml:space="preserve">TIMSS was administered to Grade 8 learners in 1999, administered to grades 8 and 9 in 2002, 2011 and 2015. </t>
  </si>
  <si>
    <t>Skills and training</t>
  </si>
  <si>
    <t>To produce 30 000 artisans per year by 2030 and Expand opportunities for Work-based Learning (WBL)</t>
  </si>
  <si>
    <t>Table 1: Artisans</t>
  </si>
  <si>
    <t>Artisan learner completion</t>
  </si>
  <si>
    <t>Table 2: Internships and learnerships</t>
  </si>
  <si>
    <t>Entered</t>
  </si>
  <si>
    <t>Completed</t>
  </si>
  <si>
    <t>Learnerships: Unemployed</t>
  </si>
  <si>
    <t>64 019 </t>
  </si>
  <si>
    <t>34 392 </t>
  </si>
  <si>
    <t>Internships</t>
  </si>
  <si>
    <t>17 216 </t>
  </si>
  <si>
    <t>6 777 </t>
  </si>
  <si>
    <t>Goal statement adopted from the National Development Plan                                                                                                                                                                                                                                                                                                                                                                                                                                 Internships and learnerships only refers to those programmes that are SETA funded and excludes government and Private sector programmes.</t>
  </si>
  <si>
    <t>The skills Development Act (RSA, 1998) defines an artisan as a person who has been certified as being competent to perform a listed trade. Learnerships: A learning programme that leads to an occupational qualification or part qualification and includes an appreciates Internships: refers to the structured work experience component of an occupational qualification registered by the Quality Council for Trades and Occupations (QCTO).</t>
  </si>
  <si>
    <t>Department of Higher education and Training's Indlela and SETA admin systems</t>
  </si>
  <si>
    <t>Strength of Civil Society</t>
  </si>
  <si>
    <t>Voice and accountability</t>
  </si>
  <si>
    <t>To achieve participation of citizens in civil-society organisations</t>
  </si>
  <si>
    <t>Membership of voluntary organizations</t>
  </si>
  <si>
    <t>Korea</t>
  </si>
  <si>
    <t>1994-1998</t>
  </si>
  <si>
    <t>2005-2009</t>
  </si>
  <si>
    <t>2010-2014</t>
  </si>
  <si>
    <t>Church or religious</t>
  </si>
  <si>
    <t>Sport and recreation</t>
  </si>
  <si>
    <t>Art, music or educational</t>
  </si>
  <si>
    <t>Labour union</t>
  </si>
  <si>
    <t xml:space="preserve">Political party </t>
  </si>
  <si>
    <t>Environmental</t>
  </si>
  <si>
    <t>Professional</t>
  </si>
  <si>
    <t>Charitable</t>
  </si>
  <si>
    <t xml:space="preserve">Other voluntary </t>
  </si>
  <si>
    <t>Respondents were asked to indicated whether they: (1) Do not belong; (2) are an inactive member; or (3) an active member of each voluntary organisation. The percentages shown are those that indicated they are ACTIVE MEMBERS.</t>
  </si>
  <si>
    <t xml:space="preserve">World Values Survey- University of Stellenbosch, Wave 1-6. http://www.worldvaluessurvey.org/WVSOnline.jsp </t>
  </si>
  <si>
    <t>Voter participation</t>
  </si>
  <si>
    <t>To promote high levels of participation of citizens in the democratic electoral process</t>
  </si>
  <si>
    <t>Voter participation in national and provincial elections</t>
  </si>
  <si>
    <t>Voter participation in local elections</t>
  </si>
  <si>
    <t>Voting age population (VAP)</t>
  </si>
  <si>
    <t>VAP registered</t>
  </si>
  <si>
    <t>no registration</t>
  </si>
  <si>
    <t xml:space="preserve">Turnout </t>
  </si>
  <si>
    <t>Turnout</t>
  </si>
  <si>
    <t>% Turnout of VAP</t>
  </si>
  <si>
    <t xml:space="preserve"> % Turnout of VAP</t>
  </si>
  <si>
    <t>% Turnout of registered VAP</t>
  </si>
  <si>
    <t>66.05%</t>
  </si>
  <si>
    <t>Under 35 years</t>
  </si>
  <si>
    <t>under 35 years</t>
  </si>
  <si>
    <t>VAP under 35</t>
  </si>
  <si>
    <t>VAP under 35 registered</t>
  </si>
  <si>
    <t>No turnout data</t>
  </si>
  <si>
    <t>Turnout under 35 years</t>
  </si>
  <si>
    <t xml:space="preserve"> % Turnout of under 35 VAP</t>
  </si>
  <si>
    <t>% Turnout of registered under 35 VAP</t>
  </si>
  <si>
    <t>Number, Percentages</t>
  </si>
  <si>
    <t>Total population of at least 18 years of age (prisoners voted in 1999 and 2004 but not in the local government elections of 2000 and 2006)
VAP refers to Voting Age Population</t>
  </si>
  <si>
    <t xml:space="preserve">State of the Nation, South Africa 2007. Human Sciences Research Council (HSRC) 2007/www.elections.org.za. Independent Electoral Commission (IEC).
Statistics South Africa, Census 2011 Report  No. 03-01-42 ; P0302 - Mid-year population estimates, report tables 2016. 
</t>
  </si>
  <si>
    <t>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</si>
  <si>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Voters, per province</t>
  </si>
  <si>
    <t>To promote equal participation of all citizens in the democratic electoral process across all provinces</t>
  </si>
  <si>
    <t xml:space="preserve">Voters in national and provincial elections, disaggregated by province </t>
  </si>
  <si>
    <t>Registered</t>
  </si>
  <si>
    <t xml:space="preserve">Voted </t>
  </si>
  <si>
    <t>Voted</t>
  </si>
  <si>
    <t>Out of Country</t>
  </si>
  <si>
    <t>N/A **</t>
  </si>
  <si>
    <t>N/A</t>
  </si>
  <si>
    <t xml:space="preserve">Voters in local elections, disaggregated by province </t>
  </si>
  <si>
    <t>Numbers, Percentages</t>
  </si>
  <si>
    <t>Total population of at least 18 years of age (prisoners voted in 1999 and 2004 but not in the local government elections of 2000 and 2006)</t>
  </si>
  <si>
    <t>Independent Electoral Commission (IEC). https://www.elections.org.za/NPEDashboard/app/dashboard.html</t>
  </si>
  <si>
    <t>The data does not include changes that occur after the first results have been published and by elections. Out of Country registrations do not include other registered voters applying to vote abroad</t>
  </si>
  <si>
    <t>Percentage of women who are members of legislative bodies</t>
  </si>
  <si>
    <t>To increase the participation and representation of women in legislative bodies</t>
  </si>
  <si>
    <t>Women members of Parliament and Provincial Legislatures</t>
  </si>
  <si>
    <t>Parliament</t>
  </si>
  <si>
    <t>Provincial Legislatures</t>
  </si>
  <si>
    <t> 92</t>
  </si>
  <si>
    <t> 428</t>
  </si>
  <si>
    <t>21,5% </t>
  </si>
  <si>
    <t> 122</t>
  </si>
  <si>
    <t> 430</t>
  </si>
  <si>
    <t>28,4% </t>
  </si>
  <si>
    <t> 139</t>
  </si>
  <si>
    <t>32,3 %</t>
  </si>
  <si>
    <t> 179</t>
  </si>
  <si>
    <t>430 </t>
  </si>
  <si>
    <t>41,6% </t>
  </si>
  <si>
    <t>181 </t>
  </si>
  <si>
    <t>42,1% </t>
  </si>
  <si>
    <t> 29</t>
  </si>
  <si>
    <t> 63</t>
  </si>
  <si>
    <t> 46,0%</t>
  </si>
  <si>
    <t> 14</t>
  </si>
  <si>
    <t> 30</t>
  </si>
  <si>
    <t> 46,7%</t>
  </si>
  <si>
    <t> 31</t>
  </si>
  <si>
    <t> 73</t>
  </si>
  <si>
    <t> 42,5%</t>
  </si>
  <si>
    <t> 34</t>
  </si>
  <si>
    <t> 80</t>
  </si>
  <si>
    <t> 24</t>
  </si>
  <si>
    <t> 49</t>
  </si>
  <si>
    <t> 49,0%</t>
  </si>
  <si>
    <t> 15</t>
  </si>
  <si>
    <t> 50,0%</t>
  </si>
  <si>
    <t> 33</t>
  </si>
  <si>
    <t> 45,5%</t>
  </si>
  <si>
    <t> 12</t>
  </si>
  <si>
    <t> 40,0%</t>
  </si>
  <si>
    <t> 42</t>
  </si>
  <si>
    <t> 35,7%</t>
  </si>
  <si>
    <t> 370</t>
  </si>
  <si>
    <t>830 </t>
  </si>
  <si>
    <t> 44,6%</t>
  </si>
  <si>
    <t xml:space="preserve">Women members of Local Government Councils as per the major Local Government Elections </t>
  </si>
  <si>
    <t>Proportional Representation</t>
  </si>
  <si>
    <t>Ward</t>
  </si>
  <si>
    <t>Overall</t>
  </si>
  <si>
    <t>Northern Province</t>
  </si>
  <si>
    <t>2 123</t>
  </si>
  <si>
    <t>4 811</t>
  </si>
  <si>
    <t>1 411</t>
  </si>
  <si>
    <t>4 277</t>
  </si>
  <si>
    <t>Member of national and provincial legislatures; member of Cabinet, Provincial Executive Councils and Local Government Councils as per each major election. PR refers to Proportional Representation</t>
  </si>
  <si>
    <t xml:space="preserve">Independent Electoral Commission (IEC) </t>
  </si>
  <si>
    <t>Confident in a happy future for all races</t>
  </si>
  <si>
    <t>Social cohesion and social capital</t>
  </si>
  <si>
    <t>To promote social cohesion and eliminate racism while building the nation.</t>
  </si>
  <si>
    <t xml:space="preserve">May </t>
  </si>
  <si>
    <t>Aug-Sep</t>
  </si>
  <si>
    <t>Jan-Mar</t>
  </si>
  <si>
    <t>Aug-Sep17</t>
  </si>
  <si>
    <t>Jan-Mar18</t>
  </si>
  <si>
    <t>Aug-Sep18</t>
  </si>
  <si>
    <t>Jan-Mar19</t>
  </si>
  <si>
    <t>Aug-Sep19</t>
  </si>
  <si>
    <t>Jan-Mar20</t>
  </si>
  <si>
    <t>Kwazulu-Natal</t>
  </si>
  <si>
    <t>Proportion of South Africa's adult population who express confidence in a happy future for all races.</t>
  </si>
  <si>
    <t>Government Communication and Information System (GCIS) based on Ipsos data.</t>
  </si>
  <si>
    <t xml:space="preserve">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(Wave 1) and January/March (Wave 2) of each financial year.Two data points for the financial year were averaged to obtain an annual data point. Graph uses annual average while the tables uses Bi annual data. </t>
  </si>
  <si>
    <t>Public opinion on race relations</t>
  </si>
  <si>
    <t xml:space="preserve">To promote social cohesion and eliminate racism while building the nation. </t>
  </si>
  <si>
    <t>By 2019, 65% of the population should be of the opinion that race relations are improving</t>
  </si>
  <si>
    <t>Race relations improving</t>
  </si>
  <si>
    <t>Number of those who were of the opinion that race relations are improving expressed as a proportion of the total population</t>
  </si>
  <si>
    <t xml:space="preserve">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 Graph uses annual average while the table for provincial breakdown uses Bi annual data. </t>
  </si>
  <si>
    <t xml:space="preserve">Nov </t>
  </si>
  <si>
    <t xml:space="preserve">Race relations improving </t>
  </si>
  <si>
    <t>Country going in the right direction</t>
  </si>
  <si>
    <t>To promote social cohesion while building the nation</t>
  </si>
  <si>
    <t>Year 1</t>
  </si>
  <si>
    <t>Year 2</t>
  </si>
  <si>
    <t>Year 3</t>
  </si>
  <si>
    <t>Year 4</t>
  </si>
  <si>
    <t>Year 5</t>
  </si>
  <si>
    <t>Q1</t>
  </si>
  <si>
    <t>Q2</t>
  </si>
  <si>
    <t>1994-1999</t>
  </si>
  <si>
    <t>1999-2004</t>
  </si>
  <si>
    <t>2004-2009</t>
  </si>
  <si>
    <t>2009-2014</t>
  </si>
  <si>
    <t>2014-2019</t>
  </si>
  <si>
    <t>2019-2024</t>
  </si>
  <si>
    <t>Year 1 (2014)</t>
  </si>
  <si>
    <t>Year 2 (2015)</t>
  </si>
  <si>
    <t>Year 3 (2016)</t>
  </si>
  <si>
    <t>Year 4 (2017/18)</t>
  </si>
  <si>
    <t>Year 5 (2018/19)</t>
  </si>
  <si>
    <t>Year 1(2019/20)</t>
  </si>
  <si>
    <t>Proportion of SA adult population who feel the country is going in the right direction</t>
  </si>
  <si>
    <t>Government Communication and Information System (GCIS) based on Markinor data.</t>
  </si>
  <si>
    <t>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year 4 data is based on GCIS Tracker survey, based on a sample of 3 500 conducted twice per financial year. Field work for this survey is nomarlly done during August/September (Wave 1) and January/March (Wave 2) of each financial year.</t>
  </si>
  <si>
    <t>Identity based on self-description</t>
  </si>
  <si>
    <t xml:space="preserve">To promote social cohesion while building the nation </t>
  </si>
  <si>
    <t>By 2019, 60 percent of the population prefers to associate with their South African identity</t>
  </si>
  <si>
    <t xml:space="preserve">Table     </t>
  </si>
  <si>
    <t>How South Africans describe themselves (self-description)</t>
  </si>
  <si>
    <t>As an African</t>
  </si>
  <si>
    <t>As South African</t>
  </si>
  <si>
    <t>By race group</t>
  </si>
  <si>
    <t>By language group</t>
  </si>
  <si>
    <t>Rest of self descriptors</t>
  </si>
  <si>
    <t>First self-descriptors by South Africa's adult population as a form of primary identity</t>
  </si>
  <si>
    <t>Government Communication and Information System (GCIS) based on Future Fact Mindset Surveys.</t>
  </si>
  <si>
    <t xml:space="preserve">Future Fact regular surveys, based on a national sample of 3 000, conducted once a year amongst aged 15 years and older. In 2007 there were more categories included compared to 2004, but given that the figure is not very high they have been grouped under "rest of self-descriptors", including "cultural group", "religion" as well as "uncertain/don't know" category. Data for 2010 and 2013 is not available since the self-description questions were not part of the survey in these years.  From 2017/18 data is based on GCIS Tracker survey, based on a sample of 3 500 conducted twice per financial year. Field work for this survey is nomarlly done during August/September (Wave 1) and January/March (Wave 2) of each financial year.Two data points for the financial year were averaged to obtain an annual data point. </t>
  </si>
  <si>
    <t>Pride in being South African</t>
  </si>
  <si>
    <t>To promote social cohesion and national identity. By 2019,75 percent of South Africans should reflect pride in being South African</t>
  </si>
  <si>
    <t>Qrt 1</t>
  </si>
  <si>
    <t>Qrt 2</t>
  </si>
  <si>
    <t>Qrt 3</t>
  </si>
  <si>
    <t>Qrt 4</t>
  </si>
  <si>
    <t>Wave 1</t>
  </si>
  <si>
    <t>Wave 2</t>
  </si>
  <si>
    <t>Aug-Sep15</t>
  </si>
  <si>
    <t>Jan-Mar16</t>
  </si>
  <si>
    <t>Aug-Sep16</t>
  </si>
  <si>
    <t>Jan-Mar17</t>
  </si>
  <si>
    <t xml:space="preserve">Percentage of those surveyed who take pride to be South African </t>
  </si>
  <si>
    <t>Government Communications' (GCIS) National Tracker Survey</t>
  </si>
  <si>
    <t xml:space="preserve">The GCIS tracker survey previously conducted weekly and results presented quarterly. The survey has a cumulative sample of 3 840 until mid-2010. From mid-2010 to mid-2011, the annual sample size is 9 600 with 2 400 respondents interviewed on a quarterly basis. From mid-2012 to mid-2014, the annual sample size was 14 000 with 3 500 respondents interviewed on a quarterly basis. Quarterly data for the years 2011/12, 2012/13, 2013/14 and 2014/15 were averaged to obtain an annual data point. Sample for 2014 included younger youth (15+), after weighting there was no statistical difference. From 2015/16 the survey based on a sample of 3 500 conducted twice per financial year. Field work for this survey is nomarlly done during August/September (Wave 1) and January/March (Wave 2) of each financial year. Two data points for the financial year were averaged to obtain an annual data point. Graph uses annual average while the tables uses Bi annual data. </t>
  </si>
  <si>
    <r>
      <t>Indicator</t>
    </r>
    <r>
      <rPr>
        <sz val="11"/>
        <color theme="1"/>
        <rFont val="Calibri"/>
        <family val="2"/>
        <scheme val="minor"/>
      </rPr>
      <t xml:space="preserve">     </t>
    </r>
  </si>
  <si>
    <t>Victims of crime</t>
  </si>
  <si>
    <r>
      <t>Category</t>
    </r>
    <r>
      <rPr>
        <sz val="11"/>
        <color theme="1"/>
        <rFont val="Calibri"/>
        <family val="2"/>
        <scheme val="minor"/>
      </rPr>
      <t xml:space="preserve">     </t>
    </r>
  </si>
  <si>
    <t>Public safety</t>
  </si>
  <si>
    <t>Perception of crime among the population managed and improved</t>
  </si>
  <si>
    <t>Safe during the day</t>
  </si>
  <si>
    <t>Safe at night</t>
  </si>
  <si>
    <t>2010-2013</t>
  </si>
  <si>
    <t>2011-2014</t>
  </si>
  <si>
    <t>Stayed 
the same</t>
  </si>
  <si>
    <t>Increased</t>
  </si>
  <si>
    <t>Decreased</t>
  </si>
  <si>
    <t xml:space="preserve">No New Data points as survey Questionnaire not asked </t>
  </si>
  <si>
    <t xml:space="preserve">Free State </t>
  </si>
  <si>
    <t xml:space="preserve">KwaZulu-Natal </t>
  </si>
  <si>
    <t xml:space="preserve">Mpumalanga </t>
  </si>
  <si>
    <t xml:space="preserve">Northern Cape </t>
  </si>
  <si>
    <t xml:space="preserve">Table 3 : </t>
  </si>
  <si>
    <t>The percentage of individuals who felt safe walking alone in their areas of residence</t>
  </si>
  <si>
    <t xml:space="preserve">No New Data points </t>
  </si>
  <si>
    <t xml:space="preserve">Table 4 </t>
  </si>
  <si>
    <t xml:space="preserve">Percentage of Households 'satisfaction with the way in which Courts generally deal with perpetrators of crime by Province </t>
  </si>
  <si>
    <t>Percentages</t>
  </si>
  <si>
    <t>Victims of Crime Survey (VoCS) is a countrywide households-based survey that provide about the dynamics of crime from the perspective of households and victims of crime. Explore public perceptions of the activities of the Police, Prosecutors, Courts and Correctional Services(Criminal Justice System) in the prevention of crime and victimisation. Provide complementary data on level of crime within South Africa(RSA) in additions to the statistics published annually by the South African Police Service(SAPS).</t>
  </si>
  <si>
    <t>Statistics South Africa Victims of Crime Survey (VoCS) 2011,2012, 2013/14, 2014/15, 2016/17 and 2018/19</t>
  </si>
  <si>
    <t xml:space="preserve">VoCS 2015/16 covers estimates of crimes as from April 2015 to March 2016 thus covering full years that previous surveys. Data collection for VoCS 2011 and 2012 were conducted from January to March of that year and referred to incidents of crime experienced during the previous year ( January to December). Since 2013, StatsSA has changed the data collection methodology to continuous data collection. Data collection for 2013/14 started in April 2012 and concluded in March 2014 with reference to the crimes that were experienced during the past twelve months (April 2012 to February 2014). The period is referred to as the moving reference period, this is different from 2011 and 2012 collection which were done from January to March and had a fixed reference period from January to December of the previous year. Sample has been distributed evenly over the collection period in the form of quarterly allocations. VoCS 2013/14 is comparable to the previous years VoCS in that several questions have remained unchanged over time. </t>
  </si>
  <si>
    <t>Crime Rate</t>
  </si>
  <si>
    <t xml:space="preserve">To builder safer communities by reducing serious crime </t>
  </si>
  <si>
    <t>All crimes rate - per 100 000 of population</t>
  </si>
  <si>
    <t>2005/6</t>
  </si>
  <si>
    <t>Property Crimes</t>
  </si>
  <si>
    <t>Contact Crimes</t>
  </si>
  <si>
    <t>Theft and commercial crime</t>
  </si>
  <si>
    <t>Damage to property and arson</t>
  </si>
  <si>
    <t xml:space="preserve">Total crimes </t>
  </si>
  <si>
    <t>Ratio of all crimes per 100 000 of the population</t>
  </si>
  <si>
    <t>Crime rate is a serious crimes as a combination of contact crimes, contact related crimes, property crimes and Theft and commercial crime. Crimes dependent on police action were previously measured under this category, but from 14/15 onwards crimes dependent on police action will be measured separately. Statistics on firearms, alcohol and drugs are not included in these totals; these types of crime are mostly detected as a result of police action.</t>
  </si>
  <si>
    <t>South African Police Service (SAPS) annual reports and Crime Statistics 2018/19  * CRIME TARGETS WERE REVISITED</t>
  </si>
  <si>
    <t>The graph is based on change-over-time series using 1994/95 as base year for calculating change over time, while the table uses ratio of crimes committed per 100 000 of the population.
Line on fire arms, alcohol and drugs has been omitted as there crimes are more dependent of police action and are not reported under serious crimes.</t>
  </si>
  <si>
    <t>2018/20</t>
  </si>
  <si>
    <t xml:space="preserve">Property-related crime </t>
  </si>
  <si>
    <t>To reduce the levels of property-related crime</t>
  </si>
  <si>
    <t>Property-Related Crime rate - per 100 000 of population</t>
  </si>
  <si>
    <t xml:space="preserve">Residential burglary </t>
  </si>
  <si>
    <t>Non-residential burglary</t>
  </si>
  <si>
    <t>Theft of motor vehicle</t>
  </si>
  <si>
    <t>Theft out of or from motor vehicle</t>
  </si>
  <si>
    <t>Stock theft</t>
  </si>
  <si>
    <t xml:space="preserve">Data format </t>
  </si>
  <si>
    <t>Ratio of property-related  crimes per 100 000 of the population based on the 2015 mid-year population estimates</t>
  </si>
  <si>
    <t>property-related crime is made up of burglary residential and business, theft of and out of motor vehicle and stock theft</t>
  </si>
  <si>
    <t>SAPS annual reports and Crime Statistics</t>
  </si>
  <si>
    <t>The graph is based on change-over-time series using 1994/95 as base year for calculating change over time, while the table uses ratio of crimes committed per 100 000 of the population.</t>
  </si>
  <si>
    <t>Property Crime rate - per 100 000 of population</t>
  </si>
  <si>
    <t>Theft out of vehicle</t>
  </si>
  <si>
    <t>Theft of motot vehicle</t>
  </si>
  <si>
    <t>Contact crime</t>
  </si>
  <si>
    <t>To reduce contact crime</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</si>
  <si>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</si>
  <si>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</si>
  <si>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</si>
  <si>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</si>
  <si>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</si>
  <si>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</si>
  <si>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</si>
  <si>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</si>
  <si>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</si>
  <si>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</si>
  <si>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the category of contact crime is made up of murder, attempted murder aggravated robbery , common robbery, assault causing grievous bodily harm (GBH), common and sexual offences</t>
  </si>
  <si>
    <t>SAPS annual reports and Crime Statistics 2018/19</t>
  </si>
  <si>
    <t>Aggravated robberies</t>
  </si>
  <si>
    <t>To reduce level of aggravated robberies</t>
  </si>
  <si>
    <t>Selected aggravated robberies - reported cases</t>
  </si>
  <si>
    <t>% Increase/ Decrease 2918/19 vs 2019/20</t>
  </si>
  <si>
    <t>Carjacking</t>
  </si>
  <si>
    <t>Truck jacking</t>
  </si>
  <si>
    <t>Robbery of cash in transit(CIT)</t>
  </si>
  <si>
    <t>Common Robberies</t>
  </si>
  <si>
    <t>Bank robbery</t>
  </si>
  <si>
    <t>Robbery at residential premises</t>
  </si>
  <si>
    <t>Robbery at non-residential premises</t>
  </si>
  <si>
    <t>Number of organised crimes</t>
  </si>
  <si>
    <t xml:space="preserve">Aggravated robberies refers to cases of armed robbery, and the trio crimes </t>
  </si>
  <si>
    <t xml:space="preserve">SAPS annual reports and Crime Statistics </t>
  </si>
  <si>
    <t>The graph is based on change-over-time series using 2004/05 as base year for calculating change over time, while the table uses number of reported cases for selected crimes.</t>
  </si>
  <si>
    <t>2007/8</t>
  </si>
  <si>
    <t>Robbery of cash in transit</t>
  </si>
  <si>
    <t xml:space="preserve">Drug-Related Crime </t>
  </si>
  <si>
    <t>To increase the reported crimes for unlawful possession of and dealing in drugs</t>
  </si>
  <si>
    <t>Reported Cases</t>
  </si>
  <si>
    <t>Reported cases</t>
  </si>
  <si>
    <t>Crime Ratio per 100 000 of the population</t>
  </si>
  <si>
    <t>Crime ratio</t>
  </si>
  <si>
    <t>Percentage difference on reported cases</t>
  </si>
  <si>
    <t>2003/04-2004/05</t>
  </si>
  <si>
    <t>2004/05-2005/06</t>
  </si>
  <si>
    <t>2005/06-2006/07</t>
  </si>
  <si>
    <t>2006/07-2007/08</t>
  </si>
  <si>
    <t>2007/08-2008/09</t>
  </si>
  <si>
    <t>2008/09-2009/10</t>
  </si>
  <si>
    <t>2009/10-2010/11</t>
  </si>
  <si>
    <t>2010/11-2011/12</t>
  </si>
  <si>
    <t>2011/12-2012/13</t>
  </si>
  <si>
    <t>2012/13-2013/14</t>
  </si>
  <si>
    <t>2013/14-2014/15</t>
  </si>
  <si>
    <t>2014/15-2015/16</t>
  </si>
  <si>
    <t>2015/16 - 2016/17</t>
  </si>
  <si>
    <t>2016/17-2017/18</t>
  </si>
  <si>
    <t>2017/18-2018/19</t>
  </si>
  <si>
    <t>2018/19-2019/20</t>
  </si>
  <si>
    <t>Ratio of Drug-related crime per 100 000 of the population</t>
  </si>
  <si>
    <t>Drug-related crimes include possession, usage, handling, dealing, smuggling and manufacturing.</t>
  </si>
  <si>
    <t>Financial year</t>
  </si>
  <si>
    <t>Drug-related crime reported per 100 000 population</t>
  </si>
  <si>
    <t xml:space="preserve">Sexual Offences </t>
  </si>
  <si>
    <t>To reduce the overall level of sexual offences</t>
  </si>
  <si>
    <t>2003/4-2004/5</t>
  </si>
  <si>
    <t>2004/5- 2005/6</t>
  </si>
  <si>
    <t>2005/6-2006/7</t>
  </si>
  <si>
    <t>2006/7- 2007/8</t>
  </si>
  <si>
    <t>2007/8- 2008/9</t>
  </si>
  <si>
    <t>2008/9- 2009/10</t>
  </si>
  <si>
    <t>2015/16-2016/17</t>
  </si>
  <si>
    <t>2018/19 - 2019/20</t>
  </si>
  <si>
    <t>Ratio of Sexual offenses  per 100 000 of the population</t>
  </si>
  <si>
    <t>Sexual offences are defined by Criminal Law (Sexual Offences and Related Matters) Amendment Act, 2007 (Act 32 of 2007).. Sexual offences is a category of crime which includes rape , sexual assault, contact sexual assault  and sexual offences due to police action</t>
  </si>
  <si>
    <t> Financial Years</t>
  </si>
  <si>
    <t>Sexual offences reported per 100 000 population</t>
  </si>
  <si>
    <r>
      <t>Indicator</t>
    </r>
    <r>
      <rPr>
        <b/>
        <sz val="10"/>
        <rFont val="Arial"/>
        <family val="2"/>
      </rPr>
      <t xml:space="preserve">     </t>
    </r>
  </si>
  <si>
    <t>Corruption in public and private sector</t>
  </si>
  <si>
    <r>
      <t>Category</t>
    </r>
    <r>
      <rPr>
        <b/>
        <sz val="10"/>
        <rFont val="Arial"/>
        <family val="2"/>
      </rPr>
      <t xml:space="preserve">     </t>
    </r>
  </si>
  <si>
    <t>Safer Communities</t>
  </si>
  <si>
    <t>Corruption combatted and reduced</t>
  </si>
  <si>
    <t>Reduced corruption by 50% in 2024 - To measure whether serious corruption is being successfully dealt with by the JCPS</t>
  </si>
  <si>
    <t xml:space="preserve">Table 1: Number of persons convicted of corruption where the amount involved is more than R5 million </t>
  </si>
  <si>
    <t>Corruption Cases</t>
  </si>
  <si>
    <t>Year on Year growth 2018/19 vs 2019/20</t>
  </si>
  <si>
    <t>Persons Convicted with R5m value</t>
  </si>
  <si>
    <t>Government officials convicted</t>
  </si>
  <si>
    <t xml:space="preserve">     Table 2 : Assets forfeiture and Freeze Assets</t>
  </si>
  <si>
    <t>Value of Forfeiture Assets(Rand in Millions)</t>
  </si>
  <si>
    <t>Freeze Assets completed</t>
  </si>
  <si>
    <t xml:space="preserve">Target of Freeze Orders enrolled </t>
  </si>
  <si>
    <t xml:space="preserve">Number of persons convicted, percentage and Rends </t>
  </si>
  <si>
    <r>
      <rPr>
        <b/>
        <sz val="10"/>
        <color theme="1"/>
        <rFont val="Arial"/>
        <family val="2"/>
      </rPr>
      <t>Corruption</t>
    </r>
    <r>
      <rPr>
        <sz val="10"/>
        <color theme="1"/>
        <rFont val="Arial"/>
        <family val="2"/>
      </rPr>
      <t xml:space="preserve"> should be understood as the misuse of public and private office or position or resources with a corrupt intent, and may include acts of bribery, nepotism, extortion, fraud and theft and any offence committed in terms of the Prevention and Combating of Corrupt Activities Act, 12 of 2004 either as main charge or as the alternative charge. 
</t>
    </r>
    <r>
      <rPr>
        <b/>
        <sz val="10"/>
        <color theme="1"/>
        <rFont val="Arial"/>
        <family val="2"/>
      </rPr>
      <t xml:space="preserve">Method of measurement: </t>
    </r>
    <r>
      <rPr>
        <sz val="10"/>
        <color theme="1"/>
        <rFont val="Arial"/>
        <family val="2"/>
      </rPr>
      <t xml:space="preserve">Conviction of persons for the offence of corruption and/or offences relating to corruption where the amount involved exceeds R5 million per case: Each person convicted of corruption and/or offences related to corruption in the reporting period is counted (where the amount involved in the case exceeds R5 million); Number of government officials convicted for corruption or offences related to corruption: The total number of </t>
    </r>
    <r>
      <rPr>
        <b/>
        <sz val="10"/>
        <color theme="1"/>
        <rFont val="Arial"/>
        <family val="2"/>
      </rPr>
      <t>government officials</t>
    </r>
    <r>
      <rPr>
        <sz val="10"/>
        <color theme="1"/>
        <rFont val="Arial"/>
        <family val="2"/>
      </rPr>
      <t xml:space="preserve"> (or former officials) convicted of corruption in the reporting period is counted; Number of persons convicted of private sector corruption: Simple count of persons/companies convicted of private sector corruption
Assets forfeiture and Freeze Assets </t>
    </r>
  </si>
  <si>
    <t>Department of  National Prosecuting Authority, Anti-Corruption Task Team and Department of Justice and Constitutional Development. The data start 2011/12 Financial Years</t>
  </si>
  <si>
    <t>Conviction rate</t>
  </si>
  <si>
    <t>National Prosecuting Authority</t>
  </si>
  <si>
    <t>To ensure successful prosecution</t>
  </si>
  <si>
    <t>Table  1</t>
  </si>
  <si>
    <t xml:space="preserve">National Prosecuting Authority (NPA) data </t>
  </si>
  <si>
    <t>All criminal courts</t>
  </si>
  <si>
    <t>year on year growth 2018/19 vs 2019/20</t>
  </si>
  <si>
    <t>New cases in court</t>
  </si>
  <si>
    <t>LC</t>
  </si>
  <si>
    <t>HC</t>
  </si>
  <si>
    <t>Finalised cases</t>
  </si>
  <si>
    <t>2.2.1</t>
  </si>
  <si>
    <t>Verdict cases</t>
  </si>
  <si>
    <t>2.2.1.1</t>
  </si>
  <si>
    <t>Convictions</t>
  </si>
  <si>
    <t>2.2.2</t>
  </si>
  <si>
    <t>ADRM</t>
  </si>
  <si>
    <t>diversions</t>
  </si>
  <si>
    <t>CJA</t>
  </si>
  <si>
    <t>mediations</t>
  </si>
  <si>
    <t>105 789</t>
  </si>
  <si>
    <t>Cases remaining in the system</t>
  </si>
  <si>
    <t xml:space="preserve">Table 2          </t>
  </si>
  <si>
    <t>Various ratios</t>
  </si>
  <si>
    <t>District courts</t>
  </si>
  <si>
    <t>Regional courts</t>
  </si>
  <si>
    <t>High courts</t>
  </si>
  <si>
    <t xml:space="preserve">Number and percentage </t>
  </si>
  <si>
    <r>
      <t xml:space="preserve">The indicator displays the successful prosecution of cases. </t>
    </r>
    <r>
      <rPr>
        <b/>
        <sz val="10"/>
        <rFont val="Arial"/>
        <family val="2"/>
      </rPr>
      <t>Conviction rate</t>
    </r>
    <r>
      <rPr>
        <sz val="10"/>
        <rFont val="Arial"/>
        <family val="2"/>
      </rPr>
      <t xml:space="preserve"> is defined as the percentage of cases finalised with a verdict in which a guilty verdict was obtained - different targets are set for different forums. ADRM is Alternative Dispute Resolution Methods.</t>
    </r>
    <r>
      <rPr>
        <sz val="10"/>
        <rFont val="Arial"/>
        <family val="2"/>
      </rPr>
      <t xml:space="preserve"> </t>
    </r>
    <r>
      <rPr>
        <b/>
        <sz val="10"/>
        <rFont val="Arial"/>
        <family val="2"/>
      </rPr>
      <t>Cases finalised</t>
    </r>
    <r>
      <rPr>
        <sz val="10"/>
        <rFont val="Arial"/>
        <family val="2"/>
      </rPr>
      <t xml:space="preserve"> includes verdict cases and ADRM. </t>
    </r>
  </si>
  <si>
    <t xml:space="preserve">Table 1 and Table 2 data sourced from National Prosecuting Authority Annual 2018/19 report. The 2018 publication will show the different levels of courts(District, Regional and High Courts) for annual performances. Cases removed from the Roll and cases disposed are no longer reported by NPA </t>
  </si>
  <si>
    <r>
      <t>2.2.1 (Verdict cases) + 2.2.2 (ADRM) = 2.2 (Finalised cases) . 2.2.1.1 (Convictions) + Acquittals(</t>
    </r>
    <r>
      <rPr>
        <i/>
        <sz val="10"/>
        <color theme="1"/>
        <rFont val="Arial"/>
        <family val="2"/>
      </rPr>
      <t>Not presented here</t>
    </r>
    <r>
      <rPr>
        <sz val="10"/>
        <color theme="1"/>
        <rFont val="Arial"/>
        <family val="2"/>
      </rPr>
      <t>) = 2.2.1 (Verdict cases)
The ADRM includes  Diversions, Informal Mediations and  Child Justice Act diversions.
The definition of number of verdict cases has been amended from 2009/10 to regard Section 57A payments as convictions.</t>
    </r>
  </si>
  <si>
    <t xml:space="preserve">Total number of inmates </t>
  </si>
  <si>
    <t>Safe and humane incarceration</t>
  </si>
  <si>
    <t>Community safety</t>
  </si>
  <si>
    <t>Number of inmates in correctional facilities (correctional centres and remand detention facilities)</t>
  </si>
  <si>
    <t>Sentenced Offenders</t>
  </si>
  <si>
    <t>Unsentenced Inmates</t>
  </si>
  <si>
    <t>Percentage (%)</t>
  </si>
  <si>
    <t>Female inmates</t>
  </si>
  <si>
    <t>Male inmates</t>
  </si>
  <si>
    <t>Number</t>
  </si>
  <si>
    <r>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 T</t>
    </r>
    <r>
      <rPr>
        <sz val="10"/>
        <color rgb="FFFF0000"/>
        <rFont val="Arial"/>
        <family val="2"/>
      </rPr>
      <t>he Percentage of Sentenced Offenders against the total Inmates population.</t>
    </r>
  </si>
  <si>
    <t>Department of Correctional services annual report 2018/19, personal communication</t>
  </si>
  <si>
    <t>Rehabilitation of offenders</t>
  </si>
  <si>
    <t>Reduction of repeat-offending and social re-integration</t>
  </si>
  <si>
    <t>Transform offenders into law abiding citizens by providing correctional and development programs</t>
  </si>
  <si>
    <t>Number of offenders that benefitted from rehabilitation</t>
  </si>
  <si>
    <t>Correctional Programmes</t>
  </si>
  <si>
    <t>Development Programmes</t>
  </si>
  <si>
    <t>Skills</t>
  </si>
  <si>
    <t>Production workshops (workteams)</t>
  </si>
  <si>
    <t>Agriculture (workteams)</t>
  </si>
  <si>
    <t>Psychological Services</t>
  </si>
  <si>
    <t>Social work</t>
  </si>
  <si>
    <t>Spiritual care</t>
  </si>
  <si>
    <t>Caseload per year</t>
  </si>
  <si>
    <t>Parolees</t>
  </si>
  <si>
    <t>Probationers</t>
  </si>
  <si>
    <t xml:space="preserve">Parolees and Probationers </t>
  </si>
  <si>
    <t>Effective supervision of parolees and probationers</t>
  </si>
  <si>
    <t xml:space="preserve">Percentage of Parolees and Probationers without violations </t>
  </si>
  <si>
    <t>Parolee Caseload</t>
  </si>
  <si>
    <t>Parolee without Violations</t>
  </si>
  <si>
    <t>Percentage of Parolees without violations</t>
  </si>
  <si>
    <t>Probation</t>
  </si>
  <si>
    <t xml:space="preserve">Probationer Caseload </t>
  </si>
  <si>
    <t>Probationer without Violations</t>
  </si>
  <si>
    <t>Percentage of Probationers without violations</t>
  </si>
  <si>
    <t>Number, Rate, Percent and Index</t>
  </si>
  <si>
    <t>Definitions</t>
  </si>
  <si>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Offenders are comprehensively assessed to determine their risks and needs and the resulting profile is utilised to recommend needs based rehabilitation interventions which are encapsulated in individual  correctional sentence plans to guide their rehabilitation paths. 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t>
  </si>
  <si>
    <t>Road accidents</t>
  </si>
  <si>
    <t>To reduce the number of road accidents and fatalities</t>
  </si>
  <si>
    <t>Road accidents and fatalities</t>
  </si>
  <si>
    <t>Motorised vehicles registered</t>
  </si>
  <si>
    <t>Fatal road accidents (per 10 000 motorised vehicles)</t>
  </si>
  <si>
    <t>Fatalities (per 10 000 motorised vehicles)</t>
  </si>
  <si>
    <t>Road accidents as a % of motorised vehicle registered</t>
  </si>
  <si>
    <t>Number of fatal road accidents</t>
  </si>
  <si>
    <t>Number of fatalities</t>
  </si>
  <si>
    <t>Fatalities refer to road accidents which resulted in death; fatal road accidents refer to motor vehicle crashes in which at least one person was killed.</t>
  </si>
  <si>
    <t>Road traffic offence index refer to a combination of critical offences (speed, alcohol and some driver and vehicle fitness aspects) expressed in terms of present standards for the various offences.</t>
  </si>
  <si>
    <t xml:space="preserve">Road Traffic Management Corporation (RTMC) Annual Report. </t>
  </si>
  <si>
    <t>Development cooperation</t>
  </si>
  <si>
    <t xml:space="preserve">Sustainable development </t>
  </si>
  <si>
    <t>Contribute to sustainable development and an economically integrated Africa by supporting regional and continental processes so as to significantly increase intra-Africa trade and to champion sustainable development and opportunities in Africa</t>
  </si>
  <si>
    <t>Countries assisted through development cooperation's</t>
  </si>
  <si>
    <t>Number of initiatives</t>
  </si>
  <si>
    <t>Amount (R 'million)</t>
  </si>
  <si>
    <t>4*</t>
  </si>
  <si>
    <t>43.6</t>
  </si>
  <si>
    <t>Number, Amount in millions of rands</t>
  </si>
  <si>
    <t>Initiatives refer to countries who are assisted through African Renaissance Fund (ARF)</t>
  </si>
  <si>
    <t xml:space="preserve">Department of International Relations and Cooperation (DIRCO). </t>
  </si>
  <si>
    <t>*Expenditure is only recognised once concurrence is granted by the Minister of Finance. For financial year 2010/11 other projects that were funded were not recognised as expenditure against the fund. Where applicable, exchange rate of R11.58 for 2014 is used to compare with the US dollar</t>
  </si>
  <si>
    <t>Sustainable tourism</t>
  </si>
  <si>
    <t>Economic growth and Employment</t>
  </si>
  <si>
    <t>To increase foreign tourism to South Africa and create conditions for sustainable tourism growth</t>
  </si>
  <si>
    <t>Tourism in South Africa</t>
  </si>
  <si>
    <t>1.</t>
  </si>
  <si>
    <t>Total Tourist Arrivals (excluding Transit)</t>
  </si>
  <si>
    <t>Total Africa (including Indian Ocean Islands)</t>
  </si>
  <si>
    <t>Total Overseas</t>
  </si>
  <si>
    <t>Unspecified</t>
  </si>
  <si>
    <t>Contribution to employment</t>
  </si>
  <si>
    <t>2.</t>
  </si>
  <si>
    <t>Direct Contribution to employment</t>
  </si>
  <si>
    <t>Direct Contribution of travel and tourism as % of total SA employment</t>
  </si>
  <si>
    <t>3.</t>
  </si>
  <si>
    <t>Total (Direct and Indirect) contribution of Travel and tourism to employment</t>
  </si>
  <si>
    <t>Total contribution (Direct and Indirect) of travel and tourism as % total SA employment</t>
  </si>
  <si>
    <t>4.</t>
  </si>
  <si>
    <t>Contribution to Gross Domestic Product</t>
  </si>
  <si>
    <t>Direct contribution to Gross domestic Product (GDP)</t>
  </si>
  <si>
    <t xml:space="preserve"> Direct contribution of travel and tourism as % of SA GDP</t>
  </si>
  <si>
    <t>5.</t>
  </si>
  <si>
    <t xml:space="preserve">Total (Direct and Indirect)contribution of travel and Tourism to GDP </t>
  </si>
  <si>
    <t>Total (Direct and Indirect) contribution of travel and tourism as % of total SA GDP</t>
  </si>
  <si>
    <t>Numbers, Rands in billion</t>
  </si>
  <si>
    <r>
      <t xml:space="preserve">1. Statistics South Africa : </t>
    </r>
    <r>
      <rPr>
        <sz val="10"/>
        <color rgb="FFFF0000"/>
        <rFont val="Arial"/>
        <family val="2"/>
      </rPr>
      <t xml:space="preserve"> Tourism and Migration Report for December 2019</t>
    </r>
    <r>
      <rPr>
        <sz val="10"/>
        <rFont val="Arial"/>
        <family val="2"/>
      </rPr>
      <t xml:space="preserve"> 
2,4. Statistics South Africa's National accounts, Tourism Satellite Accounts for South Africa (</t>
    </r>
    <r>
      <rPr>
        <sz val="10"/>
        <color rgb="FFFF0000"/>
        <rFont val="Arial"/>
        <family val="2"/>
      </rPr>
      <t>Final 2016, Provisional 2017 and 2018)</t>
    </r>
    <r>
      <rPr>
        <sz val="10"/>
        <rFont val="Arial"/>
        <family val="2"/>
      </rPr>
      <t xml:space="preserve">
3,5. World Travel and Tourism council (WTTC): </t>
    </r>
    <r>
      <rPr>
        <sz val="10"/>
        <color rgb="FFFF0000"/>
        <rFont val="Arial"/>
        <family val="2"/>
      </rPr>
      <t xml:space="preserve">Travel and Tourism  Economic Impact 2020 Report for South Africa
</t>
    </r>
  </si>
  <si>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</si>
  <si>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</si>
  <si>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Mission operations and diplomats trained</t>
  </si>
  <si>
    <t>Bilateral political and economic relations</t>
  </si>
  <si>
    <t>To conduct and co-ordinate South Africa’s international relations and promote its foreign-policy objectives and to promote and protect South Africa's national interests and values through bilateral and multilateral interactions</t>
  </si>
  <si>
    <t>Trend analysis</t>
  </si>
  <si>
    <t xml:space="preserve">The number of missions remained stable at 125 from 2010/11 to 2014/15, but with a slight reduction in  2015/16.  However, since 2018/19 the number of missions slightly increased to 125. Through this stability, South Africa is able to maintain a strong diplomatic presence across the world.  Although the number of  diplomatic missions, consulates-general, consulates and international organizations in South Africa decreased from 327 in 2018/19 to 322 in 2019/20, South Africa is still hosting a large number of diplomatic offices accredited to a country. </t>
  </si>
  <si>
    <t xml:space="preserve">Mission operations </t>
  </si>
  <si>
    <t>Africa</t>
  </si>
  <si>
    <t>Latin America</t>
  </si>
  <si>
    <t>Asia/ Australasia</t>
  </si>
  <si>
    <t>North America</t>
  </si>
  <si>
    <t>Europe</t>
  </si>
  <si>
    <t>All Missions</t>
  </si>
  <si>
    <t>Diplomats trained</t>
  </si>
  <si>
    <t>Foreign Service/Diplomatic training: Foreign Affairs</t>
  </si>
  <si>
    <t>hyt</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</si>
  <si>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</si>
  <si>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</si>
  <si>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</si>
  <si>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</si>
  <si>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</si>
  <si>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</si>
  <si>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</si>
  <si>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</si>
  <si>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</si>
  <si>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</si>
  <si>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</si>
  <si>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</si>
  <si>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training programmes include Foreign Service training, language and other international programmes. </t>
  </si>
  <si>
    <t>No new missions were opened from the 2009/10 financial year onwards. Foreign language training undertaken on a financial year basis. Additional data on diplomats trained available in the Excel version on the DPME website: www.dpme.gov.za</t>
  </si>
  <si>
    <t xml:space="preserve"> Department of International Relations and Cooperation
</t>
  </si>
  <si>
    <t>All missions</t>
  </si>
  <si>
    <t>International Agreements</t>
  </si>
  <si>
    <t>Multilateral and bilateral political and economic relations</t>
  </si>
  <si>
    <t>To conduct and co-ordinate South Africa's international relations and promote its foreign policy objectives</t>
  </si>
  <si>
    <t>South Africa's International Agreements</t>
  </si>
  <si>
    <t>Number per year</t>
  </si>
  <si>
    <t>Multilateral</t>
  </si>
  <si>
    <t>Bilateral</t>
  </si>
  <si>
    <t>Treaties, Conventions, protocols, MOU's.</t>
  </si>
  <si>
    <t>International agreements concluded by South Africa with one or more states/ organisations.</t>
  </si>
  <si>
    <t>Number of agreements ( Bilateral or Multilateral) refer to annual aggregated total agreements per year and are cumulative. For example in 2010 there were 80 agreements in existence and in 2011, 4 new agreements were added, aggregating the figure to 84. Where there are fewer agreements, it means that some have lapsed compared to the pervious year.</t>
  </si>
  <si>
    <t xml:space="preserve">Official South African Treaty Register of the Republic of South Africa, data supplied by Department of International Relations and Cooperation. </t>
  </si>
  <si>
    <t>Revenue collection</t>
  </si>
  <si>
    <t>Government effectiveness</t>
  </si>
  <si>
    <t>To strengthen the revenue-collection capacity of government</t>
  </si>
  <si>
    <t>Tax Register and Revenue Collection ( Nominal Rand)</t>
  </si>
  <si>
    <t>Annual tax relief</t>
  </si>
  <si>
    <t>R 'bn</t>
  </si>
  <si>
    <t>Income Tax register</t>
  </si>
  <si>
    <t>No</t>
  </si>
  <si>
    <t>Personal Income Tax</t>
  </si>
  <si>
    <t>Corporate Income Tax</t>
  </si>
  <si>
    <t>Trusts</t>
  </si>
  <si>
    <t>Value Added Tax (VAT) - Vendors</t>
  </si>
  <si>
    <t>R 'M</t>
  </si>
  <si>
    <t>Personal Income Tax (PIT)</t>
  </si>
  <si>
    <t>Corporate Income Tax (CIT)</t>
  </si>
  <si>
    <t>Value Added Tax (VAT)</t>
  </si>
  <si>
    <t>Customs Duties</t>
  </si>
  <si>
    <t>Other tax types</t>
  </si>
  <si>
    <t>Number of tax payers and value of revenue in nominal rands</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</si>
  <si>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</si>
  <si>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South African Revenue Service (SARS).</t>
  </si>
  <si>
    <t>Personal Income Tax (PIT) and Corporate Income Tax (CIT)  are taxes on income and profits and are the sum of Pay-As-You-Earn (PAYE), provisional payments, assessment payments, royalties, interest on overdue taxes less refunds and personal income tax  employment tax incentives. VAT is an indirect tax levied on final consumption and fixed investment by households and government, and imports. The income tax register include suspense cases from 1996/97 to 2001/02 and exclude suspense cases from 2002/03 until present. Bar graph reflects disaggregated revenue collection according to different tax types.</t>
  </si>
  <si>
    <t>R 'b</t>
  </si>
  <si>
    <t xml:space="preserve"> Audit Outcomes</t>
  </si>
  <si>
    <t>To reduce the number of national and provincial departments and municipalities receiving qualified, adverse and disclaimer annual audit reports to 15 departments or below - MTSF Target</t>
  </si>
  <si>
    <t>Audits</t>
  </si>
  <si>
    <t>National depts.</t>
  </si>
  <si>
    <t>No of nat depts. reported on</t>
  </si>
  <si>
    <t>No of qualified audits</t>
  </si>
  <si>
    <t>% of qualified audits</t>
  </si>
  <si>
    <t>Provincial depts.</t>
  </si>
  <si>
    <t>No of provincial depts. reported on</t>
  </si>
  <si>
    <t>Municipalities</t>
  </si>
  <si>
    <t>No of municipalities reported on</t>
  </si>
  <si>
    <t>Public entities</t>
  </si>
  <si>
    <t>No of public entities reported on</t>
  </si>
  <si>
    <t>Numbers and Percentages</t>
  </si>
  <si>
    <r>
      <rPr>
        <i/>
        <sz val="10"/>
        <rFont val="Arial"/>
        <family val="2"/>
      </rPr>
      <t>Qualified audits is defined by the Auditor-General (AG) to include qualified, adverse and disclaimer opinions.</t>
    </r>
    <r>
      <rPr>
        <sz val="10"/>
        <rFont val="Arial"/>
        <family val="2"/>
      </rPr>
      <t xml:space="preserve">
A </t>
    </r>
    <r>
      <rPr>
        <b/>
        <sz val="10"/>
        <rFont val="Arial"/>
        <family val="2"/>
      </rPr>
      <t>qualified audit opinion</t>
    </r>
    <r>
      <rPr>
        <sz val="10"/>
        <rFont val="Arial"/>
        <family val="2"/>
      </rPr>
      <t xml:space="preserve"> refers to financial statements that contain material misstatements in specific amounts or there is insufficient evidence for the auditor to conclude that specific identified amounts included in the financial statements are not materially over or understated. 
An </t>
    </r>
    <r>
      <rPr>
        <b/>
        <sz val="10"/>
        <rFont val="Arial"/>
        <family val="2"/>
      </rPr>
      <t>adverse audit opinion</t>
    </r>
    <r>
      <rPr>
        <sz val="10"/>
        <rFont val="Arial"/>
        <family val="2"/>
      </rPr>
      <t xml:space="preserve"> refers to financial statements that contain misstatements that are not confined to specific amounts or the misstatements that represent a substantial portion of the financial statements.
A </t>
    </r>
    <r>
      <rPr>
        <b/>
        <sz val="10"/>
        <rFont val="Arial"/>
        <family val="2"/>
      </rPr>
      <t>disclaimer of audit opinion</t>
    </r>
    <r>
      <rPr>
        <sz val="10"/>
        <rFont val="Arial"/>
        <family val="2"/>
      </rPr>
      <t xml:space="preserve"> occurs when an auditee has provided insufficient evidence in the form of documentation on which to form an audit opinion. The lack of sufficient evidence is not confined to specific amounts or represents a substantial portion of the information contained in the financial statement.
A </t>
    </r>
    <r>
      <rPr>
        <b/>
        <sz val="10"/>
        <rFont val="Arial"/>
        <family val="2"/>
      </rPr>
      <t>material misstatement</t>
    </r>
    <r>
      <rPr>
        <sz val="10"/>
        <rFont val="Arial"/>
        <family val="2"/>
      </rPr>
      <t xml:space="preserve"> is an error or omission that is significant enough to influence the opinions or decisions of users of the reported information. Materiality is considered in terms of either its rand value or the nature and cause of the misstatement, or both these aspects.
</t>
    </r>
  </si>
  <si>
    <t>General reports of the Auditor-General (AG).</t>
  </si>
  <si>
    <t>Corruption Perceptions</t>
  </si>
  <si>
    <t>Anti-corruption</t>
  </si>
  <si>
    <t>Ensure transparency and effective oversight. Improve South Africa's overall ranking position to below 50 by 2019</t>
  </si>
  <si>
    <t>Transparency International Corruption Perception index</t>
  </si>
  <si>
    <t>Ranking position</t>
  </si>
  <si>
    <t>Corruption perception scores</t>
  </si>
  <si>
    <t>Ranking in Transparency International Corruption Perception Index (CPI)</t>
  </si>
  <si>
    <t xml:space="preserve">Transparency International (TI) defines corruption as the abuse on entrusted power for private gain. This definition encompasses corrupt practices in both the public and private sectors.
 </t>
  </si>
  <si>
    <t>The corruption perception Index (CPI) ranks countries according to perception of corruption in the public sector. The CPI is an aggregate indicator that combines different sources of information about corruption, making it possible to compare countries.</t>
  </si>
  <si>
    <t>Transparency International (www.transparency.org)</t>
  </si>
  <si>
    <t>Budget Transparency</t>
  </si>
  <si>
    <t>Good governance</t>
  </si>
  <si>
    <t xml:space="preserve">Ensure transparency and effective oversight </t>
  </si>
  <si>
    <t xml:space="preserve">Table                        </t>
  </si>
  <si>
    <t>Provides extensive information to citizens  (OBI Scores 81 - 100)</t>
  </si>
  <si>
    <t>France</t>
  </si>
  <si>
    <t>Slovenia</t>
  </si>
  <si>
    <t>United States</t>
  </si>
  <si>
    <t>Norway</t>
  </si>
  <si>
    <t>Sweden</t>
  </si>
  <si>
    <t>Georgia</t>
  </si>
  <si>
    <t xml:space="preserve">New Zealand </t>
  </si>
  <si>
    <t>Provides significant information to citizens ( OBI Scores 61 - 80)</t>
  </si>
  <si>
    <t xml:space="preserve">Botswana </t>
  </si>
  <si>
    <t>Germany</t>
  </si>
  <si>
    <t>South Korea</t>
  </si>
  <si>
    <t>Czech Republic</t>
  </si>
  <si>
    <t>Peru</t>
  </si>
  <si>
    <t>Ukraine</t>
  </si>
  <si>
    <t>Russia</t>
  </si>
  <si>
    <t>Philippines</t>
  </si>
  <si>
    <t>Dominican Republic</t>
  </si>
  <si>
    <t>Sri Lanka</t>
  </si>
  <si>
    <t>Italy</t>
  </si>
  <si>
    <t>Bulgaria</t>
  </si>
  <si>
    <t xml:space="preserve">Czech Republic </t>
  </si>
  <si>
    <t xml:space="preserve">Poland </t>
  </si>
  <si>
    <t>Uganda</t>
  </si>
  <si>
    <t xml:space="preserve">Indonesia </t>
  </si>
  <si>
    <t>Malawi</t>
  </si>
  <si>
    <t>Phillipines</t>
  </si>
  <si>
    <t>Croatia</t>
  </si>
  <si>
    <t>Guatemala</t>
  </si>
  <si>
    <t>Jordan</t>
  </si>
  <si>
    <t>Kyrgyz Republic</t>
  </si>
  <si>
    <t>Thailand</t>
  </si>
  <si>
    <t>Provides some information to citizens ( OBI Scores 41 - 60)</t>
  </si>
  <si>
    <t>Namibia</t>
  </si>
  <si>
    <t>Egypt</t>
  </si>
  <si>
    <t>Nepal</t>
  </si>
  <si>
    <t>Afghanistan</t>
  </si>
  <si>
    <t>Bangladesh</t>
  </si>
  <si>
    <t>Turkey</t>
  </si>
  <si>
    <t>Honduras</t>
  </si>
  <si>
    <t>Kazakhstan</t>
  </si>
  <si>
    <t>Costa Rica</t>
  </si>
  <si>
    <t xml:space="preserve">Jordan </t>
  </si>
  <si>
    <t>Pakistan</t>
  </si>
  <si>
    <t>Tanzania</t>
  </si>
  <si>
    <t>Macedonia</t>
  </si>
  <si>
    <t>Serbia</t>
  </si>
  <si>
    <t>Azerbaijan</t>
  </si>
  <si>
    <t>Papua New Guinea</t>
  </si>
  <si>
    <t>Moldova</t>
  </si>
  <si>
    <t>Mongolia</t>
  </si>
  <si>
    <t>Albania</t>
  </si>
  <si>
    <t>Bosnia and Herzegovina</t>
  </si>
  <si>
    <t>Mangolia</t>
  </si>
  <si>
    <t>El Salvador</t>
  </si>
  <si>
    <t>Sierra Leone</t>
  </si>
  <si>
    <t>Senegal</t>
  </si>
  <si>
    <t>Bosnia</t>
  </si>
  <si>
    <t>Bosnia and
 Herzegovina</t>
  </si>
  <si>
    <t>Ecuador</t>
  </si>
  <si>
    <t>Benin</t>
  </si>
  <si>
    <t>Zimbabwe</t>
  </si>
  <si>
    <t>Mali</t>
  </si>
  <si>
    <t>Nicaragua</t>
  </si>
  <si>
    <t>Paraguay</t>
  </si>
  <si>
    <t>Zambia</t>
  </si>
  <si>
    <t>Mozambique</t>
  </si>
  <si>
    <t>Cameroon</t>
  </si>
  <si>
    <t>Morocco</t>
  </si>
  <si>
    <t>Jamaica</t>
  </si>
  <si>
    <t>Liberia</t>
  </si>
  <si>
    <t>Burkina Faso</t>
  </si>
  <si>
    <t>Fiji</t>
  </si>
  <si>
    <t>Timor-Leste</t>
  </si>
  <si>
    <t>Provides minimal information to citizens  (OBI Scores 21 - 40)</t>
  </si>
  <si>
    <t>Khazakstan</t>
  </si>
  <si>
    <t>Venezuela</t>
  </si>
  <si>
    <t>Trinidada and Tobago</t>
  </si>
  <si>
    <t>Democratic Republic of Congo</t>
  </si>
  <si>
    <t>Timoor-Leste</t>
  </si>
  <si>
    <t>Madagascar</t>
  </si>
  <si>
    <t>Rwanda</t>
  </si>
  <si>
    <t xml:space="preserve">Algeria </t>
  </si>
  <si>
    <t xml:space="preserve">Cameroon </t>
  </si>
  <si>
    <t xml:space="preserve">Honduras </t>
  </si>
  <si>
    <t>Lebanon</t>
  </si>
  <si>
    <t>Morroco</t>
  </si>
  <si>
    <t>Yemen</t>
  </si>
  <si>
    <t>Tomor-Leste</t>
  </si>
  <si>
    <t>Trinidad and Tobago</t>
  </si>
  <si>
    <t>Bosnia and  Herzegovina</t>
  </si>
  <si>
    <t>Sao Tome e Principe</t>
  </si>
  <si>
    <t>Vietnam</t>
  </si>
  <si>
    <t>Niger</t>
  </si>
  <si>
    <t>Angola</t>
  </si>
  <si>
    <t>Tajikistan</t>
  </si>
  <si>
    <t>Nigeria</t>
  </si>
  <si>
    <t>Cote d'Ivoire</t>
  </si>
  <si>
    <t xml:space="preserve">El Salvador </t>
  </si>
  <si>
    <t xml:space="preserve">Uganda </t>
  </si>
  <si>
    <t>Eswatini</t>
  </si>
  <si>
    <t>Lesotho</t>
  </si>
  <si>
    <t>Myanmar</t>
  </si>
  <si>
    <t>Provides scant or no information to citizens ( OBI Scores 0 - 20)</t>
  </si>
  <si>
    <t xml:space="preserve">Bolivia </t>
  </si>
  <si>
    <t xml:space="preserve">Nicaragua </t>
  </si>
  <si>
    <t>Chad</t>
  </si>
  <si>
    <t>Saudi Arabia</t>
  </si>
  <si>
    <t>Algeria</t>
  </si>
  <si>
    <t xml:space="preserve">Vietnam </t>
  </si>
  <si>
    <t>Bolivia</t>
  </si>
  <si>
    <t>Cambodia</t>
  </si>
  <si>
    <t xml:space="preserve">Mongolia </t>
  </si>
  <si>
    <t xml:space="preserve">Nigeria </t>
  </si>
  <si>
    <t>Sudan</t>
  </si>
  <si>
    <t>Equatorial 
Guinea</t>
  </si>
  <si>
    <t>Somalia</t>
  </si>
  <si>
    <t>Comoros</t>
  </si>
  <si>
    <t>Burundi</t>
  </si>
  <si>
    <t>Iraq</t>
  </si>
  <si>
    <t>South Sudan</t>
  </si>
  <si>
    <t>Equatorial Guinea</t>
  </si>
  <si>
    <t>The Gambia</t>
  </si>
  <si>
    <t>Qatar</t>
  </si>
  <si>
    <t>Swaziland</t>
  </si>
  <si>
    <t>Venevuela</t>
  </si>
  <si>
    <t>Equitorial Guinea</t>
  </si>
  <si>
    <t>Houduras</t>
  </si>
  <si>
    <t>Rating</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</si>
  <si>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Open Budget Index is the world's only independent, comparative measure of central government budget transparency. Open Budget Survey assesses the availability in each country of eight key budget documents, as well as the comprehensiveness of the data contained in these documents.The rating is based on a questionnaire with 92 questions relating to categories of availability of budget documentation, the executive's budget proposal and the budget process.
 </t>
  </si>
  <si>
    <t>www.openbudgetindex.org</t>
  </si>
  <si>
    <t>Public opinion: Delivery of basic services</t>
  </si>
  <si>
    <t xml:space="preserve">Public trust and confidence in local government </t>
  </si>
  <si>
    <t>Performing well</t>
  </si>
  <si>
    <t>Major Service delivery protests</t>
  </si>
  <si>
    <t>2014 sep</t>
  </si>
  <si>
    <t>Service delivery protests</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</si>
  <si>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</si>
  <si>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Table 1) Government Communication and Information System (GCIS) based on Ipsos data.
Table 2) Municipal IQ press release accessed 27th January 2020. www.MunicipalIQ.co.za</t>
  </si>
  <si>
    <t>Major service protests</t>
  </si>
  <si>
    <t>Public Opinion: Delivery of basic services</t>
  </si>
  <si>
    <t>Ease of Doing Business</t>
  </si>
  <si>
    <t>To improve government's efficiency and effectiveness in attracting investment by creating an environment conducive to business operation</t>
  </si>
  <si>
    <t>Ease of doing business-Rank</t>
  </si>
  <si>
    <t>Change in global  rank</t>
  </si>
  <si>
    <t>No Change</t>
  </si>
  <si>
    <t>Slovak Republic</t>
  </si>
  <si>
    <t>Oman</t>
  </si>
  <si>
    <t>Total number of countries</t>
  </si>
  <si>
    <t xml:space="preserve">Doing business in SA </t>
  </si>
  <si>
    <t>Key Indicators</t>
  </si>
  <si>
    <t>Change in Global Rank</t>
  </si>
  <si>
    <t>Getting Credit</t>
  </si>
  <si>
    <t>Protecting Investors</t>
  </si>
  <si>
    <t>Paying Taxes</t>
  </si>
  <si>
    <t>Starting a business</t>
  </si>
  <si>
    <t>Getting electricity</t>
  </si>
  <si>
    <t>Enforcing contracts</t>
  </si>
  <si>
    <t>Registering Property</t>
  </si>
  <si>
    <t>Trading across borders</t>
  </si>
  <si>
    <t xml:space="preserve">The ease of doing business is an oveall measure that gives an indication of where it is easier for domestic small and medium-size firms to do business using quantitative indicators. </t>
  </si>
  <si>
    <t>The economies on the ease of doing business index are ranked from 1 to 190. The index is calculated as the ranking on the simple average of country percentile rankings on each of the 11 areas covered in Doing Business. The index is calculated as the ranking on the simple average of country percentile rankings on each of the 11 areas covered in Doing Business. To make the data comparable across 190 economies, Doing Business uses a standardized business that is 100% domestically owned, has start-up capital equivalent to 10 times income per capita, engages in general industrial or commercial activities and employs between 10 and 50 people within the first month of operations. The rankings for all economies are benchmarked from 01 May 2019 and reported in the country tables. This year’s rankings on the ease of doing business are the average of the economy’s rankings on the 11 areas included in this year’s aggregate ranking excluding . The number of reforms exclude those making it more difficult to do business. A positive change indicates improvement in the index between 2018 and 2019 while a negative change indicates a deterioration. No change in the indication is written as such.</t>
  </si>
  <si>
    <t>http://www.doingbusiness.org - Doing Business Database and Reports</t>
  </si>
  <si>
    <t>Greenhouse gas emissions</t>
  </si>
  <si>
    <t>Climate Change Mitigation</t>
  </si>
  <si>
    <t xml:space="preserve">South Africa continues to commit itself towards reduction of carbon emissions, creating an enabling environment to reduce and adapt to climate change impacts and facilitate the transition to a climate resilient and low carbon economy. </t>
  </si>
  <si>
    <t>National Greenhouse Gas (ghg) emissions trajectory range</t>
  </si>
  <si>
    <t xml:space="preserve">National GHG Emissions in Mt CO2-eq </t>
  </si>
  <si>
    <t xml:space="preserve">Benchmark Trajectory Upper Range </t>
  </si>
  <si>
    <t xml:space="preserve">Benchmark Trajectory Lower Range </t>
  </si>
  <si>
    <t>Actual emissions</t>
  </si>
  <si>
    <t>Megatonnes (Mt).</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</si>
  <si>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</si>
  <si>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DEA, 2019. National GHG Inventory Report for South Africa: 2000 – 2015. Department of Environmental Affairs, Pretoria.</t>
  </si>
  <si>
    <t xml:space="preserve">National and Priority Area Air Quality Indicators </t>
  </si>
  <si>
    <t>Ambient Air Quality</t>
  </si>
  <si>
    <t>Ambient air quality in the national priority areas conforms to national ambient air quality standards by 2020</t>
  </si>
  <si>
    <t>Regional Air Quality Indices</t>
  </si>
  <si>
    <t>Focus</t>
  </si>
  <si>
    <t>National Air Quality Indicator (NAQI)</t>
  </si>
  <si>
    <t>Priority Area Air Quality Index for the Vaal Triangle Priority Area (PAAQI-VTPA)</t>
  </si>
  <si>
    <t>Priority Area Air Quality Index for the Highveld priority Area (PAAQI-HPA)</t>
  </si>
  <si>
    <t>Acceptability threshold</t>
  </si>
  <si>
    <t>The indicators are a ratios of annual averages against the NAAQS hence no units.</t>
  </si>
  <si>
    <t>The National/Priority Area Air Quality Index (NAQI/PAAQI) provides a measure of ambient air quality in relation to current air quality standards acrss the country (NAQI) and in recognised national air pollution hot spots, (PAAQI). Scientifically, the NAQI/PAAQI is defined as the maximum value of the normalized ratios of the annual averages of PM10 and SO2 measured by the air quality monitoring station network in priority areas for each year. Indicator values of 1 and above means that air quality does not meet ambient air quality standards. NAQI/PAAQI values below 1 means that overall, air quality complies with current ambient air quality standards.</t>
  </si>
  <si>
    <t>To derive the NAQI/PAAQI, the annual averages of PM10 and sulphur dioxide SO2 (the two most prevalent air pollutants in the country) are averaged over the national/priority area stations data in order to derive the national/priority area annual average. These averages are then normalised by the annual average National Ambient Air Quality Standard (NAAQS). Based on the normalised ratios of the average concentrations, NAQI/PAAQI is defined as the maximum between the normalised ratios of the national annual averages of PM10 and SO2 for each year.</t>
  </si>
  <si>
    <t>Ambient air quality data is available from the South African Air Quality Information System (https://saaqis.environment.gov.za/). National Ambient Air Quality Standards are published by the Minister of Environmental Affairs in terms of S.9(1) of the Air Quality Act (see Government Gazette No. 32816 of 24 December 2009 and Gazette No. 35463 of 29 June 2012).</t>
  </si>
  <si>
    <t>Terrestrial Biodiversity Protection Index</t>
  </si>
  <si>
    <t xml:space="preserve">Biodiversity </t>
  </si>
  <si>
    <t>To improve the status of biodiversity by safeguarding terrestrial ecosystems.</t>
  </si>
  <si>
    <t xml:space="preserve">There is a steady increase in the protected area network extent and the Terrestrial Biodiversity Index since 1990. The per cent land mass under protection increased from 6.36% in 1990 to 8.90% in 2019. The TBPI on the other hand increased from 4.27% in 1990 to 6.31% in 2019. Although South Africa's terrestrial conservation estate is continuously expanding, in terms of per cent land mass under conservation and the range of biodiversity represented in these protected areas, the network is unlikely to meet the Aichi target. It should however be noted that the Aichi Target of 17% by 2020 includes a broader definition of Protected Areas  that includes Other Effective Area-Based Conservation Measures (OECMs). At present, South Africa's Protected Area Database does not contain comprehensive information on OECMs.  This means that the index will show improved progress to the Aichi target once the OECM areas are incorporated into the computation. SA had not met its Outlook 10 target of 13.2% by 2019. To increase the TBPI, South Africa needs to protect and conserve under-represented ecosystem types. This target is not affected by OECMs. </t>
  </si>
  <si>
    <t>Measure/Index</t>
  </si>
  <si>
    <t>Per cent land mass under protection</t>
  </si>
  <si>
    <t>Outcome 10 Target for land mass under protection</t>
  </si>
  <si>
    <t>Aichi Target</t>
  </si>
  <si>
    <t>The Terrestrial Biodiversity Protection Index is a biodiversity related indicator that measures how extensive South Africa’s protected areas are, and how well they represent our ecosystem types.</t>
  </si>
  <si>
    <t xml:space="preserve">South Africa's terrestrial landmass is divided into various ecosystem types. Experts have set a biodiversity target for each ecosystem type (ranging between 15% and 31% depending on the species area curve of each ecosystem type). The Terrestrial Biodiversity Protection Index is calculated by summing the hectares of each ecosystem type that are protected and contribute to biodiversity targets. To do this the first step is to calculate the extent to which each ecosystem type is protected (by intersecting a protected area layer and ecosystem layer in a GIS),  the extent protected is then  compared to the target area  for each type. Once the biodiversity target has been reached for a particular ecosystem type, new hectares will not contribute to the Index. This method ensures that large protected areas covering ecosystem types that are already well protected will not unduly influence the Index. The index relies on SAPAD and consequently does not include OECMs. DEA is in the process defining OECMS in South Africa. Currently estimates of the extent of OECMS areas in South Africa vary widely (0.5 - 2million ha). In the future, with reliable information on OECMs the index will improve as a measure of South Africas progress towards the Aichi target. As a measure of progress against the outcome 10 targets the index is robust as is and not affected by the lack of OECM data. This is due to the fomulation of the Aichi target under the Convention on Biological Diversity.  </t>
  </si>
  <si>
    <t xml:space="preserve">The protected areas data is sourced from the Department of Environment Affairs' (DEA) South African Protected Areas Database (SAPAD).  The key ecosystem type data source is the Vegetation Map of South Africa, Lesotho and Swaziland, curated and updated by South African National Biodiversity Institute (SANBI). </t>
  </si>
  <si>
    <t>Marine Biodiversity Protection Index</t>
  </si>
  <si>
    <t>To improve the status of biodiversity by safeguarding marine ecosystems</t>
  </si>
  <si>
    <t>Accumulative Marine Protected Area expansion as a percentage of South Africa's Exclusive Economic Zone (EEZ)</t>
  </si>
  <si>
    <t>Total MPA (% of EEZ)</t>
  </si>
  <si>
    <t>Marine Biodiversity Protection (MBP) Index: MPA contributing to biodiversity targets (% of EEZ)</t>
  </si>
  <si>
    <t>Outcome 10 target (linked to Total MPAs)</t>
  </si>
  <si>
    <t>South Africa's Continental Mainland Exclusive Economic Zone (EEZ) is divided into various ecosystem types. Experts have set a biodiversity target of 20% for each marine ecosystem type. The MBPI is calculated by first determining the extent to which each marine ecosystem type is protected (at each time point) and sums up their extent (area in km2). The extent protected is then compared to the target area for each ecosystem type. Once the biodiversity target has been reached for a particular ecosystem type, additional hectares will not be added to the Index.  This method ensures that large protected areas covering ecosystem types that are already well protected will not unduly influence the Index. MBPI and the total Marine Protected Areas Network is expressed as a percentage of South Africa's continental mainland Exclusive Economic Zone (EEZ) being 1,074,272 km2. The Prince Edward Islands MPA  which covers 35% of the South Africa's sub-Antarctic EEZ is not included in the calculation of the Marine Biodiversity Protection Index. The ecosystem types for sub-Antarctic territories and surrounding seas will be released as part of the National Biodiversity Assessment in 2019. When this happens the MBPI will be expanded to include the PEI EEZ  in addition to the continental mainland EEZ. Other Effective Area-Based Conservaiton Measures (OECMs) have not yet been defined and mapped in marine environment in South Africa, and are not included in the computations.</t>
  </si>
  <si>
    <t>Aichi target (linked to MBP Index)</t>
  </si>
  <si>
    <t>Percenatge</t>
  </si>
  <si>
    <t>The Marine Biodiversity Protection Index (MBPI) is a biodiversity-related indicator that measure how extensive South Africa's protected areas are and how well they represent the marine ecosystem types.</t>
  </si>
  <si>
    <t>uth Africa's Continental Mainland Exclusive Economic Zone (EEZ) is divided into various ecosystem types. Experts have set a biodiversity target of 20% for each marine ecosystem type. The MBPI is calculated by first determining the extent to which each marine ecosystem type is protected (at each time point) and sums up their extent (area in km2). The extent protected is then compared to the target area for each ecosystem type. Once the biodiversity target has been reached for a particular ecosystem type, additional hectares will not be added to the Index.  This method ensures that large protected areas covering ecosystem types that are already well protected will not unduly influence the Index. MBPI and the total Marine Protected Areas Network is expressed as a percentage of South Africa's continental mainland Exclusive Economic Zone (EEZ) being 1,074,272 km2. The Prince Edward Islands MPA  which covers 35% of the South Africa's sub-Antarctic EEZ is not included in the calculation of the Marine Biodiversity Protection Index. The ecosystem types for sub-Antarctic territories and surrounding seas will be released as part of the National Biodiversity Assessment in 2019. When this happens the MBPI will be expanded to include the PEI EEZ  in addition to the continental mainland EEZ. Other Effective Area-Based Conservaiton Measures (OECMs) have not yet been defined and mapped in marine environment in South Africa, and are not included in the computations.</t>
  </si>
  <si>
    <t xml:space="preserve">The protected areas data sourced is from the Department of Environmental Affairs (DEA) South African Protected Areas Database (SAPAD). The marine ecosystem map is maintained by South African National Biodiversity Institute (SANBI). Territorial Waters and EEZ data were sourced from the South African Navy Hydrographers Office (SANHO).    </t>
  </si>
  <si>
    <r>
      <t>Table 1 and Table 2: South African Social Security Agency's (SASSA) Social Security Pension System (Socpen),  
Table 3: National Treasury's Budget</t>
    </r>
    <r>
      <rPr>
        <sz val="10"/>
        <color rgb="FFFF0000"/>
        <rFont val="Arial"/>
        <family val="2"/>
      </rPr>
      <t xml:space="preserve"> Review 2012-2019</t>
    </r>
    <r>
      <rPr>
        <sz val="10"/>
        <rFont val="Arial"/>
        <family val="2"/>
      </rPr>
      <t xml:space="preserve">
</t>
    </r>
  </si>
  <si>
    <t>Telephone lines</t>
  </si>
  <si>
    <t>Telephone lines (per 100 people)</t>
  </si>
  <si>
    <t>Internet users (per 100 people)</t>
  </si>
  <si>
    <t xml:space="preserve">Total Aggrevated Robberies </t>
  </si>
  <si>
    <t>Table1: Stats SA’s Mid-year population estimates 2019.
Table 2: Medical Research Council’s Rapid Mortality Surveillance (RMS) Reports 2015, 2016 and 2018.
Table 3: South Africa Demographic and Health Survey 2016</t>
  </si>
  <si>
    <t>3.2%</t>
  </si>
  <si>
    <t>74.4%</t>
  </si>
  <si>
    <t>41.8</t>
  </si>
  <si>
    <t xml:space="preserve">To reduce infant and under-five child morbidity and mortality </t>
  </si>
  <si>
    <r>
      <t xml:space="preserve">NDP 2030 goal: Reduce maternal, infant and child mortality </t>
    </r>
    <r>
      <rPr>
        <sz val="10"/>
        <color rgb="FFFF0000"/>
        <rFont val="Arial"/>
        <family val="2"/>
      </rPr>
      <t xml:space="preserve"> </t>
    </r>
  </si>
  <si>
    <t>Total (Direct and Indirect)contribution of travel and Tourism to GDP (R 'bn)</t>
  </si>
  <si>
    <t>Piped water in dwelling or onsite is piped water inside the household’s own dwelling or in their yard, water from a neighbour’s tap or a public tap that is not on site.</t>
  </si>
  <si>
    <t>Household figures and calculations are based on Stats SA's GHS 2002-2019.</t>
  </si>
  <si>
    <t>Stats SA's GHS 2002-2019.</t>
  </si>
  <si>
    <t>Table 1: Statistics South Africa's, General Household Survey (GHS) 2002-2019,
Table 2, 3: Housing Subsidy System (HSS), National Department of Human Settlements,</t>
  </si>
  <si>
    <t>370(3.1)</t>
  </si>
  <si>
    <t>389 (2,3)</t>
  </si>
  <si>
    <t>370 (3.1)</t>
  </si>
  <si>
    <t>TIMMS was administered to Grade 8 in 1999, administered to Grades 8 and 9 in 2002 and 2011. For 2011 the HSRC conducted the study in 285 schools among 11 969 learners. Additional data disaggregated by province is available in the Excel version on the DPME website: www.dpme.gov.za
Following the TIMSS 2015 Grade 9 results, two of the higher achieving provinces, the Western Cape and Gauteng, sought a more precise provincial achievement estimate. The sample size in these two provinces, for TIMSS 2019, increased to 150 schools, while sample size in the other provinces remained at 30 schools each. The TIMSS 2019 International Results in Mathematics and Science Report, in addition to reporting information for South Africa, also reports on Western Cape and Gauteng provinces as selfstanding entities called “benchmarking participants.”</t>
  </si>
  <si>
    <t>National Treasury, Budget Review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</si>
</sst>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3" formatCode="_-* #,##0.00_-;\-* #,##0.00_-;_-* &quot;-&quot;??_-;_-@_-"/>
    <numFmt numFmtId="164" formatCode="0.0"/>
    <numFmt numFmtId="165" formatCode="#,##0.0_);\(#,##0.0\)"/>
    <numFmt numFmtId="166" formatCode="#,##0.0"/>
    <numFmt numFmtId="167" formatCode="_ * #,##0.00_ ;_ * \-#,##0.00_ ;_ * &quot;-&quot;??_ ;_ @_ "/>
    <numFmt numFmtId="168" formatCode="_ * #,##0.0_ ;_ * \-#,##0.0_ ;_ * &quot;-&quot;??_ ;_ @_ "/>
    <numFmt numFmtId="169" formatCode="0.0%"/>
    <numFmt numFmtId="170" formatCode="yyyy"/>
    <numFmt numFmtId="171" formatCode="#,##0.000"/>
    <numFmt numFmtId="172" formatCode="_ * #,##0_ ;_ * \-#,##0_ ;_ * &quot;-&quot;??_ ;_ @_ "/>
    <numFmt numFmtId="173" formatCode="0.000"/>
    <numFmt numFmtId="174" formatCode="dd\-mmm\-yyyy"/>
    <numFmt numFmtId="175" formatCode="#,###,###"/>
    <numFmt numFmtId="176" formatCode="###\ ###\ ###\ ###\ ###"/>
    <numFmt numFmtId="177" formatCode="#.0"/>
    <numFmt numFmtId="178" formatCode="###,###,###,###"/>
    <numFmt numFmtId="179" formatCode="0.0#%"/>
    <numFmt numFmtId="180" formatCode="##,###,###"/>
    <numFmt numFmtId="181" formatCode="_(* #,##0.00_);_(* \(#,##0.00\);_(* &quot;-&quot;??_);_(@_)"/>
    <numFmt numFmtId="182" formatCode="###,###,###,###.0"/>
    <numFmt numFmtId="183" formatCode="#\ ###"/>
    <numFmt numFmtId="184" formatCode="#\ ###\ ##0"/>
    <numFmt numFmtId="185" formatCode="###,###,###"/>
    <numFmt numFmtId="186" formatCode="#,##0_ ;\-#,##0\ "/>
    <numFmt numFmtId="187" formatCode="_(* #,##0_);_(* \(#,##0\);_(* &quot;-&quot;??_);_(@_)"/>
    <numFmt numFmtId="188" formatCode="_-* #,##0_-;\-* #,##0_-;_-* &quot;-&quot;??_-;_-@_-"/>
    <numFmt numFmtId="189" formatCode="#,###,##0.000"/>
    <numFmt numFmtId="190" formatCode="#,###,##0.00"/>
    <numFmt numFmtId="191" formatCode="#,###,##0.0"/>
    <numFmt numFmtId="192" formatCode="#,###,##0"/>
    <numFmt numFmtId="193" formatCode="###\ ###\ ###\ ###"/>
    <numFmt numFmtId="194" formatCode="#,###,###,###"/>
    <numFmt numFmtId="195" formatCode="###\ ###\ ###"/>
    <numFmt numFmtId="196" formatCode="[$R-1C09]\ #,##0"/>
    <numFmt numFmtId="197" formatCode="_-* #,##0.00_-;_-* #,##0.00\-;_-* &quot;-&quot;??_-;_-@_-"/>
    <numFmt numFmtId="198" formatCode="#,##0_ ;[Red]\-#,##0\ "/>
    <numFmt numFmtId="199" formatCode="0.000%"/>
    <numFmt numFmtId="200" formatCode="#"/>
    <numFmt numFmtId="201" formatCode=".\ ###\ ##00;"/>
    <numFmt numFmtId="202" formatCode="\-"/>
    <numFmt numFmtId="203" formatCode="#.#\ ##0"/>
    <numFmt numFmtId="204" formatCode="#\ ##0"/>
    <numFmt numFmtId="205" formatCode="##,###,###.0"/>
    <numFmt numFmtId="206" formatCode="_ [$R-1C09]\ * #,##0_ ;_ [$R-1C09]\ * \-#,##0_ ;_ [$R-1C09]\ * &quot;-&quot;??_ ;_ @_ "/>
    <numFmt numFmtId="207" formatCode="#,###,###.0"/>
    <numFmt numFmtId="208" formatCode="mmm\ yyyy"/>
    <numFmt numFmtId="209" formatCode="_-* #,##0.0_-;\-* #,##0.0_-;_-* &quot;-&quot;?_-;_-@_-"/>
  </numFmts>
  <fonts count="16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color indexed="10"/>
      <name val="Arial"/>
      <family val="2"/>
    </font>
    <font>
      <sz val="11"/>
      <name val="Arial"/>
      <family val="2"/>
    </font>
    <font>
      <b/>
      <sz val="8"/>
      <name val="Arial"/>
      <family val="2"/>
    </font>
    <font>
      <sz val="8"/>
      <name val="Arial"/>
      <family val="2"/>
    </font>
    <font>
      <sz val="10"/>
      <name val="Courier"/>
      <family val="3"/>
    </font>
    <font>
      <b/>
      <sz val="8"/>
      <color indexed="8"/>
      <name val="Arial"/>
      <family val="2"/>
    </font>
    <font>
      <sz val="8"/>
      <color theme="1"/>
      <name val="Arial"/>
      <family val="2"/>
    </font>
    <font>
      <sz val="9"/>
      <name val="Arial"/>
      <family val="2"/>
    </font>
    <font>
      <b/>
      <sz val="8"/>
      <color indexed="10"/>
      <name val="Arial"/>
      <family val="2"/>
    </font>
    <font>
      <b/>
      <sz val="8"/>
      <color theme="1"/>
      <name val="Arial"/>
      <family val="2"/>
    </font>
    <font>
      <b/>
      <sz val="10"/>
      <name val="Arial"/>
      <family val="2"/>
    </font>
    <font>
      <b/>
      <sz val="10"/>
      <color theme="2" tint="-0.249977111117893"/>
      <name val="Arial"/>
      <family val="2"/>
    </font>
    <font>
      <sz val="10"/>
      <color theme="2" tint="-0.249977111117893"/>
      <name val="Arial"/>
      <family val="2"/>
    </font>
    <font>
      <sz val="8"/>
      <color theme="2" tint="-0.249977111117893"/>
      <name val="Arial"/>
      <family val="2"/>
    </font>
    <font>
      <sz val="11"/>
      <color theme="2" tint="-0.249977111117893"/>
      <name val="Calibri"/>
      <family val="2"/>
      <scheme val="minor"/>
    </font>
    <font>
      <b/>
      <sz val="11"/>
      <color indexed="10"/>
      <name val="Arial"/>
      <family val="2"/>
    </font>
    <font>
      <sz val="11"/>
      <color rgb="FFFFFF00"/>
      <name val="Calibri"/>
      <family val="2"/>
      <scheme val="minor"/>
    </font>
    <font>
      <sz val="10"/>
      <color indexed="10"/>
      <name val="Arial"/>
      <family val="2"/>
    </font>
    <font>
      <sz val="8"/>
      <color theme="1"/>
      <name val="Arial Narrow"/>
      <family val="2"/>
    </font>
    <font>
      <sz val="10"/>
      <color rgb="FF000000"/>
      <name val="Arial"/>
      <family val="2"/>
    </font>
    <font>
      <sz val="10"/>
      <color theme="1"/>
      <name val="Arial"/>
      <family val="2"/>
    </font>
    <font>
      <sz val="11"/>
      <name val="Calibri"/>
      <family val="2"/>
      <scheme val="minor"/>
    </font>
    <font>
      <b/>
      <sz val="10"/>
      <color theme="1"/>
      <name val="Arial"/>
      <family val="2"/>
    </font>
    <font>
      <sz val="8"/>
      <name val="Arial Narrow"/>
      <family val="2"/>
    </font>
    <font>
      <sz val="10"/>
      <color rgb="FFFFFF00"/>
      <name val="Arial"/>
      <family val="2"/>
    </font>
    <font>
      <sz val="8"/>
      <color indexed="8"/>
      <name val="Arial Narrow"/>
      <family val="2"/>
    </font>
    <font>
      <sz val="8"/>
      <color indexed="10"/>
      <name val="Arial"/>
      <family val="2"/>
    </font>
    <font>
      <b/>
      <sz val="9"/>
      <name val="Arial"/>
      <family val="2"/>
    </font>
    <font>
      <sz val="9"/>
      <color theme="2" tint="-0.249977111117893"/>
      <name val="Arial"/>
      <family val="2"/>
    </font>
    <font>
      <b/>
      <sz val="9"/>
      <color indexed="10"/>
      <name val="Arial"/>
      <family val="2"/>
    </font>
    <font>
      <sz val="9"/>
      <color theme="2" tint="-0.249977111117893"/>
      <name val="Calibri"/>
      <family val="2"/>
      <scheme val="minor"/>
    </font>
    <font>
      <sz val="9"/>
      <color theme="1"/>
      <name val="Calibri"/>
      <family val="2"/>
      <scheme val="minor"/>
    </font>
    <font>
      <sz val="9"/>
      <name val="Calibri"/>
      <family val="2"/>
      <scheme val="minor"/>
    </font>
    <font>
      <vertAlign val="superscript"/>
      <sz val="8"/>
      <name val="Arial"/>
      <family val="2"/>
    </font>
    <font>
      <vertAlign val="superscript"/>
      <sz val="10"/>
      <name val="Arial"/>
      <family val="2"/>
    </font>
    <font>
      <sz val="10"/>
      <color rgb="FFFF0000"/>
      <name val="Arial"/>
      <family val="2"/>
    </font>
    <font>
      <b/>
      <sz val="8"/>
      <name val="Arial Narrow"/>
      <family val="2"/>
    </font>
    <font>
      <i/>
      <sz val="10"/>
      <color indexed="10"/>
      <name val="Arial"/>
      <family val="2"/>
    </font>
    <font>
      <i/>
      <sz val="10"/>
      <name val="Arial"/>
      <family val="2"/>
    </font>
    <font>
      <sz val="8"/>
      <color rgb="FFFF0000"/>
      <name val="Arial"/>
      <family val="2"/>
    </font>
    <font>
      <sz val="8"/>
      <color rgb="FF000000"/>
      <name val="Arial"/>
      <family val="2"/>
    </font>
    <font>
      <i/>
      <sz val="8"/>
      <color theme="1"/>
      <name val="Arial"/>
      <family val="2"/>
    </font>
    <font>
      <b/>
      <u/>
      <sz val="10"/>
      <name val="Arial"/>
      <family val="2"/>
    </font>
    <font>
      <u/>
      <sz val="10"/>
      <name val="Arial"/>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i/>
      <sz val="9"/>
      <color rgb="FF000000"/>
      <name val="Arial"/>
      <family val="2"/>
    </font>
    <font>
      <sz val="9"/>
      <color rgb="FF000000"/>
      <name val="Arial"/>
      <family val="2"/>
    </font>
    <font>
      <b/>
      <sz val="8"/>
      <color theme="1"/>
      <name val="Arial Narrow"/>
      <family val="2"/>
    </font>
    <font>
      <b/>
      <sz val="8"/>
      <color rgb="FF00B0F0"/>
      <name val="Arial"/>
      <family val="2"/>
    </font>
    <font>
      <sz val="8"/>
      <color indexed="8"/>
      <name val="Arial"/>
      <family val="2"/>
    </font>
    <font>
      <b/>
      <sz val="8"/>
      <color indexed="17"/>
      <name val="Arial"/>
      <family val="2"/>
    </font>
    <font>
      <b/>
      <sz val="8"/>
      <color indexed="63"/>
      <name val="Verdana"/>
      <family val="2"/>
    </font>
    <font>
      <b/>
      <sz val="8"/>
      <color indexed="18"/>
      <name val="Verdana"/>
      <family val="2"/>
    </font>
    <font>
      <b/>
      <sz val="8"/>
      <color rgb="FFFF0000"/>
      <name val="Arial"/>
      <family val="2"/>
    </font>
    <font>
      <sz val="10"/>
      <color rgb="FF231F20"/>
      <name val="Arial"/>
      <family val="2"/>
    </font>
    <font>
      <b/>
      <sz val="10"/>
      <color theme="0" tint="-0.34998626667073579"/>
      <name val="Arial"/>
      <family val="2"/>
    </font>
    <font>
      <sz val="10"/>
      <color theme="0" tint="-0.34998626667073579"/>
      <name val="Arial"/>
      <family val="2"/>
    </font>
    <font>
      <sz val="8"/>
      <color theme="0" tint="-0.34998626667073579"/>
      <name val="Arial"/>
      <family val="2"/>
    </font>
    <font>
      <b/>
      <sz val="8"/>
      <color theme="0" tint="-0.34998626667073579"/>
      <name val="Arial"/>
      <family val="2"/>
    </font>
    <font>
      <b/>
      <sz val="10"/>
      <color rgb="FFFF0000"/>
      <name val="Arial"/>
      <family val="2"/>
    </font>
    <font>
      <sz val="8"/>
      <name val="Calibri"/>
      <family val="2"/>
      <scheme val="minor"/>
    </font>
    <font>
      <b/>
      <sz val="8"/>
      <name val="Calibri"/>
      <family val="2"/>
      <scheme val="minor"/>
    </font>
    <font>
      <b/>
      <sz val="9"/>
      <color indexed="81"/>
      <name val="Tahoma"/>
      <family val="2"/>
    </font>
    <font>
      <b/>
      <sz val="10"/>
      <color indexed="10"/>
      <name val="Arial Narrow"/>
      <family val="2"/>
    </font>
    <font>
      <sz val="10"/>
      <name val="Arial Narrow"/>
      <family val="2"/>
    </font>
    <font>
      <sz val="11"/>
      <color theme="1"/>
      <name val="Arial Narrow"/>
      <family val="2"/>
    </font>
    <font>
      <b/>
      <sz val="11"/>
      <color indexed="10"/>
      <name val="Arial Narrow"/>
      <family val="2"/>
    </font>
    <font>
      <b/>
      <sz val="10"/>
      <name val="Arial Narrow"/>
      <family val="2"/>
    </font>
    <font>
      <u/>
      <sz val="8"/>
      <name val="Arial"/>
      <family val="2"/>
    </font>
    <font>
      <b/>
      <sz val="9"/>
      <name val="Arial Narrow"/>
      <family val="2"/>
    </font>
    <font>
      <sz val="9"/>
      <color theme="1"/>
      <name val="Arial Narrow"/>
      <family val="2"/>
    </font>
    <font>
      <sz val="9"/>
      <name val="Arial Narrow"/>
      <family val="2"/>
    </font>
    <font>
      <sz val="10"/>
      <color theme="1"/>
      <name val="Arial Narrow"/>
      <family val="2"/>
    </font>
    <font>
      <sz val="12"/>
      <name val="Times New Roman"/>
      <family val="1"/>
    </font>
    <font>
      <sz val="10"/>
      <name val="Helv"/>
    </font>
    <font>
      <sz val="9"/>
      <color theme="0"/>
      <name val="Arial"/>
      <family val="2"/>
    </font>
    <font>
      <sz val="8"/>
      <color indexed="48"/>
      <name val="Arial"/>
      <family val="2"/>
    </font>
    <font>
      <sz val="8"/>
      <color indexed="19"/>
      <name val="Arial"/>
      <family val="2"/>
    </font>
    <font>
      <b/>
      <sz val="8"/>
      <color indexed="19"/>
      <name val="Arial"/>
      <family val="2"/>
    </font>
    <font>
      <i/>
      <sz val="8"/>
      <name val="Arial Narrow"/>
      <family val="2"/>
    </font>
    <font>
      <sz val="11"/>
      <color indexed="10"/>
      <name val="Arial"/>
      <family val="2"/>
    </font>
    <font>
      <strike/>
      <sz val="11"/>
      <name val="Arial"/>
      <family val="2"/>
    </font>
    <font>
      <b/>
      <sz val="11"/>
      <name val="Arial"/>
      <family val="2"/>
    </font>
    <font>
      <b/>
      <sz val="8"/>
      <color theme="0" tint="-0.499984740745262"/>
      <name val="Arial"/>
      <family val="2"/>
    </font>
    <font>
      <sz val="9"/>
      <color theme="0" tint="-0.499984740745262"/>
      <name val="Arial"/>
      <family val="2"/>
    </font>
    <font>
      <b/>
      <i/>
      <sz val="10"/>
      <color indexed="10"/>
      <name val="Arial"/>
      <family val="2"/>
    </font>
    <font>
      <i/>
      <sz val="11"/>
      <color theme="1"/>
      <name val="Calibri"/>
      <family val="2"/>
      <scheme val="minor"/>
    </font>
    <font>
      <b/>
      <i/>
      <sz val="8"/>
      <color indexed="19"/>
      <name val="Arial"/>
      <family val="2"/>
    </font>
    <font>
      <u/>
      <sz val="11"/>
      <name val="Arial"/>
      <family val="2"/>
    </font>
    <font>
      <sz val="8"/>
      <color theme="1"/>
      <name val="Calibri"/>
      <family val="2"/>
      <scheme val="minor"/>
    </font>
    <font>
      <b/>
      <sz val="8"/>
      <color rgb="FF00B050"/>
      <name val="Arial"/>
      <family val="2"/>
    </font>
    <font>
      <b/>
      <u/>
      <sz val="8"/>
      <name val="Arial"/>
      <family val="2"/>
    </font>
    <font>
      <sz val="10"/>
      <color theme="0"/>
      <name val="Arial"/>
      <family val="2"/>
    </font>
    <font>
      <sz val="11"/>
      <color theme="2" tint="-0.249977111117893"/>
      <name val="Arial"/>
      <family val="2"/>
    </font>
    <font>
      <b/>
      <sz val="8"/>
      <color theme="0"/>
      <name val="Arial"/>
      <family val="2"/>
    </font>
    <font>
      <i/>
      <sz val="11"/>
      <name val="Arial"/>
      <family val="2"/>
    </font>
    <font>
      <u/>
      <sz val="10"/>
      <color indexed="12"/>
      <name val="Arial"/>
      <family val="2"/>
    </font>
    <font>
      <u/>
      <sz val="10"/>
      <color theme="2" tint="-0.249977111117893"/>
      <name val="Arial"/>
      <family val="2"/>
    </font>
    <font>
      <u/>
      <sz val="11"/>
      <color indexed="12"/>
      <name val="Arial"/>
      <family val="2"/>
    </font>
    <font>
      <b/>
      <sz val="8"/>
      <color indexed="57"/>
      <name val="Arial"/>
      <family val="2"/>
    </font>
    <font>
      <sz val="8"/>
      <color theme="1"/>
      <name val="Calibri"/>
      <family val="2"/>
    </font>
    <font>
      <sz val="12"/>
      <color theme="2" tint="-0.249977111117893"/>
      <name val="Arial"/>
      <family val="2"/>
    </font>
    <font>
      <b/>
      <sz val="11"/>
      <color theme="2" tint="-0.249977111117893"/>
      <name val="Calibri"/>
      <family val="2"/>
      <scheme val="minor"/>
    </font>
    <font>
      <sz val="10"/>
      <color indexed="14"/>
      <name val="Arial"/>
      <family val="2"/>
    </font>
    <font>
      <sz val="8"/>
      <color indexed="14"/>
      <name val="Arial"/>
      <family val="2"/>
    </font>
    <font>
      <b/>
      <sz val="10"/>
      <color rgb="FFFFFF00"/>
      <name val="Arial"/>
      <family val="2"/>
    </font>
    <font>
      <sz val="8"/>
      <color rgb="FFFFFF00"/>
      <name val="Arial"/>
      <family val="2"/>
    </font>
    <font>
      <b/>
      <sz val="8"/>
      <color rgb="FFFFFF00"/>
      <name val="Arial"/>
      <family val="2"/>
    </font>
    <font>
      <sz val="11"/>
      <color theme="1"/>
      <name val="Arial"/>
      <family val="2"/>
    </font>
    <font>
      <b/>
      <sz val="11"/>
      <color theme="1"/>
      <name val="Arial"/>
      <family val="2"/>
    </font>
    <font>
      <sz val="10"/>
      <name val="Times New Roman"/>
      <family val="1"/>
    </font>
    <font>
      <b/>
      <sz val="11"/>
      <color rgb="FF000000"/>
      <name val="Calibri"/>
      <family val="2"/>
    </font>
    <font>
      <b/>
      <sz val="8"/>
      <name val="Tahoma"/>
      <family val="2"/>
    </font>
    <font>
      <sz val="8"/>
      <name val="Tahoma"/>
      <family val="2"/>
    </font>
    <font>
      <b/>
      <i/>
      <sz val="8"/>
      <name val="Arial"/>
      <family val="2"/>
    </font>
    <font>
      <i/>
      <sz val="9"/>
      <name val="Arial"/>
      <family val="2"/>
    </font>
    <font>
      <b/>
      <i/>
      <sz val="10"/>
      <name val="Arial"/>
      <family val="2"/>
    </font>
    <font>
      <b/>
      <i/>
      <sz val="9"/>
      <name val="Arial"/>
      <family val="2"/>
    </font>
    <font>
      <sz val="9"/>
      <color indexed="10"/>
      <name val="Arial"/>
      <family val="2"/>
    </font>
    <font>
      <sz val="12"/>
      <name val="Arial"/>
      <family val="2"/>
    </font>
    <font>
      <b/>
      <sz val="12"/>
      <name val="Arial"/>
      <family val="2"/>
    </font>
    <font>
      <sz val="9"/>
      <color rgb="FF000000"/>
      <name val="Calibri"/>
      <family val="2"/>
    </font>
    <font>
      <b/>
      <sz val="10"/>
      <color indexed="8"/>
      <name val="Arial"/>
      <family val="2"/>
    </font>
    <font>
      <b/>
      <sz val="11"/>
      <name val="Calibri"/>
      <family val="2"/>
      <scheme val="minor"/>
    </font>
    <font>
      <sz val="11"/>
      <color theme="0" tint="-0.34998626667073579"/>
      <name val="Calibri"/>
      <family val="2"/>
      <scheme val="minor"/>
    </font>
    <font>
      <b/>
      <sz val="9"/>
      <color rgb="FFFF0000"/>
      <name val="Arial"/>
      <family val="2"/>
    </font>
    <font>
      <sz val="10"/>
      <color indexed="12"/>
      <name val="Arial"/>
      <family val="2"/>
    </font>
    <font>
      <sz val="9"/>
      <color rgb="FFFF0000"/>
      <name val="Arial"/>
      <family val="2"/>
    </font>
    <font>
      <b/>
      <sz val="11"/>
      <color rgb="FFFF0000"/>
      <name val="Calibri"/>
      <family val="2"/>
      <scheme val="minor"/>
    </font>
    <font>
      <sz val="11"/>
      <color rgb="FF008000"/>
      <name val="Calibri"/>
      <family val="2"/>
      <scheme val="minor"/>
    </font>
    <font>
      <b/>
      <sz val="10"/>
      <color indexed="48"/>
      <name val="Arial"/>
      <family val="2"/>
    </font>
    <font>
      <sz val="10"/>
      <color indexed="48"/>
      <name val="Arial"/>
      <family val="2"/>
    </font>
    <font>
      <b/>
      <sz val="10"/>
      <color indexed="12"/>
      <name val="Arial"/>
      <family val="2"/>
    </font>
    <font>
      <b/>
      <sz val="10"/>
      <color indexed="57"/>
      <name val="Arial"/>
      <family val="2"/>
    </font>
    <font>
      <sz val="10"/>
      <color indexed="57"/>
      <name val="Arial"/>
      <family val="2"/>
    </font>
    <font>
      <sz val="11"/>
      <color rgb="FF0070C0"/>
      <name val="Calibri"/>
      <family val="2"/>
      <scheme val="minor"/>
    </font>
    <font>
      <sz val="8"/>
      <color indexed="57"/>
      <name val="Arial"/>
      <family val="2"/>
    </font>
    <font>
      <b/>
      <sz val="10"/>
      <color theme="1"/>
      <name val="Calibri"/>
      <family val="2"/>
      <scheme val="minor"/>
    </font>
    <font>
      <b/>
      <sz val="10"/>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1"/>
      <color rgb="FFFF0000"/>
      <name val="Arial"/>
      <family val="2"/>
    </font>
    <font>
      <i/>
      <sz val="10"/>
      <color theme="1"/>
      <name val="Arial"/>
      <family val="2"/>
    </font>
    <font>
      <sz val="9"/>
      <color theme="1"/>
      <name val="Arial"/>
      <family val="2"/>
    </font>
    <font>
      <sz val="10"/>
      <color theme="1"/>
      <name val="Calibri"/>
      <family val="2"/>
    </font>
    <font>
      <sz val="9"/>
      <color theme="1"/>
      <name val="Calibri"/>
      <family val="2"/>
    </font>
    <font>
      <sz val="9"/>
      <color indexed="81"/>
      <name val="Tahoma"/>
      <family val="2"/>
    </font>
    <font>
      <b/>
      <sz val="8"/>
      <color indexed="12"/>
      <name val="Arial"/>
      <family val="2"/>
    </font>
    <font>
      <sz val="11"/>
      <color rgb="FF424548"/>
      <name val="Times New Roman"/>
      <family val="1"/>
    </font>
    <font>
      <sz val="8"/>
      <color theme="0"/>
      <name val="Arial"/>
      <family val="2"/>
    </font>
    <font>
      <sz val="9"/>
      <color theme="0" tint="-0.34998626667073579"/>
      <name val="Arial"/>
      <family val="2"/>
    </font>
    <font>
      <sz val="9"/>
      <color theme="0" tint="-0.14999847407452621"/>
      <name val="Arial"/>
      <family val="2"/>
    </font>
    <font>
      <sz val="9"/>
      <name val="Calibri"/>
      <family val="2"/>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0C0FF"/>
        <bgColor indexed="64"/>
      </patternFill>
    </fill>
    <fill>
      <patternFill patternType="solid">
        <fgColor indexed="15"/>
        <bgColor indexed="64"/>
      </patternFill>
    </fill>
    <fill>
      <patternFill patternType="solid">
        <fgColor indexed="9"/>
        <bgColor indexed="34"/>
      </patternFill>
    </fill>
    <fill>
      <patternFill patternType="solid">
        <fgColor theme="0"/>
        <bgColor indexed="3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rgb="FFFF0000"/>
        <bgColor indexed="64"/>
      </patternFill>
    </fill>
    <fill>
      <patternFill patternType="solid">
        <fgColor theme="1" tint="0.249977111117893"/>
        <bgColor indexed="64"/>
      </patternFill>
    </fill>
    <fill>
      <patternFill patternType="solid">
        <fgColor theme="4" tint="0.79998168889431442"/>
        <bgColor theme="4" tint="0.79998168889431442"/>
      </patternFill>
    </fill>
    <fill>
      <patternFill patternType="solid">
        <fgColor theme="5" tint="-0.249977111117893"/>
        <bgColor indexed="64"/>
      </patternFill>
    </fill>
    <fill>
      <patternFill patternType="solid">
        <fgColor theme="0"/>
        <bgColor theme="4" tint="0.79998168889431442"/>
      </patternFill>
    </fill>
    <fill>
      <patternFill patternType="solid">
        <fgColor theme="0" tint="-0.499984740745262"/>
        <bgColor indexed="64"/>
      </patternFill>
    </fill>
    <fill>
      <patternFill patternType="solid">
        <fgColor rgb="FFFFB35F"/>
        <bgColor indexed="64"/>
      </patternFill>
    </fill>
    <fill>
      <patternFill patternType="solid">
        <fgColor rgb="FFEFCBA0"/>
        <bgColor indexed="64"/>
      </patternFill>
    </fill>
    <fill>
      <patternFill patternType="solid">
        <fgColor rgb="FFFFFFFF"/>
        <bgColor indexed="64"/>
      </patternFill>
    </fill>
    <fill>
      <patternFill patternType="solid">
        <fgColor theme="1"/>
        <bgColor indexed="64"/>
      </patternFill>
    </fill>
    <fill>
      <patternFill patternType="solid">
        <fgColor rgb="FFFF6600"/>
        <bgColor indexed="64"/>
      </patternFill>
    </fill>
    <fill>
      <patternFill patternType="solid">
        <fgColor indexed="13"/>
        <bgColor indexed="64"/>
      </patternFill>
    </fill>
    <fill>
      <patternFill patternType="solid">
        <fgColor indexed="65"/>
        <bgColor indexed="64"/>
      </patternFill>
    </fill>
    <fill>
      <patternFill patternType="solid">
        <fgColor indexed="45"/>
        <bgColor indexed="64"/>
      </patternFill>
    </fill>
    <fill>
      <patternFill patternType="solid">
        <fgColor rgb="FFFFFFFF"/>
        <bgColor rgb="FF000000"/>
      </patternFill>
    </fill>
    <fill>
      <patternFill patternType="solid">
        <fgColor theme="0"/>
        <bgColor rgb="FF000000"/>
      </patternFill>
    </fill>
    <fill>
      <patternFill patternType="solid">
        <fgColor theme="0"/>
        <bgColor indexed="8"/>
      </patternFill>
    </fill>
    <fill>
      <patternFill patternType="solid">
        <fgColor theme="5" tint="0.39997558519241921"/>
        <bgColor indexed="64"/>
      </patternFill>
    </fill>
  </fills>
  <borders count="15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style="hair">
        <color indexed="64"/>
      </bottom>
      <diagonal/>
    </border>
    <border>
      <left/>
      <right/>
      <top/>
      <bottom style="hair">
        <color indexed="8"/>
      </bottom>
      <diagonal/>
    </border>
    <border>
      <left style="thin">
        <color indexed="64"/>
      </left>
      <right/>
      <top style="thin">
        <color indexed="64"/>
      </top>
      <bottom style="hair">
        <color indexed="64"/>
      </bottom>
      <diagonal/>
    </border>
    <border>
      <left/>
      <right/>
      <top style="thin">
        <color indexed="8"/>
      </top>
      <bottom style="hair">
        <color indexed="8"/>
      </bottom>
      <diagonal/>
    </border>
    <border>
      <left style="thin">
        <color indexed="64"/>
      </left>
      <right/>
      <top style="hair">
        <color indexed="64"/>
      </top>
      <bottom style="hair">
        <color indexed="64"/>
      </bottom>
      <diagonal/>
    </border>
    <border>
      <left/>
      <right/>
      <top style="hair">
        <color indexed="8"/>
      </top>
      <bottom style="hair">
        <color indexed="8"/>
      </bottom>
      <diagonal/>
    </border>
    <border>
      <left style="thin">
        <color indexed="64"/>
      </left>
      <right/>
      <top style="hair">
        <color indexed="64"/>
      </top>
      <bottom style="thin">
        <color indexed="64"/>
      </bottom>
      <diagonal/>
    </border>
    <border>
      <left/>
      <right/>
      <top style="hair">
        <color indexed="8"/>
      </top>
      <bottom style="thin">
        <color indexed="8"/>
      </bottom>
      <diagonal/>
    </border>
    <border>
      <left/>
      <right style="thin">
        <color indexed="64"/>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thin">
        <color theme="4" tint="0.39997558519241921"/>
      </top>
      <bottom/>
      <diagonal/>
    </border>
    <border>
      <left/>
      <right style="hair">
        <color indexed="64"/>
      </right>
      <top style="hair">
        <color indexed="64"/>
      </top>
      <bottom/>
      <diagonal/>
    </border>
    <border>
      <left/>
      <right style="hair">
        <color indexed="64"/>
      </right>
      <top style="thin">
        <color indexed="64"/>
      </top>
      <bottom style="thin">
        <color indexed="64"/>
      </bottom>
      <diagonal/>
    </border>
    <border>
      <left style="thin">
        <color indexed="64"/>
      </left>
      <right style="thin">
        <color rgb="FF000000"/>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style="hair">
        <color indexed="64"/>
      </left>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right style="dotted">
        <color indexed="64"/>
      </right>
      <top/>
      <bottom/>
      <diagonal/>
    </border>
    <border>
      <left style="thin">
        <color indexed="64"/>
      </left>
      <right style="thin">
        <color indexed="64"/>
      </right>
      <top style="hair">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thin">
        <color theme="0"/>
      </left>
      <right style="thin">
        <color theme="0"/>
      </right>
      <top style="thin">
        <color theme="0"/>
      </top>
      <bottom style="thin">
        <color theme="0"/>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right/>
      <top style="thin">
        <color theme="0"/>
      </top>
      <bottom/>
      <diagonal/>
    </border>
    <border>
      <left style="thin">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style="dashed">
        <color indexed="64"/>
      </right>
      <top/>
      <bottom/>
      <diagonal/>
    </border>
    <border>
      <left/>
      <right style="dashed">
        <color indexed="64"/>
      </right>
      <top/>
      <bottom/>
      <diagonal/>
    </border>
    <border>
      <left style="thin">
        <color indexed="64"/>
      </left>
      <right style="dashed">
        <color indexed="64"/>
      </right>
      <top/>
      <bottom style="thin">
        <color indexed="64"/>
      </bottom>
      <diagonal/>
    </border>
    <border>
      <left style="dashed">
        <color indexed="64"/>
      </left>
      <right style="hair">
        <color indexed="64"/>
      </right>
      <top/>
      <bottom style="thin">
        <color indexed="64"/>
      </bottom>
      <diagonal/>
    </border>
    <border>
      <left/>
      <right style="dashed">
        <color indexed="64"/>
      </right>
      <top style="thin">
        <color indexed="64"/>
      </top>
      <bottom style="hair">
        <color indexed="64"/>
      </bottom>
      <diagonal/>
    </border>
    <border>
      <left style="dashed">
        <color indexed="64"/>
      </left>
      <right/>
      <top style="thin">
        <color indexed="64"/>
      </top>
      <bottom style="hair">
        <color indexed="64"/>
      </bottom>
      <diagonal/>
    </border>
    <border>
      <left/>
      <right style="dotted">
        <color indexed="64"/>
      </right>
      <top style="thin">
        <color indexed="64"/>
      </top>
      <bottom style="hair">
        <color indexed="64"/>
      </bottom>
      <diagonal/>
    </border>
    <border>
      <left style="dashed">
        <color indexed="64"/>
      </left>
      <right/>
      <top/>
      <bottom style="thin">
        <color indexed="64"/>
      </bottom>
      <diagonal/>
    </border>
    <border>
      <left/>
      <right style="dotted">
        <color indexed="64"/>
      </right>
      <top/>
      <bottom style="thin">
        <color indexed="64"/>
      </bottom>
      <diagonal/>
    </border>
    <border>
      <left/>
      <right/>
      <top/>
      <bottom style="dotted">
        <color indexed="64"/>
      </bottom>
      <diagonal/>
    </border>
    <border>
      <left/>
      <right style="thin">
        <color indexed="64"/>
      </right>
      <top/>
      <bottom style="dotted">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hair">
        <color indexed="64"/>
      </right>
      <top style="dotted">
        <color indexed="64"/>
      </top>
      <bottom style="hair">
        <color indexed="64"/>
      </bottom>
      <diagonal/>
    </border>
    <border>
      <left style="dotted">
        <color indexed="64"/>
      </left>
      <right/>
      <top/>
      <bottom style="dotted">
        <color indexed="64"/>
      </bottom>
      <diagonal/>
    </border>
    <border>
      <left/>
      <right/>
      <top style="thin">
        <color indexed="64"/>
      </top>
      <bottom style="dotted">
        <color indexed="64"/>
      </bottom>
      <diagonal/>
    </border>
    <border>
      <left style="thin">
        <color indexed="9"/>
      </left>
      <right style="thin">
        <color indexed="9"/>
      </right>
      <top style="thin">
        <color indexed="9"/>
      </top>
      <bottom/>
      <diagonal/>
    </border>
    <border>
      <left/>
      <right/>
      <top style="thin">
        <color auto="1"/>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s>
  <cellStyleXfs count="42">
    <xf numFmtId="0" fontId="0" fillId="0" borderId="0"/>
    <xf numFmtId="9" fontId="1" fillId="0" borderId="0" applyFont="0" applyFill="0" applyBorder="0" applyAlignment="0" applyProtection="0"/>
    <xf numFmtId="0" fontId="4" fillId="0" borderId="0"/>
    <xf numFmtId="0" fontId="4" fillId="0" borderId="0"/>
    <xf numFmtId="165" fontId="9" fillId="0" borderId="0"/>
    <xf numFmtId="0" fontId="4" fillId="0" borderId="0"/>
    <xf numFmtId="0" fontId="12" fillId="0" borderId="0"/>
    <xf numFmtId="167" fontId="1" fillId="0" borderId="0" applyFont="0" applyFill="0" applyBorder="0" applyAlignment="0" applyProtection="0"/>
    <xf numFmtId="0" fontId="4" fillId="0" borderId="0"/>
    <xf numFmtId="0" fontId="4" fillId="0" borderId="0"/>
    <xf numFmtId="0" fontId="12" fillId="0" borderId="0"/>
    <xf numFmtId="0" fontId="4" fillId="9" borderId="0">
      <protection locked="0"/>
    </xf>
    <xf numFmtId="0" fontId="4" fillId="9" borderId="0">
      <protection locked="0"/>
    </xf>
    <xf numFmtId="0" fontId="4" fillId="0" borderId="0"/>
    <xf numFmtId="181" fontId="4" fillId="0" borderId="0" applyFont="0" applyFill="0" applyBorder="0" applyAlignment="0" applyProtection="0"/>
    <xf numFmtId="0" fontId="4" fillId="0" borderId="0"/>
    <xf numFmtId="0" fontId="9" fillId="0" borderId="0"/>
    <xf numFmtId="9" fontId="4"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81"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181" fontId="84" fillId="0" borderId="50" applyFill="0" applyAlignment="0"/>
    <xf numFmtId="0" fontId="4" fillId="0" borderId="0"/>
    <xf numFmtId="9" fontId="4" fillId="0" borderId="0" applyFont="0" applyFill="0" applyBorder="0" applyAlignment="0" applyProtection="0"/>
    <xf numFmtId="0" fontId="4" fillId="0" borderId="0"/>
    <xf numFmtId="196" fontId="4" fillId="0" borderId="0"/>
    <xf numFmtId="197" fontId="1" fillId="0" borderId="0" applyFont="0" applyFill="0" applyBorder="0" applyAlignment="0" applyProtection="0"/>
    <xf numFmtId="0" fontId="106" fillId="0" borderId="0" applyNumberFormat="0" applyFill="0" applyBorder="0" applyAlignment="0" applyProtection="0">
      <alignment vertical="top"/>
      <protection locked="0"/>
    </xf>
    <xf numFmtId="181" fontId="4" fillId="0" borderId="0" applyFont="0" applyFill="0" applyBorder="0" applyAlignment="0" applyProtection="0"/>
    <xf numFmtId="0" fontId="1" fillId="0" borderId="0"/>
    <xf numFmtId="0" fontId="4" fillId="0" borderId="0"/>
    <xf numFmtId="0" fontId="1" fillId="0" borderId="0"/>
    <xf numFmtId="0" fontId="4" fillId="0" borderId="0"/>
    <xf numFmtId="181" fontId="4" fillId="0" borderId="0" applyFont="0" applyFill="0" applyBorder="0" applyAlignment="0" applyProtection="0"/>
    <xf numFmtId="0" fontId="4" fillId="0" borderId="0" applyFont="0" applyFill="0" applyBorder="0" applyAlignment="0" applyProtection="0"/>
    <xf numFmtId="3" fontId="4" fillId="0" borderId="0"/>
    <xf numFmtId="208" fontId="4" fillId="0" borderId="0" applyFont="0" applyFill="0" applyBorder="0" applyAlignment="0" applyProtection="0"/>
  </cellStyleXfs>
  <cellXfs count="5110">
    <xf numFmtId="0" fontId="0" fillId="0" borderId="0" xfId="0"/>
    <xf numFmtId="164" fontId="5" fillId="0" borderId="0" xfId="2" applyNumberFormat="1" applyFont="1" applyFill="1" applyAlignment="1" applyProtection="1">
      <alignment horizontal="right" vertical="top"/>
      <protection locked="0"/>
    </xf>
    <xf numFmtId="0" fontId="1" fillId="0" borderId="0" xfId="2" applyFont="1" applyFill="1" applyAlignment="1" applyProtection="1">
      <alignment horizontal="left" vertical="top"/>
      <protection locked="0"/>
    </xf>
    <xf numFmtId="0" fontId="1" fillId="0" borderId="0" xfId="2" applyFont="1" applyFill="1" applyAlignment="1" applyProtection="1">
      <alignment horizontal="right" vertical="top"/>
      <protection locked="0"/>
    </xf>
    <xf numFmtId="0" fontId="1" fillId="0" borderId="0" xfId="2" applyFont="1" applyFill="1" applyProtection="1">
      <protection locked="0"/>
    </xf>
    <xf numFmtId="0" fontId="5" fillId="0" borderId="0" xfId="2" applyFont="1" applyFill="1" applyAlignment="1" applyProtection="1">
      <alignment horizontal="right" vertical="top"/>
      <protection locked="0"/>
    </xf>
    <xf numFmtId="0" fontId="5" fillId="0" borderId="0" xfId="2" applyFont="1" applyFill="1" applyAlignment="1" applyProtection="1">
      <alignment horizontal="left" vertical="top"/>
      <protection locked="0"/>
    </xf>
    <xf numFmtId="0" fontId="4" fillId="0" borderId="0" xfId="2" applyFont="1" applyFill="1" applyBorder="1" applyAlignment="1" applyProtection="1">
      <alignment horizontal="left" vertical="top" wrapText="1"/>
      <protection locked="0"/>
    </xf>
    <xf numFmtId="0" fontId="6" fillId="0" borderId="0" xfId="2" applyFont="1" applyFill="1" applyBorder="1" applyAlignment="1" applyProtection="1">
      <alignment horizontal="left" vertical="top"/>
      <protection locked="0"/>
    </xf>
    <xf numFmtId="0" fontId="5" fillId="0" borderId="0" xfId="2" applyFont="1" applyFill="1" applyBorder="1" applyAlignment="1" applyProtection="1">
      <alignment horizontal="left" vertical="top"/>
      <protection locked="0"/>
    </xf>
    <xf numFmtId="0" fontId="7" fillId="0" borderId="0" xfId="2" applyFont="1" applyFill="1" applyBorder="1" applyAlignment="1" applyProtection="1">
      <protection locked="0"/>
    </xf>
    <xf numFmtId="0" fontId="8" fillId="0" borderId="0" xfId="2" applyFont="1" applyFill="1" applyBorder="1" applyProtection="1">
      <protection locked="0"/>
    </xf>
    <xf numFmtId="0" fontId="1" fillId="0" borderId="0" xfId="2" applyFont="1" applyFill="1" applyBorder="1" applyProtection="1">
      <protection locked="0"/>
    </xf>
    <xf numFmtId="0" fontId="8" fillId="0" borderId="4" xfId="2" applyFont="1" applyFill="1" applyBorder="1" applyAlignment="1" applyProtection="1">
      <alignment horizontal="left"/>
      <protection locked="0"/>
    </xf>
    <xf numFmtId="165" fontId="10" fillId="0" borderId="2" xfId="4" quotePrefix="1" applyFont="1" applyFill="1" applyBorder="1" applyAlignment="1" applyProtection="1">
      <alignment horizontal="right"/>
      <protection locked="0"/>
    </xf>
    <xf numFmtId="165" fontId="10" fillId="0" borderId="3" xfId="4" quotePrefix="1" applyFont="1" applyFill="1" applyBorder="1" applyAlignment="1" applyProtection="1">
      <alignment horizontal="right"/>
      <protection locked="0"/>
    </xf>
    <xf numFmtId="0" fontId="8" fillId="0" borderId="5" xfId="2" applyFont="1" applyFill="1" applyBorder="1" applyAlignment="1" applyProtection="1">
      <alignment horizontal="left"/>
      <protection locked="0"/>
    </xf>
    <xf numFmtId="164" fontId="8" fillId="0" borderId="6" xfId="2" applyNumberFormat="1" applyFont="1" applyFill="1" applyBorder="1" applyProtection="1">
      <protection locked="0"/>
    </xf>
    <xf numFmtId="166" fontId="11" fillId="2" borderId="6" xfId="5" applyNumberFormat="1" applyFont="1" applyFill="1" applyBorder="1" applyAlignment="1">
      <alignment horizontal="right"/>
    </xf>
    <xf numFmtId="166" fontId="11" fillId="2" borderId="2" xfId="5" applyNumberFormat="1" applyFont="1" applyFill="1" applyBorder="1" applyAlignment="1">
      <alignment horizontal="right"/>
    </xf>
    <xf numFmtId="166" fontId="11" fillId="2" borderId="3" xfId="5" applyNumberFormat="1" applyFont="1" applyFill="1" applyBorder="1" applyAlignment="1">
      <alignment horizontal="right"/>
    </xf>
    <xf numFmtId="164" fontId="8" fillId="0" borderId="0" xfId="6" applyNumberFormat="1" applyFont="1" applyFill="1" applyAlignment="1" applyProtection="1">
      <alignment horizontal="center"/>
      <protection locked="0"/>
    </xf>
    <xf numFmtId="0" fontId="8" fillId="0" borderId="0" xfId="2" applyFont="1" applyFill="1" applyBorder="1" applyAlignment="1" applyProtection="1">
      <alignment horizontal="left"/>
      <protection locked="0"/>
    </xf>
    <xf numFmtId="164" fontId="0" fillId="0" borderId="0" xfId="0" applyNumberFormat="1"/>
    <xf numFmtId="164" fontId="8" fillId="0" borderId="0" xfId="2" applyNumberFormat="1" applyFont="1" applyFill="1" applyBorder="1" applyProtection="1">
      <protection locked="0"/>
    </xf>
    <xf numFmtId="164" fontId="8" fillId="0" borderId="0" xfId="2" applyNumberFormat="1" applyFont="1" applyFill="1" applyBorder="1" applyAlignment="1" applyProtection="1">
      <protection locked="0"/>
    </xf>
    <xf numFmtId="164" fontId="8" fillId="2" borderId="0" xfId="2" applyNumberFormat="1" applyFont="1" applyFill="1" applyBorder="1" applyProtection="1">
      <protection locked="0"/>
    </xf>
    <xf numFmtId="0" fontId="13" fillId="0" borderId="0" xfId="2" applyFont="1" applyFill="1" applyAlignment="1" applyProtection="1">
      <alignment horizontal="right" vertical="top"/>
      <protection locked="0"/>
    </xf>
    <xf numFmtId="0" fontId="8" fillId="0" borderId="0" xfId="2" applyFont="1" applyFill="1" applyAlignment="1" applyProtection="1">
      <alignment horizontal="left" vertical="top"/>
      <protection locked="0"/>
    </xf>
    <xf numFmtId="0" fontId="8" fillId="0" borderId="0" xfId="2" applyFont="1" applyFill="1" applyAlignment="1" applyProtection="1">
      <alignment horizontal="right" vertical="top"/>
      <protection locked="0"/>
    </xf>
    <xf numFmtId="0" fontId="7" fillId="0" borderId="0" xfId="2" applyFont="1" applyFill="1" applyBorder="1" applyAlignment="1" applyProtection="1">
      <alignment horizontal="left"/>
      <protection locked="0"/>
    </xf>
    <xf numFmtId="164" fontId="7" fillId="0" borderId="0" xfId="2" applyNumberFormat="1" applyFont="1" applyFill="1" applyBorder="1" applyProtection="1">
      <protection locked="0"/>
    </xf>
    <xf numFmtId="164" fontId="7" fillId="0" borderId="0" xfId="2" applyNumberFormat="1" applyFont="1" applyFill="1" applyBorder="1" applyAlignment="1" applyProtection="1">
      <protection locked="0"/>
    </xf>
    <xf numFmtId="0" fontId="8" fillId="0" borderId="0" xfId="2" applyFont="1" applyFill="1" applyProtection="1">
      <protection locked="0"/>
    </xf>
    <xf numFmtId="0" fontId="8" fillId="0" borderId="7" xfId="2" applyFont="1" applyFill="1" applyBorder="1" applyAlignment="1" applyProtection="1">
      <alignment horizontal="left"/>
      <protection locked="0"/>
    </xf>
    <xf numFmtId="164" fontId="7" fillId="0" borderId="8" xfId="2" quotePrefix="1" applyNumberFormat="1" applyFont="1" applyFill="1" applyBorder="1" applyAlignment="1" applyProtection="1">
      <alignment horizontal="right"/>
      <protection locked="0"/>
    </xf>
    <xf numFmtId="0" fontId="14" fillId="2" borderId="8" xfId="5" applyFont="1" applyFill="1" applyBorder="1" applyAlignment="1">
      <alignment horizontal="right" vertical="top"/>
    </xf>
    <xf numFmtId="0" fontId="10" fillId="0" borderId="8" xfId="4" quotePrefix="1" applyNumberFormat="1" applyFont="1" applyFill="1" applyBorder="1" applyAlignment="1" applyProtection="1">
      <alignment horizontal="right"/>
      <protection locked="0"/>
    </xf>
    <xf numFmtId="0" fontId="10" fillId="0" borderId="9" xfId="4" quotePrefix="1" applyNumberFormat="1" applyFont="1" applyFill="1" applyBorder="1" applyAlignment="1" applyProtection="1">
      <alignment horizontal="right"/>
      <protection locked="0"/>
    </xf>
    <xf numFmtId="0" fontId="8" fillId="0" borderId="10" xfId="5" applyFont="1" applyBorder="1"/>
    <xf numFmtId="164" fontId="11" fillId="0" borderId="0" xfId="0" applyNumberFormat="1" applyFont="1" applyBorder="1"/>
    <xf numFmtId="164" fontId="11" fillId="0" borderId="11" xfId="0" applyNumberFormat="1" applyFont="1" applyBorder="1"/>
    <xf numFmtId="0" fontId="8" fillId="0" borderId="12" xfId="5" applyFont="1" applyBorder="1"/>
    <xf numFmtId="164" fontId="11" fillId="0" borderId="13" xfId="0" applyNumberFormat="1" applyFont="1" applyBorder="1"/>
    <xf numFmtId="164" fontId="11" fillId="0" borderId="14" xfId="0" applyNumberFormat="1" applyFont="1" applyBorder="1"/>
    <xf numFmtId="0" fontId="1" fillId="2" borderId="0" xfId="2" applyFont="1" applyFill="1" applyBorder="1" applyProtection="1">
      <protection locked="0"/>
    </xf>
    <xf numFmtId="0" fontId="13" fillId="0" borderId="0" xfId="2" applyFont="1" applyFill="1" applyProtection="1">
      <protection locked="0"/>
    </xf>
    <xf numFmtId="0" fontId="5" fillId="0" borderId="0" xfId="2" applyFont="1" applyFill="1" applyAlignment="1" applyProtection="1">
      <alignment horizontal="right" vertical="top" wrapText="1"/>
      <protection locked="0"/>
    </xf>
    <xf numFmtId="0" fontId="5" fillId="0" borderId="0" xfId="2" applyFont="1" applyFill="1" applyAlignment="1" applyProtection="1">
      <alignment horizontal="left" vertical="top" wrapText="1"/>
      <protection locked="0"/>
    </xf>
    <xf numFmtId="0" fontId="4" fillId="0" borderId="0" xfId="2" applyNumberFormat="1" applyFont="1" applyFill="1" applyBorder="1" applyAlignment="1" applyProtection="1">
      <alignment horizontal="left" vertical="top" wrapText="1"/>
      <protection locked="0"/>
    </xf>
    <xf numFmtId="0" fontId="4" fillId="0" borderId="0" xfId="2" applyFont="1" applyFill="1" applyBorder="1" applyProtection="1">
      <protection locked="0"/>
    </xf>
    <xf numFmtId="0" fontId="16" fillId="0" borderId="0" xfId="2" applyFont="1" applyFill="1" applyAlignment="1" applyProtection="1">
      <alignment horizontal="left" vertical="top"/>
      <protection locked="0"/>
    </xf>
    <xf numFmtId="0" fontId="16" fillId="0" borderId="0" xfId="2" applyFont="1" applyFill="1" applyAlignment="1" applyProtection="1">
      <alignment horizontal="right" vertical="top"/>
      <protection locked="0"/>
    </xf>
    <xf numFmtId="0" fontId="17" fillId="0" borderId="18" xfId="2" applyFont="1" applyFill="1" applyBorder="1" applyAlignment="1" applyProtection="1">
      <alignment horizontal="right" vertical="top" wrapText="1"/>
      <protection locked="0"/>
    </xf>
    <xf numFmtId="0" fontId="17" fillId="0" borderId="0" xfId="2" applyFont="1" applyFill="1" applyBorder="1" applyAlignment="1" applyProtection="1">
      <alignment horizontal="right" vertical="top" wrapText="1"/>
      <protection locked="0"/>
    </xf>
    <xf numFmtId="17" fontId="17" fillId="0" borderId="19" xfId="2" applyNumberFormat="1" applyFont="1" applyFill="1" applyBorder="1" applyAlignment="1" applyProtection="1">
      <alignment horizontal="right" vertical="top" wrapText="1"/>
      <protection locked="0"/>
    </xf>
    <xf numFmtId="0" fontId="17" fillId="3" borderId="18" xfId="2" applyFont="1" applyFill="1" applyBorder="1" applyAlignment="1" applyProtection="1">
      <alignment horizontal="right" vertical="top" wrapText="1"/>
      <protection locked="0"/>
    </xf>
    <xf numFmtId="0" fontId="17" fillId="3" borderId="0" xfId="2" applyFont="1" applyFill="1" applyBorder="1" applyAlignment="1" applyProtection="1">
      <alignment horizontal="right" vertical="top" wrapText="1"/>
      <protection locked="0"/>
    </xf>
    <xf numFmtId="17" fontId="17" fillId="3" borderId="19" xfId="2" applyNumberFormat="1" applyFont="1" applyFill="1" applyBorder="1" applyAlignment="1" applyProtection="1">
      <alignment horizontal="right" vertical="top" wrapText="1"/>
      <protection locked="0"/>
    </xf>
    <xf numFmtId="0" fontId="19" fillId="0" borderId="0" xfId="2" applyFont="1" applyFill="1" applyProtection="1">
      <protection locked="0"/>
    </xf>
    <xf numFmtId="0" fontId="18" fillId="0" borderId="0" xfId="2" applyFont="1" applyFill="1" applyBorder="1" applyAlignment="1" applyProtection="1">
      <alignment horizontal="right" vertical="top" wrapText="1"/>
      <protection locked="0"/>
    </xf>
    <xf numFmtId="164" fontId="19" fillId="0" borderId="5" xfId="2" applyNumberFormat="1" applyFont="1" applyFill="1" applyBorder="1" applyProtection="1">
      <protection locked="0"/>
    </xf>
    <xf numFmtId="164" fontId="19" fillId="0" borderId="6" xfId="2" applyNumberFormat="1" applyFont="1" applyFill="1" applyBorder="1" applyProtection="1">
      <protection locked="0"/>
    </xf>
    <xf numFmtId="164" fontId="19" fillId="0" borderId="20" xfId="2" applyNumberFormat="1" applyFont="1" applyFill="1" applyBorder="1" applyProtection="1">
      <protection locked="0"/>
    </xf>
    <xf numFmtId="164" fontId="19" fillId="3" borderId="5" xfId="2" applyNumberFormat="1" applyFont="1" applyFill="1" applyBorder="1" applyProtection="1">
      <protection locked="0"/>
    </xf>
    <xf numFmtId="164" fontId="19" fillId="3" borderId="6" xfId="2" applyNumberFormat="1" applyFont="1" applyFill="1" applyBorder="1" applyProtection="1">
      <protection locked="0"/>
    </xf>
    <xf numFmtId="164" fontId="19" fillId="3" borderId="20" xfId="2" applyNumberFormat="1" applyFont="1" applyFill="1" applyBorder="1" applyProtection="1">
      <protection locked="0"/>
    </xf>
    <xf numFmtId="164" fontId="1" fillId="0" borderId="0" xfId="2" applyNumberFormat="1" applyFont="1" applyFill="1" applyProtection="1">
      <protection locked="0"/>
    </xf>
    <xf numFmtId="164" fontId="20" fillId="0" borderId="0" xfId="2" applyNumberFormat="1" applyFont="1" applyFill="1" applyProtection="1">
      <protection locked="0"/>
    </xf>
    <xf numFmtId="164" fontId="20" fillId="0" borderId="0" xfId="2" applyNumberFormat="1" applyFont="1" applyFill="1" applyAlignment="1" applyProtection="1">
      <alignment vertical="top" wrapText="1"/>
      <protection locked="0"/>
    </xf>
    <xf numFmtId="164" fontId="20" fillId="0" borderId="0" xfId="2" applyNumberFormat="1" applyFont="1" applyFill="1" applyAlignment="1" applyProtection="1">
      <protection locked="0"/>
    </xf>
    <xf numFmtId="0" fontId="20" fillId="0" borderId="0" xfId="2" applyFont="1" applyFill="1" applyProtection="1">
      <protection locked="0"/>
    </xf>
    <xf numFmtId="0" fontId="20" fillId="0" borderId="0" xfId="2" applyFont="1" applyFill="1" applyAlignment="1" applyProtection="1">
      <alignment vertical="top" wrapText="1"/>
      <protection locked="0"/>
    </xf>
    <xf numFmtId="0" fontId="20" fillId="0" borderId="0" xfId="2" applyFont="1" applyFill="1" applyAlignment="1" applyProtection="1">
      <protection locked="0"/>
    </xf>
    <xf numFmtId="0" fontId="20" fillId="0" borderId="0" xfId="2" applyFont="1" applyFill="1" applyAlignment="1" applyProtection="1">
      <alignment horizontal="left" vertical="top" wrapText="1"/>
      <protection locked="0"/>
    </xf>
    <xf numFmtId="0" fontId="20" fillId="0" borderId="0" xfId="2" applyFont="1" applyFill="1" applyAlignment="1" applyProtection="1">
      <alignment horizontal="right" vertical="top" wrapText="1"/>
      <protection locked="0"/>
    </xf>
    <xf numFmtId="0" fontId="1" fillId="0" borderId="16" xfId="2" applyFont="1" applyFill="1" applyBorder="1" applyProtection="1">
      <protection locked="0"/>
    </xf>
    <xf numFmtId="0" fontId="1" fillId="0" borderId="17" xfId="2" applyFont="1" applyFill="1" applyBorder="1" applyProtection="1">
      <protection locked="0"/>
    </xf>
    <xf numFmtId="0" fontId="20" fillId="0" borderId="0" xfId="2" applyFont="1" applyFill="1" applyAlignment="1" applyProtection="1">
      <alignment horizontal="left" vertical="top"/>
      <protection locked="0"/>
    </xf>
    <xf numFmtId="0" fontId="20" fillId="0" borderId="0" xfId="2" applyFont="1" applyFill="1" applyAlignment="1" applyProtection="1">
      <alignment horizontal="right" vertical="top"/>
      <protection locked="0"/>
    </xf>
    <xf numFmtId="0" fontId="21" fillId="0" borderId="0" xfId="2" applyFont="1" applyFill="1" applyProtection="1">
      <protection locked="0"/>
    </xf>
    <xf numFmtId="164" fontId="21" fillId="0" borderId="0" xfId="2" applyNumberFormat="1" applyFont="1" applyFill="1" applyProtection="1">
      <protection locked="0"/>
    </xf>
    <xf numFmtId="164" fontId="5" fillId="0" borderId="0" xfId="2" applyNumberFormat="1" applyFont="1" applyFill="1" applyAlignment="1" applyProtection="1">
      <alignment horizontal="right" vertical="top"/>
    </xf>
    <xf numFmtId="0" fontId="1" fillId="0" borderId="0" xfId="2" applyFont="1" applyFill="1" applyAlignment="1" applyProtection="1">
      <alignment horizontal="left" vertical="top"/>
    </xf>
    <xf numFmtId="0" fontId="1" fillId="0" borderId="0" xfId="2" applyFont="1" applyFill="1" applyAlignment="1" applyProtection="1">
      <alignment horizontal="right" vertical="top"/>
    </xf>
    <xf numFmtId="0" fontId="1" fillId="0" borderId="0" xfId="2" applyFont="1" applyFill="1" applyProtection="1"/>
    <xf numFmtId="0" fontId="5" fillId="0" borderId="0" xfId="2" applyFont="1" applyFill="1" applyAlignment="1" applyProtection="1">
      <alignment horizontal="right" vertical="top"/>
    </xf>
    <xf numFmtId="0" fontId="5" fillId="0" borderId="0" xfId="2" applyFont="1" applyFill="1" applyAlignment="1" applyProtection="1">
      <alignment horizontal="left" vertical="top"/>
    </xf>
    <xf numFmtId="0" fontId="5" fillId="0" borderId="0" xfId="2" applyFont="1" applyFill="1" applyBorder="1" applyAlignment="1" applyProtection="1">
      <alignment horizontal="left" vertical="top"/>
    </xf>
    <xf numFmtId="0" fontId="7" fillId="0" borderId="0" xfId="2" applyFont="1" applyFill="1" applyBorder="1" applyAlignment="1" applyProtection="1"/>
    <xf numFmtId="0" fontId="7" fillId="0" borderId="6" xfId="2" applyFont="1" applyFill="1" applyBorder="1" applyAlignment="1" applyProtection="1"/>
    <xf numFmtId="0" fontId="1" fillId="0" borderId="6" xfId="2" applyFont="1" applyFill="1" applyBorder="1" applyProtection="1"/>
    <xf numFmtId="0" fontId="1" fillId="0" borderId="0" xfId="2" applyFont="1" applyFill="1" applyBorder="1" applyProtection="1"/>
    <xf numFmtId="0" fontId="8" fillId="0" borderId="1" xfId="2" applyFont="1" applyFill="1" applyBorder="1" applyAlignment="1" applyProtection="1">
      <alignment horizontal="left" wrapText="1"/>
    </xf>
    <xf numFmtId="0" fontId="1" fillId="0" borderId="3" xfId="2" applyFont="1" applyFill="1" applyBorder="1" applyProtection="1">
      <protection locked="0"/>
    </xf>
    <xf numFmtId="0" fontId="7" fillId="0" borderId="2" xfId="2" applyFont="1" applyFill="1" applyBorder="1" applyAlignment="1" applyProtection="1">
      <alignment horizontal="left" wrapText="1"/>
    </xf>
    <xf numFmtId="165" fontId="10" fillId="0" borderId="2" xfId="4" quotePrefix="1" applyFont="1" applyFill="1" applyBorder="1" applyAlignment="1" applyProtection="1">
      <alignment horizontal="right"/>
    </xf>
    <xf numFmtId="0" fontId="10" fillId="0" borderId="2" xfId="4" quotePrefix="1" applyNumberFormat="1" applyFont="1" applyFill="1" applyBorder="1" applyAlignment="1" applyProtection="1">
      <alignment horizontal="right"/>
    </xf>
    <xf numFmtId="0" fontId="10" fillId="0" borderId="3" xfId="4" quotePrefix="1" applyNumberFormat="1" applyFont="1" applyFill="1" applyBorder="1" applyAlignment="1" applyProtection="1">
      <alignment horizontal="right"/>
    </xf>
    <xf numFmtId="0" fontId="13" fillId="0" borderId="0" xfId="2" applyFont="1" applyFill="1" applyAlignment="1" applyProtection="1">
      <alignment horizontal="right" vertical="top"/>
    </xf>
    <xf numFmtId="0" fontId="8" fillId="0" borderId="0" xfId="2" applyFont="1" applyFill="1" applyAlignment="1" applyProtection="1">
      <alignment horizontal="left" vertical="top"/>
    </xf>
    <xf numFmtId="0" fontId="8" fillId="0" borderId="0" xfId="2" applyFont="1" applyFill="1" applyAlignment="1" applyProtection="1">
      <alignment horizontal="right" vertical="top"/>
    </xf>
    <xf numFmtId="0" fontId="8" fillId="0" borderId="5" xfId="2" applyFont="1" applyFill="1" applyBorder="1" applyAlignment="1" applyProtection="1">
      <alignment wrapText="1"/>
    </xf>
    <xf numFmtId="0" fontId="8" fillId="0" borderId="20" xfId="2" applyFont="1" applyFill="1" applyBorder="1" applyProtection="1">
      <protection locked="0"/>
    </xf>
    <xf numFmtId="164" fontId="23" fillId="0" borderId="6" xfId="2" applyNumberFormat="1" applyFont="1" applyFill="1" applyBorder="1" applyProtection="1">
      <protection locked="0"/>
    </xf>
    <xf numFmtId="168" fontId="23" fillId="2" borderId="6" xfId="7" applyNumberFormat="1" applyFont="1" applyFill="1" applyBorder="1" applyProtection="1">
      <protection locked="0"/>
    </xf>
    <xf numFmtId="164" fontId="23" fillId="0" borderId="20" xfId="2" applyNumberFormat="1" applyFont="1" applyFill="1" applyBorder="1" applyProtection="1">
      <protection locked="0"/>
    </xf>
    <xf numFmtId="0" fontId="8" fillId="0" borderId="0" xfId="2" applyFont="1" applyFill="1" applyBorder="1" applyAlignment="1" applyProtection="1">
      <alignment wrapText="1"/>
    </xf>
    <xf numFmtId="0" fontId="8" fillId="0" borderId="0" xfId="2" applyFont="1" applyFill="1" applyBorder="1" applyProtection="1"/>
    <xf numFmtId="0" fontId="8" fillId="0" borderId="0" xfId="2" applyFont="1" applyFill="1" applyProtection="1"/>
    <xf numFmtId="164" fontId="8" fillId="0" borderId="0" xfId="2" applyNumberFormat="1" applyFont="1" applyFill="1" applyProtection="1">
      <protection locked="0"/>
    </xf>
    <xf numFmtId="0" fontId="7" fillId="0" borderId="0" xfId="2" applyFont="1" applyFill="1" applyProtection="1"/>
    <xf numFmtId="0" fontId="13" fillId="0" borderId="0" xfId="2" applyFont="1" applyFill="1" applyProtection="1"/>
    <xf numFmtId="0" fontId="5" fillId="0" borderId="0" xfId="2" applyFont="1" applyFill="1" applyAlignment="1" applyProtection="1">
      <alignment horizontal="right" vertical="top" wrapText="1"/>
    </xf>
    <xf numFmtId="0" fontId="5" fillId="0" borderId="0" xfId="2" applyFont="1" applyFill="1" applyAlignment="1" applyProtection="1">
      <alignment horizontal="left" vertical="top" wrapText="1"/>
    </xf>
    <xf numFmtId="0" fontId="4" fillId="0" borderId="0" xfId="2" applyFont="1" applyFill="1" applyBorder="1" applyAlignment="1" applyProtection="1">
      <alignment horizontal="left" vertical="top" wrapText="1"/>
    </xf>
    <xf numFmtId="0" fontId="1" fillId="2" borderId="0" xfId="2" applyFont="1" applyFill="1" applyProtection="1">
      <protection locked="0"/>
    </xf>
    <xf numFmtId="0" fontId="19" fillId="0" borderId="0" xfId="2" applyFont="1" applyFill="1" applyAlignment="1" applyProtection="1">
      <alignment horizontal="right" vertical="top"/>
    </xf>
    <xf numFmtId="164" fontId="4" fillId="3" borderId="0" xfId="5" applyNumberFormat="1" applyFill="1"/>
    <xf numFmtId="169" fontId="1" fillId="0" borderId="0" xfId="1" applyNumberFormat="1" applyFont="1" applyFill="1" applyProtection="1">
      <protection locked="0"/>
    </xf>
    <xf numFmtId="0" fontId="8" fillId="0" borderId="6" xfId="2" applyFont="1" applyFill="1" applyBorder="1" applyProtection="1"/>
    <xf numFmtId="170" fontId="5" fillId="0" borderId="0" xfId="2" applyNumberFormat="1" applyFont="1" applyFill="1" applyAlignment="1" applyProtection="1">
      <alignment horizontal="right" vertical="top"/>
    </xf>
    <xf numFmtId="170" fontId="1" fillId="0" borderId="0" xfId="2" applyNumberFormat="1" applyFont="1" applyFill="1" applyAlignment="1" applyProtection="1">
      <alignment horizontal="left" vertical="top"/>
    </xf>
    <xf numFmtId="170" fontId="1" fillId="0" borderId="0" xfId="2" applyNumberFormat="1" applyFont="1" applyFill="1" applyAlignment="1" applyProtection="1">
      <alignment horizontal="right" vertical="top"/>
    </xf>
    <xf numFmtId="0" fontId="8" fillId="0" borderId="4" xfId="2" applyFont="1" applyBorder="1"/>
    <xf numFmtId="170" fontId="7" fillId="0" borderId="0" xfId="4" quotePrefix="1" applyNumberFormat="1" applyFont="1" applyFill="1" applyAlignment="1" applyProtection="1">
      <alignment horizontal="right"/>
    </xf>
    <xf numFmtId="170" fontId="7" fillId="0" borderId="26" xfId="4" quotePrefix="1" applyNumberFormat="1" applyFont="1" applyFill="1" applyBorder="1" applyAlignment="1" applyProtection="1">
      <alignment horizontal="right"/>
    </xf>
    <xf numFmtId="170" fontId="7" fillId="0" borderId="27" xfId="4" quotePrefix="1" applyNumberFormat="1" applyFont="1" applyFill="1" applyBorder="1" applyAlignment="1" applyProtection="1">
      <alignment horizontal="right"/>
    </xf>
    <xf numFmtId="170" fontId="1" fillId="0" borderId="0" xfId="2" applyNumberFormat="1" applyFont="1" applyFill="1" applyAlignment="1" applyProtection="1">
      <alignment horizontal="right"/>
      <protection locked="0"/>
    </xf>
    <xf numFmtId="171" fontId="11" fillId="0" borderId="6" xfId="6" applyNumberFormat="1" applyFont="1" applyFill="1" applyBorder="1" applyAlignment="1" applyProtection="1"/>
    <xf numFmtId="4" fontId="23" fillId="0" borderId="6" xfId="6" applyNumberFormat="1" applyFont="1" applyFill="1" applyBorder="1" applyAlignment="1" applyProtection="1"/>
    <xf numFmtId="4" fontId="23" fillId="0" borderId="6" xfId="2" applyNumberFormat="1" applyFont="1" applyFill="1" applyBorder="1" applyAlignment="1" applyProtection="1"/>
    <xf numFmtId="4" fontId="23" fillId="4" borderId="6" xfId="2" applyNumberFormat="1" applyFont="1" applyFill="1" applyBorder="1" applyAlignment="1" applyProtection="1"/>
    <xf numFmtId="4" fontId="23" fillId="2" borderId="6" xfId="2" applyNumberFormat="1" applyFont="1" applyFill="1" applyBorder="1" applyAlignment="1" applyProtection="1"/>
    <xf numFmtId="4" fontId="23" fillId="0" borderId="20" xfId="2" applyNumberFormat="1" applyFont="1" applyFill="1" applyBorder="1" applyAlignment="1" applyProtection="1"/>
    <xf numFmtId="3" fontId="8" fillId="0" borderId="0" xfId="6" applyNumberFormat="1" applyFont="1" applyFill="1" applyBorder="1" applyAlignment="1" applyProtection="1"/>
    <xf numFmtId="3" fontId="8" fillId="0" borderId="0" xfId="2" applyNumberFormat="1" applyFont="1" applyFill="1" applyBorder="1" applyAlignment="1" applyProtection="1"/>
    <xf numFmtId="0" fontId="26" fillId="0" borderId="0" xfId="0" applyFont="1" applyFill="1"/>
    <xf numFmtId="172" fontId="26" fillId="0" borderId="0" xfId="7" applyNumberFormat="1" applyFont="1" applyFill="1"/>
    <xf numFmtId="173" fontId="1" fillId="0" borderId="0" xfId="2" applyNumberFormat="1" applyFont="1" applyFill="1" applyProtection="1">
      <protection locked="0"/>
    </xf>
    <xf numFmtId="0" fontId="0" fillId="0" borderId="0" xfId="2" applyFont="1" applyFill="1" applyProtection="1">
      <protection locked="0"/>
    </xf>
    <xf numFmtId="173" fontId="0" fillId="0" borderId="0" xfId="2" applyNumberFormat="1" applyFont="1" applyFill="1" applyProtection="1">
      <protection locked="0"/>
    </xf>
    <xf numFmtId="0" fontId="2" fillId="0" borderId="0" xfId="0" applyFont="1" applyFill="1"/>
    <xf numFmtId="0" fontId="27" fillId="0" borderId="0" xfId="2" applyFont="1" applyFill="1" applyAlignment="1" applyProtection="1">
      <alignment horizontal="right" vertical="top"/>
    </xf>
    <xf numFmtId="171" fontId="11" fillId="0" borderId="0" xfId="6" applyNumberFormat="1" applyFont="1" applyFill="1" applyBorder="1" applyAlignment="1" applyProtection="1"/>
    <xf numFmtId="171" fontId="11" fillId="0" borderId="0" xfId="2" applyNumberFormat="1" applyFont="1" applyFill="1" applyBorder="1" applyAlignment="1" applyProtection="1"/>
    <xf numFmtId="171" fontId="11" fillId="4" borderId="0" xfId="2" applyNumberFormat="1" applyFont="1" applyFill="1" applyBorder="1" applyAlignment="1" applyProtection="1"/>
    <xf numFmtId="171" fontId="11" fillId="2" borderId="0" xfId="2" applyNumberFormat="1" applyFont="1" applyFill="1" applyBorder="1" applyAlignment="1" applyProtection="1"/>
    <xf numFmtId="171" fontId="11" fillId="3" borderId="0" xfId="2" applyNumberFormat="1" applyFont="1" applyFill="1" applyBorder="1" applyAlignment="1" applyProtection="1"/>
    <xf numFmtId="171" fontId="1" fillId="0" borderId="0" xfId="2" applyNumberFormat="1" applyFont="1" applyFill="1" applyBorder="1" applyProtection="1">
      <protection locked="0"/>
    </xf>
    <xf numFmtId="0" fontId="1" fillId="0" borderId="0" xfId="2" applyFont="1" applyFill="1" applyBorder="1" applyAlignment="1" applyProtection="1">
      <alignment readingOrder="1"/>
      <protection locked="0"/>
    </xf>
    <xf numFmtId="0" fontId="4" fillId="0" borderId="0" xfId="2" applyFont="1" applyFill="1" applyBorder="1" applyAlignment="1" applyProtection="1">
      <alignment horizontal="left" vertical="top"/>
      <protection locked="0"/>
    </xf>
    <xf numFmtId="0" fontId="4" fillId="0" borderId="28" xfId="2" applyFont="1" applyFill="1" applyBorder="1" applyAlignment="1" applyProtection="1">
      <alignment horizontal="left" vertical="top"/>
      <protection locked="0"/>
    </xf>
    <xf numFmtId="0" fontId="1" fillId="0" borderId="0" xfId="2" applyFont="1" applyFill="1" applyBorder="1" applyAlignment="1" applyProtection="1">
      <protection locked="0"/>
    </xf>
    <xf numFmtId="0" fontId="5" fillId="0" borderId="0" xfId="2" applyFont="1" applyFill="1" applyBorder="1" applyAlignment="1" applyProtection="1">
      <alignment horizontal="right" vertical="top"/>
    </xf>
    <xf numFmtId="0" fontId="7" fillId="0" borderId="6" xfId="2" applyFont="1" applyFill="1" applyBorder="1" applyProtection="1"/>
    <xf numFmtId="0" fontId="7" fillId="0" borderId="6" xfId="2" applyFont="1" applyFill="1" applyBorder="1" applyAlignment="1" applyProtection="1">
      <alignment wrapText="1" readingOrder="1"/>
    </xf>
    <xf numFmtId="0" fontId="7" fillId="0" borderId="0" xfId="2" applyFont="1" applyFill="1" applyBorder="1" applyAlignment="1" applyProtection="1">
      <alignment wrapText="1" readingOrder="1"/>
    </xf>
    <xf numFmtId="0" fontId="8" fillId="0" borderId="4" xfId="2" applyFont="1" applyFill="1" applyBorder="1" applyProtection="1"/>
    <xf numFmtId="0" fontId="7" fillId="0" borderId="2" xfId="2" applyFont="1" applyFill="1" applyBorder="1" applyAlignment="1" applyProtection="1">
      <alignment horizontal="right"/>
    </xf>
    <xf numFmtId="0" fontId="7" fillId="0" borderId="3" xfId="2" applyFont="1" applyFill="1" applyBorder="1" applyAlignment="1" applyProtection="1">
      <alignment horizontal="right"/>
    </xf>
    <xf numFmtId="0" fontId="7" fillId="0" borderId="5" xfId="2" applyFont="1" applyFill="1" applyBorder="1" applyAlignment="1" applyProtection="1">
      <alignment wrapText="1"/>
    </xf>
    <xf numFmtId="164" fontId="28" fillId="2" borderId="6" xfId="0" applyNumberFormat="1" applyFont="1" applyFill="1" applyBorder="1" applyAlignment="1">
      <alignment horizontal="right"/>
    </xf>
    <xf numFmtId="164" fontId="28" fillId="0" borderId="6" xfId="0" applyNumberFormat="1" applyFont="1" applyFill="1" applyBorder="1" applyAlignment="1">
      <alignment horizontal="right"/>
    </xf>
    <xf numFmtId="0" fontId="7" fillId="0" borderId="0" xfId="2" applyFont="1" applyFill="1" applyBorder="1" applyAlignment="1" applyProtection="1">
      <alignment wrapText="1"/>
    </xf>
    <xf numFmtId="164" fontId="8" fillId="0" borderId="0" xfId="2" applyNumberFormat="1" applyFont="1" applyFill="1" applyBorder="1" applyAlignment="1" applyProtection="1">
      <alignment horizontal="right" wrapText="1"/>
    </xf>
    <xf numFmtId="164" fontId="28" fillId="2" borderId="0" xfId="0" applyNumberFormat="1" applyFont="1" applyFill="1" applyBorder="1" applyAlignment="1">
      <alignment horizontal="center"/>
    </xf>
    <xf numFmtId="2" fontId="26" fillId="0" borderId="0" xfId="0" applyNumberFormat="1" applyFont="1" applyFill="1"/>
    <xf numFmtId="0" fontId="8" fillId="0" borderId="0" xfId="2" applyFont="1" applyFill="1" applyBorder="1" applyAlignment="1" applyProtection="1">
      <alignment horizontal="right" wrapText="1"/>
    </xf>
    <xf numFmtId="164" fontId="8" fillId="0" borderId="0" xfId="2" applyNumberFormat="1" applyFont="1" applyFill="1" applyBorder="1" applyProtection="1"/>
    <xf numFmtId="164" fontId="26" fillId="0" borderId="0" xfId="0" applyNumberFormat="1" applyFont="1" applyFill="1" applyAlignment="1">
      <alignment horizontal="center"/>
    </xf>
    <xf numFmtId="0" fontId="4" fillId="0" borderId="0" xfId="2" applyFont="1" applyFill="1" applyProtection="1">
      <protection locked="0"/>
    </xf>
    <xf numFmtId="0" fontId="8" fillId="0" borderId="0" xfId="2" applyFont="1" applyFill="1" applyBorder="1" applyAlignment="1" applyProtection="1">
      <alignment horizontal="left" vertical="top"/>
    </xf>
    <xf numFmtId="0" fontId="8" fillId="0" borderId="0" xfId="2" applyFont="1" applyFill="1" applyBorder="1" applyAlignment="1" applyProtection="1">
      <alignment horizontal="right" vertical="top"/>
    </xf>
    <xf numFmtId="0" fontId="7" fillId="0" borderId="6" xfId="2" applyFont="1" applyFill="1" applyBorder="1" applyAlignment="1" applyProtection="1">
      <alignment horizontal="left" vertical="top"/>
    </xf>
    <xf numFmtId="0" fontId="7" fillId="0" borderId="6" xfId="2" applyFont="1" applyFill="1" applyBorder="1" applyAlignment="1" applyProtection="1">
      <alignment horizontal="right" vertical="top"/>
    </xf>
    <xf numFmtId="0" fontId="7" fillId="0" borderId="6" xfId="2" applyFont="1" applyFill="1" applyBorder="1" applyAlignment="1" applyProtection="1">
      <protection locked="0"/>
    </xf>
    <xf numFmtId="0" fontId="1" fillId="0" borderId="6" xfId="2" applyFont="1" applyFill="1" applyBorder="1" applyProtection="1">
      <protection locked="0"/>
    </xf>
    <xf numFmtId="0" fontId="8" fillId="0" borderId="6" xfId="2" applyFont="1" applyFill="1" applyBorder="1" applyProtection="1">
      <protection locked="0"/>
    </xf>
    <xf numFmtId="0" fontId="7" fillId="0" borderId="0" xfId="2" applyFont="1" applyFill="1" applyBorder="1" applyAlignment="1" applyProtection="1">
      <alignment horizontal="left" vertical="top"/>
    </xf>
    <xf numFmtId="0" fontId="7" fillId="0" borderId="0" xfId="2" applyFont="1" applyFill="1" applyBorder="1" applyAlignment="1" applyProtection="1">
      <alignment horizontal="right" vertical="top"/>
    </xf>
    <xf numFmtId="0" fontId="22" fillId="0" borderId="0" xfId="2" applyFont="1" applyFill="1" applyAlignment="1" applyProtection="1">
      <alignment horizontal="right" vertical="top"/>
    </xf>
    <xf numFmtId="0" fontId="4" fillId="0" borderId="29" xfId="2" applyFont="1" applyFill="1" applyBorder="1" applyAlignment="1" applyProtection="1">
      <alignment horizontal="right" vertical="top" wrapText="1"/>
    </xf>
    <xf numFmtId="17" fontId="4" fillId="0" borderId="29" xfId="2" applyNumberFormat="1" applyFont="1" applyFill="1" applyBorder="1" applyAlignment="1" applyProtection="1">
      <alignment horizontal="right" vertical="top" wrapText="1"/>
    </xf>
    <xf numFmtId="0" fontId="29" fillId="0" borderId="29" xfId="2" applyFont="1" applyFill="1" applyBorder="1" applyAlignment="1" applyProtection="1">
      <alignment horizontal="right" vertical="top" wrapText="1"/>
    </xf>
    <xf numFmtId="17" fontId="29" fillId="0" borderId="29" xfId="2" applyNumberFormat="1" applyFont="1" applyFill="1" applyBorder="1" applyAlignment="1" applyProtection="1">
      <alignment horizontal="right" vertical="top" wrapText="1"/>
    </xf>
    <xf numFmtId="0" fontId="0" fillId="0" borderId="0" xfId="2" applyFont="1" applyFill="1" applyAlignment="1" applyProtection="1">
      <alignment horizontal="left" vertical="top"/>
    </xf>
    <xf numFmtId="2" fontId="26" fillId="5" borderId="0" xfId="0" applyNumberFormat="1" applyFont="1" applyFill="1" applyAlignment="1">
      <alignment horizontal="center"/>
    </xf>
    <xf numFmtId="0" fontId="26" fillId="5" borderId="0" xfId="0" applyFont="1" applyFill="1" applyAlignment="1">
      <alignment horizontal="center"/>
    </xf>
    <xf numFmtId="0" fontId="26" fillId="0" borderId="0" xfId="0" applyFont="1" applyFill="1" applyAlignment="1">
      <alignment horizontal="center"/>
    </xf>
    <xf numFmtId="0" fontId="21" fillId="5" borderId="0" xfId="0" applyFont="1" applyFill="1" applyAlignment="1">
      <alignment horizontal="center"/>
    </xf>
    <xf numFmtId="2" fontId="26" fillId="0" borderId="0" xfId="0" applyNumberFormat="1" applyFont="1" applyFill="1" applyAlignment="1">
      <alignment horizontal="center"/>
    </xf>
    <xf numFmtId="164" fontId="26" fillId="5" borderId="0" xfId="0" applyNumberFormat="1" applyFont="1" applyFill="1" applyAlignment="1">
      <alignment horizontal="center"/>
    </xf>
    <xf numFmtId="0" fontId="15" fillId="0" borderId="0" xfId="2" applyFont="1" applyFill="1" applyAlignment="1" applyProtection="1">
      <alignment horizontal="left" vertical="top"/>
    </xf>
    <xf numFmtId="0" fontId="15" fillId="0" borderId="0" xfId="2" applyFont="1" applyFill="1" applyAlignment="1" applyProtection="1">
      <alignment horizontal="right" vertical="top"/>
    </xf>
    <xf numFmtId="0" fontId="8" fillId="0" borderId="1" xfId="2" applyFont="1" applyFill="1" applyBorder="1" applyProtection="1"/>
    <xf numFmtId="165" fontId="7" fillId="0" borderId="2" xfId="4" applyFont="1" applyFill="1" applyBorder="1" applyAlignment="1" applyProtection="1">
      <alignment horizontal="right"/>
    </xf>
    <xf numFmtId="165" fontId="7" fillId="0" borderId="2" xfId="4" quotePrefix="1" applyFont="1" applyFill="1" applyBorder="1" applyAlignment="1" applyProtection="1">
      <alignment horizontal="right"/>
    </xf>
    <xf numFmtId="49" fontId="7" fillId="0" borderId="2" xfId="4" applyNumberFormat="1" applyFont="1" applyFill="1" applyBorder="1" applyAlignment="1" applyProtection="1">
      <alignment horizontal="right"/>
    </xf>
    <xf numFmtId="49" fontId="7" fillId="0" borderId="3" xfId="4" applyNumberFormat="1" applyFont="1" applyFill="1" applyBorder="1" applyAlignment="1" applyProtection="1">
      <alignment horizontal="right"/>
    </xf>
    <xf numFmtId="0" fontId="15" fillId="0" borderId="0" xfId="2" applyFont="1" applyFill="1" applyProtection="1">
      <protection locked="0"/>
    </xf>
    <xf numFmtId="0" fontId="28" fillId="2" borderId="6" xfId="0" applyFont="1" applyFill="1" applyBorder="1"/>
    <xf numFmtId="0" fontId="28" fillId="0" borderId="6" xfId="0" applyFont="1" applyFill="1" applyBorder="1"/>
    <xf numFmtId="164" fontId="28" fillId="0" borderId="6" xfId="0" applyNumberFormat="1" applyFont="1" applyFill="1" applyBorder="1"/>
    <xf numFmtId="166" fontId="8" fillId="0" borderId="6" xfId="4" applyNumberFormat="1" applyFont="1" applyFill="1" applyBorder="1" applyProtection="1"/>
    <xf numFmtId="166" fontId="8" fillId="0" borderId="20" xfId="4" applyNumberFormat="1" applyFont="1" applyFill="1" applyBorder="1" applyProtection="1"/>
    <xf numFmtId="0" fontId="28" fillId="2" borderId="0" xfId="0" applyFont="1" applyFill="1" applyBorder="1"/>
    <xf numFmtId="166" fontId="8" fillId="0" borderId="0" xfId="4" applyNumberFormat="1" applyFont="1" applyFill="1" applyBorder="1" applyProtection="1"/>
    <xf numFmtId="0" fontId="26" fillId="0" borderId="0" xfId="5" applyFont="1" applyFill="1"/>
    <xf numFmtId="165" fontId="7" fillId="0" borderId="0" xfId="4" applyFont="1" applyFill="1" applyAlignment="1" applyProtection="1">
      <alignment horizontal="right"/>
    </xf>
    <xf numFmtId="165" fontId="7" fillId="0" borderId="0" xfId="4" applyFont="1" applyFill="1" applyBorder="1" applyAlignment="1" applyProtection="1">
      <alignment horizontal="right"/>
    </xf>
    <xf numFmtId="165" fontId="7" fillId="0" borderId="0" xfId="4" quotePrefix="1" applyFont="1" applyFill="1" applyBorder="1" applyAlignment="1" applyProtection="1">
      <alignment horizontal="right"/>
    </xf>
    <xf numFmtId="49" fontId="7" fillId="0" borderId="0" xfId="4" applyNumberFormat="1" applyFont="1" applyFill="1" applyBorder="1" applyAlignment="1" applyProtection="1">
      <alignment horizontal="right"/>
    </xf>
    <xf numFmtId="0" fontId="26" fillId="5" borderId="0" xfId="0" applyFont="1" applyFill="1"/>
    <xf numFmtId="165" fontId="10" fillId="0" borderId="0" xfId="4" applyFont="1" applyFill="1" applyAlignment="1" applyProtection="1">
      <alignment horizontal="right"/>
      <protection locked="0"/>
    </xf>
    <xf numFmtId="165" fontId="10" fillId="0" borderId="0" xfId="4" applyFont="1" applyFill="1" applyBorder="1" applyAlignment="1" applyProtection="1">
      <alignment horizontal="right"/>
      <protection locked="0"/>
    </xf>
    <xf numFmtId="165" fontId="10" fillId="0" borderId="0" xfId="4" quotePrefix="1" applyFont="1" applyFill="1" applyBorder="1" applyAlignment="1" applyProtection="1">
      <alignment horizontal="right"/>
      <protection locked="0"/>
    </xf>
    <xf numFmtId="0" fontId="8" fillId="0" borderId="0" xfId="2" applyFont="1" applyFill="1" applyBorder="1" applyAlignment="1" applyProtection="1">
      <alignment wrapText="1"/>
      <protection locked="0"/>
    </xf>
    <xf numFmtId="166" fontId="30" fillId="0" borderId="0" xfId="4" applyNumberFormat="1" applyFont="1" applyFill="1" applyBorder="1" applyProtection="1">
      <protection locked="0"/>
    </xf>
    <xf numFmtId="0" fontId="1" fillId="0" borderId="0" xfId="2" quotePrefix="1" applyFont="1" applyFill="1" applyProtection="1">
      <protection locked="0"/>
    </xf>
    <xf numFmtId="0" fontId="13" fillId="0" borderId="6" xfId="2" applyFont="1" applyFill="1" applyBorder="1" applyAlignment="1" applyProtection="1"/>
    <xf numFmtId="0" fontId="22" fillId="0" borderId="6" xfId="2" applyFont="1" applyFill="1" applyBorder="1" applyProtection="1"/>
    <xf numFmtId="164" fontId="22" fillId="0" borderId="6" xfId="2" applyNumberFormat="1" applyFont="1" applyFill="1" applyBorder="1" applyProtection="1"/>
    <xf numFmtId="165" fontId="7" fillId="0" borderId="3" xfId="4" quotePrefix="1" applyFont="1" applyFill="1" applyBorder="1" applyAlignment="1" applyProtection="1">
      <alignment horizontal="right"/>
    </xf>
    <xf numFmtId="164" fontId="28" fillId="0" borderId="6" xfId="2" applyNumberFormat="1" applyFont="1" applyFill="1" applyBorder="1" applyProtection="1">
      <protection locked="0"/>
    </xf>
    <xf numFmtId="164" fontId="28" fillId="0" borderId="20" xfId="2" applyNumberFormat="1" applyFont="1" applyFill="1" applyBorder="1" applyProtection="1">
      <protection locked="0"/>
    </xf>
    <xf numFmtId="164" fontId="26" fillId="0" borderId="0" xfId="0" applyNumberFormat="1" applyFont="1" applyFill="1"/>
    <xf numFmtId="0" fontId="8" fillId="0" borderId="0" xfId="2" applyFont="1" applyFill="1" applyAlignment="1" applyProtection="1">
      <alignment horizontal="center"/>
    </xf>
    <xf numFmtId="165" fontId="7" fillId="0" borderId="0" xfId="4" quotePrefix="1" applyFont="1" applyFill="1" applyAlignment="1" applyProtection="1">
      <alignment horizontal="right"/>
    </xf>
    <xf numFmtId="165" fontId="7" fillId="0" borderId="26" xfId="4" quotePrefix="1" applyFont="1" applyFill="1" applyBorder="1" applyAlignment="1" applyProtection="1">
      <alignment horizontal="right"/>
    </xf>
    <xf numFmtId="0" fontId="1" fillId="0" borderId="0" xfId="2" applyNumberFormat="1" applyFont="1" applyFill="1" applyBorder="1" applyAlignment="1" applyProtection="1">
      <alignment horizontal="left" vertical="top"/>
    </xf>
    <xf numFmtId="0" fontId="1" fillId="0" borderId="0" xfId="2" applyFont="1" applyFill="1" applyBorder="1" applyAlignment="1" applyProtection="1">
      <alignment horizontal="right" vertical="top"/>
    </xf>
    <xf numFmtId="0" fontId="1" fillId="6" borderId="0" xfId="2" applyFont="1" applyFill="1" applyBorder="1" applyAlignment="1"/>
    <xf numFmtId="0" fontId="1" fillId="0" borderId="0" xfId="2" applyFont="1" applyFill="1" applyBorder="1" applyAlignment="1" applyProtection="1">
      <alignment horizontal="left" vertical="top"/>
    </xf>
    <xf numFmtId="0" fontId="6" fillId="0" borderId="0" xfId="2" applyFont="1" applyFill="1" applyBorder="1" applyAlignment="1" applyProtection="1">
      <alignment horizontal="center" vertical="top"/>
      <protection locked="0"/>
    </xf>
    <xf numFmtId="0" fontId="4" fillId="0" borderId="0" xfId="3" applyFont="1" applyFill="1" applyBorder="1" applyAlignment="1" applyProtection="1">
      <alignment horizontal="left" vertical="top"/>
    </xf>
    <xf numFmtId="165" fontId="7" fillId="2" borderId="26" xfId="4" quotePrefix="1" applyFont="1" applyFill="1" applyBorder="1" applyAlignment="1" applyProtection="1">
      <alignment horizontal="right"/>
    </xf>
    <xf numFmtId="1" fontId="7" fillId="2" borderId="26" xfId="4" quotePrefix="1" applyNumberFormat="1" applyFont="1" applyFill="1" applyBorder="1" applyAlignment="1" applyProtection="1">
      <alignment horizontal="right"/>
    </xf>
    <xf numFmtId="1" fontId="7" fillId="0" borderId="26" xfId="4" quotePrefix="1" applyNumberFormat="1" applyFont="1" applyFill="1" applyBorder="1" applyAlignment="1" applyProtection="1">
      <alignment horizontal="right"/>
    </xf>
    <xf numFmtId="1" fontId="7" fillId="0" borderId="27" xfId="4" quotePrefix="1" applyNumberFormat="1" applyFont="1" applyFill="1" applyBorder="1" applyAlignment="1" applyProtection="1">
      <alignment horizontal="right"/>
    </xf>
    <xf numFmtId="0" fontId="8" fillId="0" borderId="18" xfId="2" applyFont="1" applyFill="1" applyBorder="1" applyProtection="1"/>
    <xf numFmtId="164" fontId="8" fillId="2" borderId="0" xfId="2" applyNumberFormat="1" applyFont="1" applyFill="1" applyBorder="1" applyProtection="1"/>
    <xf numFmtId="164" fontId="8" fillId="0" borderId="19" xfId="2" applyNumberFormat="1" applyFont="1" applyFill="1" applyBorder="1" applyProtection="1"/>
    <xf numFmtId="164" fontId="8" fillId="0" borderId="5" xfId="2" applyNumberFormat="1" applyFont="1" applyFill="1" applyBorder="1" applyProtection="1"/>
    <xf numFmtId="164" fontId="8" fillId="2" borderId="6" xfId="0" applyNumberFormat="1" applyFont="1" applyFill="1" applyBorder="1"/>
    <xf numFmtId="0" fontId="8" fillId="2" borderId="6" xfId="0" applyFont="1" applyFill="1" applyBorder="1"/>
    <xf numFmtId="164" fontId="8" fillId="2" borderId="6" xfId="2" applyNumberFormat="1" applyFont="1" applyFill="1" applyBorder="1" applyProtection="1"/>
    <xf numFmtId="164" fontId="8" fillId="0" borderId="6" xfId="2" applyNumberFormat="1" applyFont="1" applyFill="1" applyBorder="1" applyProtection="1"/>
    <xf numFmtId="164" fontId="8" fillId="0" borderId="20" xfId="2" applyNumberFormat="1" applyFont="1" applyFill="1" applyBorder="1" applyProtection="1"/>
    <xf numFmtId="164" fontId="31" fillId="0" borderId="0" xfId="2" applyNumberFormat="1" applyFont="1" applyFill="1" applyAlignment="1" applyProtection="1">
      <alignment horizontal="center"/>
    </xf>
    <xf numFmtId="0" fontId="31" fillId="0" borderId="0" xfId="2" applyFont="1" applyFill="1" applyProtection="1">
      <protection locked="0"/>
    </xf>
    <xf numFmtId="0" fontId="31" fillId="0" borderId="0" xfId="2" applyFont="1" applyFill="1" applyProtection="1"/>
    <xf numFmtId="0" fontId="32" fillId="0" borderId="0" xfId="2" applyFont="1" applyFill="1" applyBorder="1" applyAlignment="1" applyProtection="1">
      <alignment vertical="top"/>
    </xf>
    <xf numFmtId="0" fontId="33" fillId="0" borderId="0" xfId="2" applyFont="1" applyFill="1" applyBorder="1" applyAlignment="1" applyProtection="1">
      <alignment vertical="top"/>
    </xf>
    <xf numFmtId="0" fontId="33" fillId="0" borderId="0" xfId="2" quotePrefix="1" applyFont="1" applyFill="1" applyBorder="1" applyAlignment="1" applyProtection="1">
      <alignment vertical="top" wrapText="1"/>
    </xf>
    <xf numFmtId="0" fontId="12" fillId="0" borderId="0" xfId="2" applyFont="1" applyFill="1" applyBorder="1" applyAlignment="1" applyProtection="1">
      <protection locked="0"/>
    </xf>
    <xf numFmtId="0" fontId="33" fillId="0" borderId="0" xfId="2" applyFont="1" applyFill="1" applyBorder="1" applyAlignment="1" applyProtection="1">
      <alignment vertical="top" wrapText="1"/>
    </xf>
    <xf numFmtId="0" fontId="33" fillId="0" borderId="18" xfId="2" applyFont="1" applyFill="1" applyBorder="1" applyAlignment="1" applyProtection="1">
      <alignment vertical="top" wrapText="1"/>
    </xf>
    <xf numFmtId="17" fontId="33" fillId="0" borderId="19" xfId="2" applyNumberFormat="1" applyFont="1" applyFill="1" applyBorder="1" applyAlignment="1" applyProtection="1">
      <alignment vertical="top" wrapText="1"/>
    </xf>
    <xf numFmtId="0" fontId="33" fillId="3" borderId="18" xfId="2" applyFont="1" applyFill="1" applyBorder="1" applyAlignment="1" applyProtection="1">
      <alignment vertical="top" wrapText="1"/>
    </xf>
    <xf numFmtId="0" fontId="33" fillId="3" borderId="0" xfId="2" applyFont="1" applyFill="1" applyBorder="1" applyAlignment="1" applyProtection="1">
      <alignment vertical="top" wrapText="1"/>
    </xf>
    <xf numFmtId="17" fontId="33" fillId="3" borderId="19" xfId="2" applyNumberFormat="1" applyFont="1" applyFill="1" applyBorder="1" applyAlignment="1" applyProtection="1">
      <alignment vertical="top" wrapText="1"/>
    </xf>
    <xf numFmtId="0" fontId="34" fillId="0" borderId="0" xfId="2" applyFont="1" applyFill="1" applyBorder="1" applyAlignment="1" applyProtection="1">
      <alignment vertical="top"/>
    </xf>
    <xf numFmtId="0" fontId="35" fillId="0" borderId="0" xfId="2" applyFont="1" applyFill="1" applyBorder="1" applyAlignment="1" applyProtection="1">
      <alignment vertical="top"/>
    </xf>
    <xf numFmtId="164" fontId="33" fillId="0" borderId="0" xfId="2" applyNumberFormat="1" applyFont="1" applyFill="1" applyBorder="1" applyAlignment="1" applyProtection="1">
      <protection locked="0"/>
    </xf>
    <xf numFmtId="164" fontId="33" fillId="3" borderId="0" xfId="2" applyNumberFormat="1" applyFont="1" applyFill="1" applyBorder="1" applyAlignment="1" applyProtection="1">
      <protection locked="0"/>
    </xf>
    <xf numFmtId="0" fontId="36" fillId="0" borderId="0" xfId="2" applyFont="1" applyFill="1" applyBorder="1" applyAlignment="1" applyProtection="1">
      <protection locked="0"/>
    </xf>
    <xf numFmtId="164" fontId="19" fillId="0" borderId="0" xfId="2" applyNumberFormat="1" applyFont="1" applyFill="1" applyProtection="1">
      <protection locked="0"/>
    </xf>
    <xf numFmtId="164" fontId="19" fillId="3" borderId="0" xfId="2" applyNumberFormat="1" applyFont="1" applyFill="1" applyProtection="1">
      <protection locked="0"/>
    </xf>
    <xf numFmtId="164" fontId="33" fillId="0" borderId="18" xfId="2" applyNumberFormat="1" applyFont="1" applyFill="1" applyBorder="1" applyAlignment="1" applyProtection="1">
      <protection locked="0"/>
    </xf>
    <xf numFmtId="0" fontId="35" fillId="0" borderId="0" xfId="2" applyFont="1" applyFill="1" applyBorder="1" applyAlignment="1" applyProtection="1">
      <protection locked="0"/>
    </xf>
    <xf numFmtId="164" fontId="35" fillId="0" borderId="19" xfId="2" applyNumberFormat="1" applyFont="1" applyFill="1" applyBorder="1" applyAlignment="1" applyProtection="1">
      <protection locked="0"/>
    </xf>
    <xf numFmtId="0" fontId="35" fillId="0" borderId="19" xfId="2" applyFont="1" applyFill="1" applyBorder="1" applyAlignment="1" applyProtection="1">
      <protection locked="0"/>
    </xf>
    <xf numFmtId="164" fontId="33" fillId="3" borderId="18" xfId="2" applyNumberFormat="1" applyFont="1" applyFill="1" applyBorder="1" applyAlignment="1" applyProtection="1">
      <protection locked="0"/>
    </xf>
    <xf numFmtId="0" fontId="35" fillId="3" borderId="0" xfId="2" applyFont="1" applyFill="1" applyBorder="1" applyAlignment="1" applyProtection="1">
      <protection locked="0"/>
    </xf>
    <xf numFmtId="0" fontId="35" fillId="3" borderId="19" xfId="2" applyFont="1" applyFill="1" applyBorder="1" applyAlignment="1" applyProtection="1">
      <protection locked="0"/>
    </xf>
    <xf numFmtId="164" fontId="33" fillId="0" borderId="0" xfId="2" applyNumberFormat="1" applyFont="1" applyFill="1" applyBorder="1" applyAlignment="1" applyProtection="1">
      <alignment wrapText="1"/>
      <protection locked="0"/>
    </xf>
    <xf numFmtId="164" fontId="33" fillId="0" borderId="5" xfId="2" applyNumberFormat="1" applyFont="1" applyFill="1" applyBorder="1" applyAlignment="1" applyProtection="1">
      <protection locked="0"/>
    </xf>
    <xf numFmtId="0" fontId="35" fillId="0" borderId="6" xfId="2" applyFont="1" applyFill="1" applyBorder="1" applyAlignment="1" applyProtection="1">
      <protection locked="0"/>
    </xf>
    <xf numFmtId="164" fontId="35" fillId="0" borderId="20" xfId="2" applyNumberFormat="1" applyFont="1" applyFill="1" applyBorder="1" applyAlignment="1" applyProtection="1">
      <protection locked="0"/>
    </xf>
    <xf numFmtId="0" fontId="35" fillId="0" borderId="20" xfId="2" applyFont="1" applyFill="1" applyBorder="1" applyAlignment="1" applyProtection="1">
      <protection locked="0"/>
    </xf>
    <xf numFmtId="164" fontId="33" fillId="3" borderId="5" xfId="2" applyNumberFormat="1" applyFont="1" applyFill="1" applyBorder="1" applyAlignment="1" applyProtection="1">
      <protection locked="0"/>
    </xf>
    <xf numFmtId="0" fontId="35" fillId="3" borderId="6" xfId="2" applyFont="1" applyFill="1" applyBorder="1" applyAlignment="1" applyProtection="1">
      <protection locked="0"/>
    </xf>
    <xf numFmtId="0" fontId="35" fillId="3" borderId="20" xfId="2" applyFont="1" applyFill="1" applyBorder="1" applyAlignment="1" applyProtection="1">
      <protection locked="0"/>
    </xf>
    <xf numFmtId="0" fontId="36" fillId="0" borderId="0" xfId="2" applyFont="1" applyFill="1" applyBorder="1" applyAlignment="1" applyProtection="1">
      <alignment vertical="top"/>
    </xf>
    <xf numFmtId="164" fontId="37" fillId="0" borderId="0" xfId="0" applyNumberFormat="1" applyFont="1" applyFill="1" applyBorder="1" applyAlignment="1"/>
    <xf numFmtId="164" fontId="37" fillId="0" borderId="18" xfId="0" applyNumberFormat="1" applyFont="1" applyFill="1" applyBorder="1" applyAlignment="1"/>
    <xf numFmtId="164" fontId="37" fillId="0" borderId="19" xfId="0" applyNumberFormat="1" applyFont="1" applyFill="1" applyBorder="1" applyAlignment="1"/>
    <xf numFmtId="164" fontId="8" fillId="0" borderId="19" xfId="2" applyNumberFormat="1" applyFont="1" applyBorder="1" applyProtection="1">
      <protection locked="0"/>
    </xf>
    <xf numFmtId="164" fontId="8" fillId="0" borderId="18" xfId="2" applyNumberFormat="1" applyFont="1" applyBorder="1" applyProtection="1">
      <protection locked="0"/>
    </xf>
    <xf numFmtId="164" fontId="8" fillId="0" borderId="0" xfId="2" applyNumberFormat="1" applyFont="1" applyBorder="1" applyProtection="1">
      <protection locked="0"/>
    </xf>
    <xf numFmtId="164" fontId="4" fillId="0" borderId="18" xfId="2" applyNumberFormat="1" applyFont="1" applyBorder="1" applyProtection="1">
      <protection locked="0"/>
    </xf>
    <xf numFmtId="164" fontId="4" fillId="0" borderId="0" xfId="2" applyNumberFormat="1" applyFont="1" applyBorder="1" applyProtection="1">
      <protection locked="0"/>
    </xf>
    <xf numFmtId="164" fontId="1" fillId="0" borderId="0" xfId="2" applyNumberFormat="1" applyFont="1" applyProtection="1">
      <protection locked="0"/>
    </xf>
    <xf numFmtId="164" fontId="4" fillId="0" borderId="19" xfId="2" applyNumberFormat="1" applyFont="1" applyBorder="1" applyProtection="1">
      <protection locked="0"/>
    </xf>
    <xf numFmtId="0" fontId="1" fillId="0" borderId="27" xfId="2" applyFont="1" applyFill="1" applyBorder="1" applyAlignment="1" applyProtection="1">
      <alignment horizontal="center" vertical="top"/>
    </xf>
    <xf numFmtId="0" fontId="8" fillId="0" borderId="19" xfId="2" applyFont="1" applyFill="1" applyBorder="1" applyProtection="1">
      <protection locked="0"/>
    </xf>
    <xf numFmtId="0" fontId="1" fillId="0" borderId="18" xfId="2" applyFont="1" applyFill="1" applyBorder="1" applyAlignment="1" applyProtection="1">
      <alignment horizontal="left" vertical="top"/>
    </xf>
    <xf numFmtId="164" fontId="26" fillId="0" borderId="20" xfId="0" applyNumberFormat="1" applyFont="1" applyFill="1" applyBorder="1" applyAlignment="1">
      <alignment horizontal="center"/>
    </xf>
    <xf numFmtId="164" fontId="26" fillId="0" borderId="5" xfId="0" applyNumberFormat="1" applyFont="1" applyFill="1" applyBorder="1" applyAlignment="1">
      <alignment horizontal="center"/>
    </xf>
    <xf numFmtId="164" fontId="26" fillId="0" borderId="6" xfId="0" applyNumberFormat="1" applyFont="1" applyFill="1" applyBorder="1" applyAlignment="1">
      <alignment horizontal="center"/>
    </xf>
    <xf numFmtId="0" fontId="26" fillId="0" borderId="20" xfId="0" applyFont="1" applyFill="1" applyBorder="1" applyAlignment="1">
      <alignment horizontal="center"/>
    </xf>
    <xf numFmtId="0" fontId="26" fillId="0" borderId="6" xfId="0" applyFont="1" applyFill="1" applyBorder="1" applyAlignment="1">
      <alignment horizontal="center"/>
    </xf>
    <xf numFmtId="0" fontId="4" fillId="0" borderId="0" xfId="2" applyFont="1" applyFill="1" applyAlignment="1" applyProtection="1">
      <alignment horizontal="left" vertical="top"/>
    </xf>
    <xf numFmtId="0" fontId="4" fillId="0" borderId="0" xfId="2" applyFont="1" applyFill="1" applyAlignment="1" applyProtection="1">
      <alignment horizontal="right" vertical="top"/>
    </xf>
    <xf numFmtId="0" fontId="5" fillId="0" borderId="0" xfId="2" applyFont="1" applyAlignment="1" applyProtection="1">
      <alignment horizontal="right" vertical="top"/>
    </xf>
    <xf numFmtId="0" fontId="1" fillId="0" borderId="0" xfId="2" applyFont="1" applyAlignment="1" applyProtection="1">
      <alignment horizontal="left" vertical="top"/>
    </xf>
    <xf numFmtId="0" fontId="1" fillId="0" borderId="0" xfId="2" applyFont="1" applyAlignment="1" applyProtection="1">
      <alignment horizontal="right" vertical="top"/>
    </xf>
    <xf numFmtId="0" fontId="1" fillId="0" borderId="0" xfId="2" applyFont="1" applyProtection="1"/>
    <xf numFmtId="0" fontId="1" fillId="0" borderId="0" xfId="2" applyFont="1" applyProtection="1">
      <protection locked="0"/>
    </xf>
    <xf numFmtId="0" fontId="5" fillId="0" borderId="0" xfId="2" applyFont="1" applyAlignment="1" applyProtection="1">
      <alignment horizontal="left" vertical="top"/>
    </xf>
    <xf numFmtId="0" fontId="1" fillId="0" borderId="0" xfId="2" applyFont="1" applyBorder="1" applyProtection="1">
      <protection locked="0"/>
    </xf>
    <xf numFmtId="0" fontId="7" fillId="0" borderId="6" xfId="2" applyFont="1" applyBorder="1" applyAlignment="1" applyProtection="1"/>
    <xf numFmtId="0" fontId="7" fillId="0" borderId="0" xfId="2" applyFont="1" applyBorder="1" applyAlignment="1" applyProtection="1"/>
    <xf numFmtId="0" fontId="1" fillId="0" borderId="0" xfId="2" applyFont="1" applyBorder="1" applyProtection="1"/>
    <xf numFmtId="0" fontId="1" fillId="0" borderId="4" xfId="2" applyFont="1" applyBorder="1" applyProtection="1"/>
    <xf numFmtId="165" fontId="7" fillId="0" borderId="2" xfId="4" quotePrefix="1" applyFont="1" applyBorder="1" applyAlignment="1" applyProtection="1">
      <alignment horizontal="right"/>
    </xf>
    <xf numFmtId="165" fontId="14" fillId="0" borderId="2" xfId="4" quotePrefix="1" applyFont="1" applyFill="1" applyBorder="1" applyAlignment="1" applyProtection="1">
      <alignment horizontal="right"/>
    </xf>
    <xf numFmtId="165" fontId="14" fillId="0" borderId="3" xfId="4" quotePrefix="1" applyFont="1" applyFill="1" applyBorder="1" applyAlignment="1" applyProtection="1">
      <alignment horizontal="right"/>
    </xf>
    <xf numFmtId="0" fontId="8" fillId="0" borderId="0" xfId="2" applyFont="1" applyAlignment="1" applyProtection="1">
      <alignment horizontal="right" vertical="top"/>
    </xf>
    <xf numFmtId="0" fontId="8" fillId="0" borderId="0" xfId="2" applyFont="1" applyAlignment="1" applyProtection="1">
      <alignment horizontal="left" vertical="top"/>
    </xf>
    <xf numFmtId="0" fontId="8" fillId="0" borderId="5" xfId="2" applyFont="1" applyBorder="1" applyProtection="1"/>
    <xf numFmtId="164" fontId="8" fillId="0" borderId="6" xfId="2" applyNumberFormat="1" applyFont="1" applyBorder="1" applyProtection="1"/>
    <xf numFmtId="164" fontId="11" fillId="0" borderId="6" xfId="2" applyNumberFormat="1" applyFont="1" applyBorder="1" applyProtection="1"/>
    <xf numFmtId="164" fontId="11" fillId="0" borderId="6" xfId="2" applyNumberFormat="1" applyFont="1" applyFill="1" applyBorder="1" applyProtection="1"/>
    <xf numFmtId="164" fontId="11" fillId="0" borderId="20" xfId="2" applyNumberFormat="1" applyFont="1" applyFill="1" applyBorder="1" applyProtection="1"/>
    <xf numFmtId="0" fontId="8" fillId="0" borderId="0" xfId="2" applyFont="1" applyProtection="1">
      <protection locked="0"/>
    </xf>
    <xf numFmtId="0" fontId="8" fillId="0" borderId="0" xfId="2" applyFont="1" applyBorder="1" applyProtection="1"/>
    <xf numFmtId="164" fontId="8" fillId="0" borderId="0" xfId="2" applyNumberFormat="1" applyFont="1" applyBorder="1" applyProtection="1"/>
    <xf numFmtId="164" fontId="0" fillId="2" borderId="0" xfId="0" applyNumberFormat="1" applyFill="1"/>
    <xf numFmtId="0" fontId="8" fillId="0" borderId="0" xfId="2" applyFont="1" applyProtection="1"/>
    <xf numFmtId="164" fontId="26" fillId="2" borderId="0" xfId="0" applyNumberFormat="1" applyFont="1" applyFill="1"/>
    <xf numFmtId="0" fontId="13" fillId="0" borderId="0" xfId="2" applyFont="1" applyProtection="1"/>
    <xf numFmtId="0" fontId="5" fillId="0" borderId="0" xfId="2" applyFont="1" applyAlignment="1" applyProtection="1">
      <alignment horizontal="right" vertical="top" wrapText="1"/>
    </xf>
    <xf numFmtId="0" fontId="5" fillId="0" borderId="0" xfId="2" applyFont="1" applyAlignment="1" applyProtection="1">
      <alignment horizontal="left" vertical="top" wrapText="1"/>
    </xf>
    <xf numFmtId="0" fontId="8" fillId="0" borderId="0" xfId="2" applyFont="1" applyBorder="1" applyAlignment="1" applyProtection="1">
      <alignment horizontal="left" vertical="top"/>
    </xf>
    <xf numFmtId="0" fontId="8" fillId="0" borderId="0" xfId="2" applyFont="1" applyBorder="1" applyAlignment="1" applyProtection="1">
      <alignment horizontal="right" vertical="top"/>
    </xf>
    <xf numFmtId="174" fontId="8" fillId="0" borderId="0" xfId="6" applyNumberFormat="1" applyFont="1" applyFill="1" applyBorder="1" applyProtection="1">
      <protection locked="0"/>
    </xf>
    <xf numFmtId="174" fontId="8" fillId="0" borderId="0" xfId="2" applyNumberFormat="1" applyFont="1" applyFill="1" applyBorder="1" applyAlignment="1" applyProtection="1">
      <alignment horizontal="center"/>
      <protection locked="0"/>
    </xf>
    <xf numFmtId="0" fontId="13" fillId="0" borderId="0" xfId="2" applyFont="1" applyAlignment="1" applyProtection="1">
      <alignment horizontal="right" vertical="top"/>
    </xf>
    <xf numFmtId="0" fontId="7" fillId="0" borderId="0" xfId="2" applyFont="1" applyAlignment="1" applyProtection="1">
      <alignment horizontal="right" vertical="top"/>
    </xf>
    <xf numFmtId="0" fontId="18" fillId="0" borderId="0" xfId="2" applyFont="1" applyAlignment="1" applyProtection="1">
      <alignment horizontal="left" vertical="top"/>
    </xf>
    <xf numFmtId="0" fontId="18" fillId="0" borderId="0" xfId="2" applyFont="1" applyAlignment="1" applyProtection="1">
      <alignment horizontal="right" vertical="top"/>
    </xf>
    <xf numFmtId="0" fontId="17" fillId="0" borderId="0" xfId="2" applyFont="1" applyProtection="1">
      <protection locked="0"/>
    </xf>
    <xf numFmtId="0" fontId="4" fillId="0" borderId="0" xfId="2" applyFont="1" applyProtection="1">
      <protection locked="0"/>
    </xf>
    <xf numFmtId="0" fontId="15" fillId="0" borderId="0" xfId="2" applyFont="1" applyAlignment="1" applyProtection="1">
      <alignment horizontal="right" vertical="top"/>
    </xf>
    <xf numFmtId="0" fontId="17" fillId="0" borderId="0" xfId="2" applyFont="1" applyAlignment="1" applyProtection="1">
      <alignment horizontal="left" vertical="top"/>
    </xf>
    <xf numFmtId="0" fontId="17" fillId="0" borderId="0" xfId="2" applyFont="1" applyAlignment="1" applyProtection="1">
      <alignment horizontal="right" vertical="top"/>
    </xf>
    <xf numFmtId="0" fontId="17" fillId="0" borderId="18" xfId="2" applyFont="1" applyFill="1" applyBorder="1" applyAlignment="1" applyProtection="1">
      <alignment horizontal="right" vertical="top" wrapText="1"/>
    </xf>
    <xf numFmtId="0" fontId="17" fillId="0" borderId="0" xfId="2" applyFont="1" applyFill="1" applyBorder="1" applyAlignment="1" applyProtection="1">
      <alignment horizontal="right" vertical="top" wrapText="1"/>
    </xf>
    <xf numFmtId="17" fontId="17" fillId="0" borderId="19" xfId="2" applyNumberFormat="1" applyFont="1" applyFill="1" applyBorder="1" applyAlignment="1" applyProtection="1">
      <alignment horizontal="right" vertical="top" wrapText="1"/>
    </xf>
    <xf numFmtId="0" fontId="17" fillId="3" borderId="18" xfId="2" applyFont="1" applyFill="1" applyBorder="1" applyAlignment="1" applyProtection="1">
      <alignment horizontal="right" vertical="top" wrapText="1"/>
    </xf>
    <xf numFmtId="0" fontId="17" fillId="3" borderId="0" xfId="2" applyFont="1" applyFill="1" applyBorder="1" applyAlignment="1" applyProtection="1">
      <alignment horizontal="right" vertical="top" wrapText="1"/>
    </xf>
    <xf numFmtId="17" fontId="17" fillId="3" borderId="19" xfId="2" applyNumberFormat="1" applyFont="1" applyFill="1" applyBorder="1" applyAlignment="1" applyProtection="1">
      <alignment horizontal="right" vertical="top" wrapText="1"/>
    </xf>
    <xf numFmtId="0" fontId="15" fillId="0" borderId="0" xfId="2" applyFont="1" applyBorder="1" applyAlignment="1" applyProtection="1">
      <alignment horizontal="right" vertical="top"/>
    </xf>
    <xf numFmtId="0" fontId="17" fillId="0" borderId="0" xfId="2" applyFont="1" applyBorder="1" applyProtection="1">
      <protection locked="0"/>
    </xf>
    <xf numFmtId="0" fontId="18" fillId="0" borderId="0" xfId="2" applyFont="1" applyBorder="1" applyAlignment="1" applyProtection="1">
      <alignment horizontal="left" vertical="top" wrapText="1"/>
    </xf>
    <xf numFmtId="164" fontId="18" fillId="0" borderId="18" xfId="2" applyNumberFormat="1" applyFont="1" applyBorder="1" applyProtection="1">
      <protection locked="0"/>
    </xf>
    <xf numFmtId="164" fontId="18" fillId="0" borderId="0" xfId="2" applyNumberFormat="1" applyFont="1" applyBorder="1" applyProtection="1">
      <protection locked="0"/>
    </xf>
    <xf numFmtId="164" fontId="18" fillId="0" borderId="19" xfId="2" applyNumberFormat="1" applyFont="1" applyBorder="1" applyProtection="1">
      <protection locked="0"/>
    </xf>
    <xf numFmtId="164" fontId="18" fillId="3" borderId="18" xfId="2" applyNumberFormat="1" applyFont="1" applyFill="1" applyBorder="1" applyProtection="1">
      <protection locked="0"/>
    </xf>
    <xf numFmtId="164" fontId="18" fillId="3" borderId="0" xfId="2" applyNumberFormat="1" applyFont="1" applyFill="1" applyBorder="1" applyProtection="1">
      <protection locked="0"/>
    </xf>
    <xf numFmtId="164" fontId="18" fillId="3" borderId="19" xfId="2" applyNumberFormat="1" applyFont="1" applyFill="1" applyBorder="1" applyProtection="1">
      <protection locked="0"/>
    </xf>
    <xf numFmtId="0" fontId="4" fillId="0" borderId="0" xfId="2" applyFont="1" applyBorder="1" applyProtection="1">
      <protection locked="0"/>
    </xf>
    <xf numFmtId="0" fontId="19" fillId="0" borderId="0" xfId="2" applyFont="1" applyAlignment="1" applyProtection="1">
      <alignment horizontal="left" vertical="top"/>
    </xf>
    <xf numFmtId="0" fontId="19" fillId="0" borderId="0" xfId="2" applyFont="1" applyAlignment="1" applyProtection="1">
      <alignment horizontal="right" vertical="top"/>
    </xf>
    <xf numFmtId="0" fontId="19" fillId="0" borderId="0" xfId="2" applyFont="1" applyProtection="1">
      <protection locked="0"/>
    </xf>
    <xf numFmtId="164" fontId="18" fillId="0" borderId="0" xfId="2" applyNumberFormat="1" applyFont="1" applyFill="1" applyAlignment="1" applyProtection="1">
      <alignment horizontal="center"/>
      <protection locked="0"/>
    </xf>
    <xf numFmtId="164" fontId="19" fillId="2" borderId="0" xfId="0" applyNumberFormat="1" applyFont="1" applyFill="1" applyAlignment="1">
      <alignment horizontal="center"/>
    </xf>
    <xf numFmtId="0" fontId="17" fillId="0" borderId="0" xfId="2" applyFont="1" applyFill="1" applyProtection="1">
      <protection locked="0"/>
    </xf>
    <xf numFmtId="0" fontId="6" fillId="2" borderId="0" xfId="2" applyFont="1" applyFill="1" applyBorder="1" applyAlignment="1" applyProtection="1">
      <alignment horizontal="left" vertical="top"/>
      <protection locked="0"/>
    </xf>
    <xf numFmtId="0" fontId="0" fillId="0" borderId="0" xfId="0" applyAlignment="1">
      <alignment horizontal="center"/>
    </xf>
    <xf numFmtId="0" fontId="8" fillId="0" borderId="4" xfId="2" applyFont="1" applyBorder="1" applyProtection="1"/>
    <xf numFmtId="170" fontId="7" fillId="0" borderId="2" xfId="2" applyNumberFormat="1" applyFont="1" applyBorder="1" applyAlignment="1" applyProtection="1">
      <alignment horizontal="right"/>
    </xf>
    <xf numFmtId="170" fontId="14" fillId="2" borderId="2" xfId="2" applyNumberFormat="1" applyFont="1" applyFill="1" applyBorder="1" applyAlignment="1" applyProtection="1">
      <alignment horizontal="right"/>
    </xf>
    <xf numFmtId="170" fontId="14" fillId="2" borderId="2" xfId="2" quotePrefix="1" applyNumberFormat="1" applyFont="1" applyFill="1" applyBorder="1" applyAlignment="1" applyProtection="1">
      <alignment horizontal="right"/>
    </xf>
    <xf numFmtId="170" fontId="14" fillId="2" borderId="3" xfId="2" quotePrefix="1" applyNumberFormat="1" applyFont="1" applyFill="1" applyBorder="1" applyAlignment="1" applyProtection="1">
      <alignment horizontal="right"/>
    </xf>
    <xf numFmtId="0" fontId="8" fillId="0" borderId="5" xfId="2" applyFont="1" applyBorder="1" applyAlignment="1" applyProtection="1">
      <alignment horizontal="left" wrapText="1"/>
    </xf>
    <xf numFmtId="0" fontId="11" fillId="0" borderId="2" xfId="0" applyFont="1" applyBorder="1"/>
    <xf numFmtId="0" fontId="11" fillId="2" borderId="2" xfId="0" applyFont="1" applyFill="1" applyBorder="1"/>
    <xf numFmtId="0" fontId="11" fillId="2" borderId="3" xfId="0" applyFont="1" applyFill="1" applyBorder="1"/>
    <xf numFmtId="0" fontId="8" fillId="0" borderId="0" xfId="2" applyFont="1" applyBorder="1" applyAlignment="1" applyProtection="1">
      <alignment wrapText="1"/>
    </xf>
    <xf numFmtId="1" fontId="8" fillId="0" borderId="0" xfId="2" applyNumberFormat="1" applyFont="1" applyBorder="1" applyProtection="1"/>
    <xf numFmtId="0" fontId="5" fillId="0" borderId="0" xfId="2" applyFont="1" applyBorder="1" applyProtection="1"/>
    <xf numFmtId="1" fontId="8" fillId="0" borderId="0" xfId="2" applyNumberFormat="1" applyFont="1" applyProtection="1"/>
    <xf numFmtId="0" fontId="0" fillId="0" borderId="0" xfId="0" applyFill="1" applyAlignment="1">
      <alignment horizontal="center"/>
    </xf>
    <xf numFmtId="17" fontId="1" fillId="0" borderId="0" xfId="2" applyNumberFormat="1" applyFont="1" applyProtection="1">
      <protection locked="0"/>
    </xf>
    <xf numFmtId="17" fontId="1" fillId="2" borderId="0" xfId="2" applyNumberFormat="1" applyFont="1" applyFill="1" applyProtection="1">
      <protection locked="0"/>
    </xf>
    <xf numFmtId="1" fontId="1" fillId="0" borderId="0" xfId="2" applyNumberFormat="1" applyFont="1" applyProtection="1">
      <protection locked="0"/>
    </xf>
    <xf numFmtId="17" fontId="8" fillId="0" borderId="0" xfId="2" applyNumberFormat="1" applyFont="1" applyProtection="1">
      <protection locked="0"/>
    </xf>
    <xf numFmtId="0" fontId="31" fillId="0" borderId="0" xfId="2" applyFont="1" applyProtection="1">
      <protection locked="0"/>
    </xf>
    <xf numFmtId="0" fontId="19" fillId="2" borderId="0" xfId="2" applyFont="1" applyFill="1" applyProtection="1">
      <protection locked="0"/>
    </xf>
    <xf numFmtId="17" fontId="17" fillId="0" borderId="0" xfId="2" applyNumberFormat="1" applyFont="1" applyFill="1" applyBorder="1" applyAlignment="1" applyProtection="1">
      <alignment horizontal="right" vertical="top" wrapText="1"/>
    </xf>
    <xf numFmtId="17" fontId="17" fillId="2" borderId="0" xfId="2" applyNumberFormat="1" applyFont="1" applyFill="1" applyBorder="1" applyAlignment="1" applyProtection="1">
      <alignment horizontal="right" vertical="top" wrapText="1"/>
    </xf>
    <xf numFmtId="0" fontId="17" fillId="2" borderId="0" xfId="2" applyFont="1" applyFill="1" applyBorder="1" applyAlignment="1" applyProtection="1">
      <alignment horizontal="right" vertical="top" wrapText="1"/>
    </xf>
    <xf numFmtId="0" fontId="17" fillId="0" borderId="0" xfId="2" applyFont="1" applyAlignment="1" applyProtection="1">
      <alignment horizontal="right"/>
      <protection locked="0"/>
    </xf>
    <xf numFmtId="0" fontId="19" fillId="0" borderId="0" xfId="2" applyFont="1" applyAlignment="1" applyProtection="1">
      <alignment horizontal="right"/>
      <protection locked="0"/>
    </xf>
    <xf numFmtId="0" fontId="8" fillId="0" borderId="6" xfId="2" applyFont="1" applyBorder="1" applyAlignment="1" applyProtection="1">
      <alignment horizontal="left" vertical="top" wrapText="1"/>
    </xf>
    <xf numFmtId="0" fontId="18" fillId="0" borderId="0" xfId="2" applyFont="1" applyBorder="1" applyAlignment="1" applyProtection="1">
      <alignment horizontal="right" vertical="top" wrapText="1"/>
    </xf>
    <xf numFmtId="0" fontId="17" fillId="2" borderId="18" xfId="2" applyFont="1" applyFill="1" applyBorder="1" applyAlignment="1" applyProtection="1">
      <alignment horizontal="right" vertical="top" wrapText="1"/>
    </xf>
    <xf numFmtId="1" fontId="19" fillId="0" borderId="0" xfId="2" applyNumberFormat="1" applyFont="1" applyProtection="1">
      <protection locked="0"/>
    </xf>
    <xf numFmtId="1" fontId="17" fillId="0" borderId="5" xfId="2" applyNumberFormat="1" applyFont="1" applyBorder="1" applyProtection="1">
      <protection locked="0"/>
    </xf>
    <xf numFmtId="1" fontId="17" fillId="0" borderId="6" xfId="2" applyNumberFormat="1" applyFont="1" applyBorder="1" applyProtection="1">
      <protection locked="0"/>
    </xf>
    <xf numFmtId="1" fontId="17" fillId="0" borderId="20" xfId="2" applyNumberFormat="1" applyFont="1" applyBorder="1" applyProtection="1">
      <protection locked="0"/>
    </xf>
    <xf numFmtId="1" fontId="17" fillId="2" borderId="5" xfId="2" applyNumberFormat="1" applyFont="1" applyFill="1" applyBorder="1" applyProtection="1">
      <protection locked="0"/>
    </xf>
    <xf numFmtId="1" fontId="17" fillId="2" borderId="6" xfId="2" applyNumberFormat="1" applyFont="1" applyFill="1" applyBorder="1" applyProtection="1">
      <protection locked="0"/>
    </xf>
    <xf numFmtId="1" fontId="17" fillId="0" borderId="30" xfId="2" applyNumberFormat="1" applyFont="1" applyBorder="1" applyProtection="1">
      <protection locked="0"/>
    </xf>
    <xf numFmtId="1" fontId="19" fillId="2" borderId="0" xfId="0" applyNumberFormat="1" applyFont="1" applyFill="1" applyAlignment="1">
      <alignment horizontal="center"/>
    </xf>
    <xf numFmtId="1" fontId="0" fillId="2" borderId="0" xfId="0" applyNumberFormat="1" applyFill="1" applyAlignment="1">
      <alignment horizontal="center"/>
    </xf>
    <xf numFmtId="0" fontId="0" fillId="2" borderId="0" xfId="0" applyFill="1" applyAlignment="1">
      <alignment horizontal="center"/>
    </xf>
    <xf numFmtId="0" fontId="4" fillId="0" borderId="0" xfId="2" applyFont="1" applyFill="1" applyBorder="1" applyAlignment="1" applyProtection="1">
      <alignment vertical="top"/>
    </xf>
    <xf numFmtId="0" fontId="1" fillId="0" borderId="0" xfId="2" applyFont="1" applyFill="1" applyAlignment="1" applyProtection="1">
      <protection locked="0"/>
    </xf>
    <xf numFmtId="0" fontId="38" fillId="0" borderId="0" xfId="2" applyFont="1" applyFill="1" applyBorder="1" applyAlignment="1" applyProtection="1">
      <alignment wrapText="1"/>
    </xf>
    <xf numFmtId="3" fontId="8" fillId="0" borderId="0" xfId="2" applyNumberFormat="1" applyFont="1" applyFill="1" applyBorder="1" applyAlignment="1" applyProtection="1">
      <alignment wrapText="1"/>
    </xf>
    <xf numFmtId="3" fontId="8" fillId="0" borderId="0" xfId="2" applyNumberFormat="1" applyFont="1" applyFill="1" applyBorder="1" applyProtection="1"/>
    <xf numFmtId="0" fontId="7" fillId="0" borderId="0" xfId="2" applyFont="1" applyFill="1" applyBorder="1" applyAlignment="1" applyProtection="1">
      <alignment horizontal="right"/>
    </xf>
    <xf numFmtId="0" fontId="7" fillId="0" borderId="0" xfId="2" applyFont="1" applyFill="1" applyBorder="1" applyProtection="1"/>
    <xf numFmtId="0" fontId="31" fillId="0" borderId="0" xfId="2" applyFont="1" applyFill="1" applyAlignment="1" applyProtection="1">
      <alignment horizontal="right" vertical="top"/>
    </xf>
    <xf numFmtId="0" fontId="7" fillId="0" borderId="31" xfId="8" applyFont="1" applyBorder="1" applyAlignment="1" applyProtection="1">
      <alignment horizontal="right"/>
    </xf>
    <xf numFmtId="49" fontId="7" fillId="0" borderId="31" xfId="8" applyNumberFormat="1" applyFont="1" applyBorder="1" applyAlignment="1" applyProtection="1">
      <alignment horizontal="right"/>
    </xf>
    <xf numFmtId="49" fontId="7" fillId="7" borderId="31" xfId="8" applyNumberFormat="1" applyFont="1" applyFill="1" applyBorder="1" applyAlignment="1" applyProtection="1">
      <alignment horizontal="right"/>
    </xf>
    <xf numFmtId="49" fontId="7" fillId="8" borderId="31" xfId="8" applyNumberFormat="1" applyFont="1" applyFill="1" applyBorder="1" applyAlignment="1" applyProtection="1">
      <alignment horizontal="right"/>
    </xf>
    <xf numFmtId="49" fontId="14" fillId="0" borderId="31" xfId="8" applyNumberFormat="1" applyFont="1" applyFill="1" applyBorder="1" applyAlignment="1" applyProtection="1">
      <alignment horizontal="right"/>
    </xf>
    <xf numFmtId="49" fontId="14" fillId="0" borderId="32" xfId="8" applyNumberFormat="1" applyFont="1" applyFill="1" applyBorder="1" applyAlignment="1" applyProtection="1">
      <alignment horizontal="right"/>
    </xf>
    <xf numFmtId="0" fontId="8" fillId="0" borderId="0" xfId="8" applyFont="1" applyBorder="1" applyAlignment="1" applyProtection="1">
      <alignment horizontal="right"/>
    </xf>
    <xf numFmtId="175" fontId="8" fillId="0" borderId="0" xfId="8" applyNumberFormat="1" applyFont="1" applyBorder="1" applyAlignment="1" applyProtection="1">
      <alignment horizontal="right"/>
    </xf>
    <xf numFmtId="175" fontId="8" fillId="7" borderId="0" xfId="8" applyNumberFormat="1" applyFont="1" applyFill="1" applyBorder="1" applyAlignment="1" applyProtection="1">
      <alignment horizontal="right"/>
    </xf>
    <xf numFmtId="175" fontId="8" fillId="8" borderId="0" xfId="8" applyNumberFormat="1" applyFont="1" applyFill="1" applyBorder="1" applyAlignment="1" applyProtection="1">
      <alignment horizontal="right"/>
    </xf>
    <xf numFmtId="3" fontId="8" fillId="8" borderId="0" xfId="8" applyNumberFormat="1" applyFont="1" applyFill="1" applyBorder="1" applyAlignment="1" applyProtection="1">
      <alignment horizontal="right"/>
    </xf>
    <xf numFmtId="175" fontId="8" fillId="0" borderId="0" xfId="8" applyNumberFormat="1" applyFont="1" applyFill="1" applyBorder="1" applyAlignment="1" applyProtection="1">
      <alignment horizontal="right"/>
    </xf>
    <xf numFmtId="175" fontId="8" fillId="0" borderId="0" xfId="2" applyNumberFormat="1" applyFont="1" applyFill="1" applyBorder="1" applyProtection="1">
      <protection locked="0"/>
    </xf>
    <xf numFmtId="0" fontId="8" fillId="0" borderId="33" xfId="2" applyFont="1" applyFill="1" applyBorder="1" applyProtection="1"/>
    <xf numFmtId="0" fontId="8" fillId="0" borderId="34" xfId="8" applyFont="1" applyBorder="1" applyAlignment="1" applyProtection="1">
      <alignment horizontal="right"/>
    </xf>
    <xf numFmtId="175" fontId="8" fillId="0" borderId="34" xfId="8" applyNumberFormat="1" applyFont="1" applyBorder="1" applyAlignment="1" applyProtection="1">
      <alignment horizontal="right"/>
    </xf>
    <xf numFmtId="175" fontId="8" fillId="7" borderId="34" xfId="8" applyNumberFormat="1" applyFont="1" applyFill="1" applyBorder="1" applyAlignment="1" applyProtection="1">
      <alignment horizontal="right"/>
    </xf>
    <xf numFmtId="175" fontId="8" fillId="8" borderId="34" xfId="8" applyNumberFormat="1" applyFont="1" applyFill="1" applyBorder="1" applyAlignment="1" applyProtection="1">
      <alignment horizontal="right"/>
    </xf>
    <xf numFmtId="3" fontId="8" fillId="8" borderId="34" xfId="8" applyNumberFormat="1" applyFont="1" applyFill="1" applyBorder="1" applyAlignment="1" applyProtection="1">
      <alignment horizontal="right"/>
    </xf>
    <xf numFmtId="175" fontId="8" fillId="0" borderId="34" xfId="8" applyNumberFormat="1" applyFont="1" applyFill="1" applyBorder="1" applyAlignment="1" applyProtection="1">
      <alignment horizontal="right"/>
    </xf>
    <xf numFmtId="0" fontId="7" fillId="0" borderId="18" xfId="2" applyFont="1" applyFill="1" applyBorder="1" applyProtection="1"/>
    <xf numFmtId="175" fontId="7" fillId="0" borderId="0" xfId="8" applyNumberFormat="1" applyFont="1" applyBorder="1" applyAlignment="1" applyProtection="1">
      <alignment horizontal="right"/>
    </xf>
    <xf numFmtId="175" fontId="7" fillId="7" borderId="0" xfId="8" applyNumberFormat="1" applyFont="1" applyFill="1" applyBorder="1" applyAlignment="1" applyProtection="1">
      <alignment horizontal="right"/>
    </xf>
    <xf numFmtId="175" fontId="7" fillId="8" borderId="0" xfId="8" applyNumberFormat="1" applyFont="1" applyFill="1" applyBorder="1" applyAlignment="1" applyProtection="1">
      <alignment horizontal="right"/>
    </xf>
    <xf numFmtId="3" fontId="7" fillId="8" borderId="0" xfId="8" applyNumberFormat="1" applyFont="1" applyFill="1" applyBorder="1" applyAlignment="1" applyProtection="1">
      <alignment horizontal="right"/>
    </xf>
    <xf numFmtId="175" fontId="7" fillId="0" borderId="0" xfId="8" applyNumberFormat="1" applyFont="1" applyFill="1" applyBorder="1" applyAlignment="1" applyProtection="1">
      <alignment horizontal="right"/>
    </xf>
    <xf numFmtId="2" fontId="8" fillId="0" borderId="0" xfId="8" applyNumberFormat="1" applyFont="1" applyBorder="1" applyAlignment="1" applyProtection="1">
      <alignment horizontal="right"/>
    </xf>
    <xf numFmtId="0" fontId="8" fillId="7" borderId="0" xfId="8" applyFont="1" applyFill="1" applyBorder="1" applyAlignment="1" applyProtection="1">
      <alignment horizontal="right"/>
    </xf>
    <xf numFmtId="0" fontId="8" fillId="8" borderId="0" xfId="8" applyFont="1" applyFill="1" applyBorder="1" applyAlignment="1" applyProtection="1">
      <alignment horizontal="right"/>
    </xf>
    <xf numFmtId="2" fontId="8" fillId="0" borderId="0" xfId="8" applyNumberFormat="1" applyFont="1" applyFill="1" applyBorder="1" applyAlignment="1" applyProtection="1">
      <alignment horizontal="right"/>
    </xf>
    <xf numFmtId="2" fontId="8" fillId="0" borderId="19" xfId="8" applyNumberFormat="1" applyFont="1" applyFill="1" applyBorder="1" applyAlignment="1" applyProtection="1">
      <alignment horizontal="right"/>
    </xf>
    <xf numFmtId="0" fontId="8" fillId="0" borderId="35" xfId="2" applyFont="1" applyFill="1" applyBorder="1" applyProtection="1"/>
    <xf numFmtId="0" fontId="8" fillId="0" borderId="36" xfId="8" applyFont="1" applyBorder="1" applyAlignment="1" applyProtection="1">
      <alignment horizontal="right"/>
    </xf>
    <xf numFmtId="175" fontId="8" fillId="0" borderId="36" xfId="8" applyNumberFormat="1" applyFont="1" applyBorder="1" applyAlignment="1" applyProtection="1">
      <alignment horizontal="right"/>
    </xf>
    <xf numFmtId="175" fontId="8" fillId="7" borderId="36" xfId="8" applyNumberFormat="1" applyFont="1" applyFill="1" applyBorder="1" applyAlignment="1" applyProtection="1">
      <alignment horizontal="right"/>
    </xf>
    <xf numFmtId="175" fontId="8" fillId="8" borderId="36" xfId="8" applyNumberFormat="1" applyFont="1" applyFill="1" applyBorder="1" applyAlignment="1" applyProtection="1">
      <alignment horizontal="right"/>
    </xf>
    <xf numFmtId="3" fontId="8" fillId="8" borderId="36" xfId="8" applyNumberFormat="1" applyFont="1" applyFill="1" applyBorder="1" applyAlignment="1" applyProtection="1">
      <alignment horizontal="right"/>
    </xf>
    <xf numFmtId="175" fontId="8" fillId="0" borderId="36" xfId="8" applyNumberFormat="1" applyFont="1" applyFill="1" applyBorder="1" applyAlignment="1" applyProtection="1">
      <alignment horizontal="right"/>
    </xf>
    <xf numFmtId="0" fontId="8" fillId="0" borderId="37" xfId="2" applyFont="1" applyFill="1" applyBorder="1" applyProtection="1"/>
    <xf numFmtId="0" fontId="8" fillId="0" borderId="38" xfId="8" applyFont="1" applyBorder="1" applyAlignment="1" applyProtection="1">
      <alignment horizontal="right"/>
    </xf>
    <xf numFmtId="175" fontId="8" fillId="0" borderId="38" xfId="8" applyNumberFormat="1" applyFont="1" applyBorder="1" applyAlignment="1" applyProtection="1">
      <alignment horizontal="right"/>
    </xf>
    <xf numFmtId="175" fontId="8" fillId="7" borderId="38" xfId="8" applyNumberFormat="1" applyFont="1" applyFill="1" applyBorder="1" applyAlignment="1" applyProtection="1">
      <alignment horizontal="right"/>
    </xf>
    <xf numFmtId="175" fontId="8" fillId="8" borderId="38" xfId="8" applyNumberFormat="1" applyFont="1" applyFill="1" applyBorder="1" applyAlignment="1" applyProtection="1">
      <alignment horizontal="right"/>
    </xf>
    <xf numFmtId="3" fontId="8" fillId="8" borderId="38" xfId="8" applyNumberFormat="1" applyFont="1" applyFill="1" applyBorder="1" applyAlignment="1" applyProtection="1">
      <alignment horizontal="right"/>
    </xf>
    <xf numFmtId="175" fontId="8" fillId="0" borderId="38" xfId="8" applyNumberFormat="1" applyFont="1" applyFill="1" applyBorder="1" applyAlignment="1" applyProtection="1">
      <alignment horizontal="right"/>
    </xf>
    <xf numFmtId="0" fontId="8" fillId="0" borderId="39" xfId="2" applyFont="1" applyFill="1" applyBorder="1" applyProtection="1"/>
    <xf numFmtId="0" fontId="8" fillId="0" borderId="40" xfId="8" applyFont="1" applyBorder="1" applyAlignment="1" applyProtection="1">
      <alignment horizontal="right"/>
    </xf>
    <xf numFmtId="0" fontId="8" fillId="7" borderId="40" xfId="8" applyFont="1" applyFill="1" applyBorder="1" applyAlignment="1" applyProtection="1">
      <alignment horizontal="right"/>
    </xf>
    <xf numFmtId="0" fontId="8" fillId="8" borderId="40" xfId="8" applyFont="1" applyFill="1" applyBorder="1" applyAlignment="1" applyProtection="1">
      <alignment horizontal="right"/>
    </xf>
    <xf numFmtId="0" fontId="8" fillId="8" borderId="40" xfId="8" applyNumberFormat="1" applyFont="1" applyFill="1" applyBorder="1" applyAlignment="1" applyProtection="1">
      <alignment horizontal="right"/>
    </xf>
    <xf numFmtId="0" fontId="8" fillId="0" borderId="40" xfId="8" applyFont="1" applyFill="1" applyBorder="1" applyAlignment="1" applyProtection="1">
      <alignment horizontal="right"/>
    </xf>
    <xf numFmtId="175" fontId="1" fillId="0" borderId="0" xfId="2" applyNumberFormat="1" applyFont="1" applyFill="1" applyBorder="1" applyProtection="1">
      <protection locked="0"/>
    </xf>
    <xf numFmtId="0" fontId="7" fillId="0" borderId="0" xfId="9" applyFont="1" applyBorder="1"/>
    <xf numFmtId="176" fontId="7" fillId="0" borderId="0" xfId="9" applyNumberFormat="1" applyFont="1" applyBorder="1" applyAlignment="1">
      <alignment horizontal="right"/>
    </xf>
    <xf numFmtId="169" fontId="8" fillId="0" borderId="0" xfId="9" applyNumberFormat="1" applyFont="1" applyBorder="1" applyAlignment="1">
      <alignment horizontal="right"/>
    </xf>
    <xf numFmtId="0" fontId="1" fillId="0" borderId="0" xfId="2" applyFont="1" applyBorder="1" applyAlignment="1"/>
    <xf numFmtId="0" fontId="8" fillId="0" borderId="0" xfId="9" applyFont="1" applyBorder="1"/>
    <xf numFmtId="176" fontId="8" fillId="0" borderId="0" xfId="9" applyNumberFormat="1" applyFont="1" applyBorder="1"/>
    <xf numFmtId="177" fontId="8" fillId="0" borderId="0" xfId="9" applyNumberFormat="1" applyFont="1" applyBorder="1"/>
    <xf numFmtId="164" fontId="8" fillId="0" borderId="0" xfId="9" applyNumberFormat="1" applyFont="1" applyBorder="1"/>
    <xf numFmtId="0" fontId="4" fillId="0" borderId="0" xfId="2" applyNumberFormat="1" applyFont="1" applyFill="1" applyBorder="1" applyAlignment="1" applyProtection="1">
      <alignment vertical="top" wrapText="1"/>
    </xf>
    <xf numFmtId="0" fontId="25" fillId="0" borderId="0" xfId="0" applyFont="1"/>
    <xf numFmtId="0" fontId="4" fillId="0" borderId="16" xfId="2" applyNumberFormat="1" applyFont="1" applyFill="1" applyBorder="1" applyAlignment="1" applyProtection="1">
      <alignment vertical="top" wrapText="1"/>
    </xf>
    <xf numFmtId="0" fontId="4" fillId="0" borderId="17" xfId="2" applyNumberFormat="1" applyFont="1" applyFill="1" applyBorder="1" applyAlignment="1" applyProtection="1">
      <alignment vertical="top" wrapText="1"/>
    </xf>
    <xf numFmtId="0" fontId="4" fillId="0" borderId="0" xfId="2" applyFont="1" applyFill="1" applyBorder="1" applyAlignment="1" applyProtection="1">
      <alignment vertical="top" wrapText="1"/>
    </xf>
    <xf numFmtId="0" fontId="5" fillId="0" borderId="0" xfId="2" applyFont="1" applyFill="1" applyAlignment="1" applyProtection="1">
      <alignment horizontal="right"/>
    </xf>
    <xf numFmtId="0" fontId="5" fillId="0" borderId="0" xfId="2" applyFont="1" applyFill="1" applyAlignment="1" applyProtection="1">
      <alignment horizontal="left"/>
    </xf>
    <xf numFmtId="164" fontId="5" fillId="0" borderId="0" xfId="3" applyNumberFormat="1" applyFont="1" applyFill="1" applyAlignment="1" applyProtection="1">
      <alignment horizontal="right" vertical="top"/>
      <protection locked="0"/>
    </xf>
    <xf numFmtId="0" fontId="1" fillId="0" borderId="0" xfId="3" applyFont="1" applyFill="1" applyAlignment="1" applyProtection="1">
      <alignment horizontal="left" vertical="top"/>
      <protection locked="0"/>
    </xf>
    <xf numFmtId="0" fontId="1" fillId="0" borderId="0" xfId="3" applyFont="1" applyFill="1" applyAlignment="1" applyProtection="1">
      <alignment horizontal="right" vertical="top"/>
      <protection locked="0"/>
    </xf>
    <xf numFmtId="0" fontId="1" fillId="0" borderId="0" xfId="3" applyFont="1" applyFill="1" applyProtection="1">
      <protection locked="0"/>
    </xf>
    <xf numFmtId="0" fontId="5" fillId="0" borderId="0" xfId="3" applyFont="1" applyFill="1" applyAlignment="1" applyProtection="1">
      <alignment horizontal="right" vertical="top"/>
      <protection locked="0"/>
    </xf>
    <xf numFmtId="0" fontId="5" fillId="0" borderId="0" xfId="3" applyFont="1" applyFill="1" applyAlignment="1" applyProtection="1">
      <alignment horizontal="left" vertical="top"/>
      <protection locked="0"/>
    </xf>
    <xf numFmtId="0" fontId="1" fillId="0" borderId="0" xfId="3" applyFont="1" applyFill="1" applyAlignment="1" applyProtection="1">
      <protection locked="0"/>
    </xf>
    <xf numFmtId="0" fontId="1" fillId="0" borderId="0" xfId="3" applyFont="1" applyFill="1" applyBorder="1" applyProtection="1">
      <protection locked="0"/>
    </xf>
    <xf numFmtId="0" fontId="5" fillId="0" borderId="0" xfId="3" applyFont="1" applyFill="1" applyBorder="1" applyAlignment="1" applyProtection="1">
      <alignment horizontal="left" vertical="top"/>
      <protection locked="0"/>
    </xf>
    <xf numFmtId="0" fontId="7" fillId="0" borderId="0" xfId="3" applyFont="1" applyFill="1" applyBorder="1" applyAlignment="1" applyProtection="1">
      <protection locked="0"/>
    </xf>
    <xf numFmtId="0" fontId="15" fillId="0" borderId="0" xfId="3" applyFont="1" applyFill="1" applyBorder="1" applyAlignment="1" applyProtection="1">
      <protection locked="0"/>
    </xf>
    <xf numFmtId="0" fontId="8" fillId="0" borderId="0" xfId="3" applyFont="1" applyFill="1" applyBorder="1" applyProtection="1">
      <protection locked="0"/>
    </xf>
    <xf numFmtId="0" fontId="3" fillId="0" borderId="0" xfId="3" applyFont="1" applyFill="1" applyAlignment="1" applyProtection="1">
      <alignment horizontal="left" vertical="top"/>
      <protection locked="0"/>
    </xf>
    <xf numFmtId="0" fontId="3" fillId="0" borderId="0" xfId="3" applyFont="1" applyFill="1" applyAlignment="1" applyProtection="1">
      <alignment horizontal="right" vertical="top"/>
      <protection locked="0"/>
    </xf>
    <xf numFmtId="0" fontId="41" fillId="2" borderId="4" xfId="3" applyFont="1" applyFill="1" applyBorder="1" applyAlignment="1" applyProtection="1">
      <alignment horizontal="left"/>
      <protection locked="0"/>
    </xf>
    <xf numFmtId="0" fontId="7" fillId="2" borderId="2" xfId="3" applyFont="1" applyFill="1" applyBorder="1" applyAlignment="1" applyProtection="1">
      <protection locked="0"/>
    </xf>
    <xf numFmtId="0" fontId="7" fillId="0" borderId="2" xfId="3" applyFont="1" applyFill="1" applyBorder="1" applyAlignment="1" applyProtection="1">
      <protection locked="0"/>
    </xf>
    <xf numFmtId="0" fontId="7" fillId="0" borderId="3" xfId="3" applyFont="1" applyFill="1" applyBorder="1" applyAlignment="1" applyProtection="1">
      <protection locked="0"/>
    </xf>
    <xf numFmtId="0" fontId="3" fillId="0" borderId="0" xfId="3" applyFont="1" applyFill="1" applyBorder="1" applyProtection="1">
      <protection locked="0"/>
    </xf>
    <xf numFmtId="0" fontId="3" fillId="0" borderId="0" xfId="3" applyFont="1" applyFill="1" applyProtection="1">
      <protection locked="0"/>
    </xf>
    <xf numFmtId="0" fontId="23" fillId="2" borderId="18" xfId="0" applyFont="1" applyFill="1" applyBorder="1" applyAlignment="1">
      <alignment wrapText="1"/>
    </xf>
    <xf numFmtId="178" fontId="11" fillId="2" borderId="0" xfId="0" applyNumberFormat="1" applyFont="1" applyFill="1" applyBorder="1"/>
    <xf numFmtId="178" fontId="11" fillId="0" borderId="0" xfId="0" applyNumberFormat="1" applyFont="1" applyFill="1" applyBorder="1"/>
    <xf numFmtId="178" fontId="11" fillId="0" borderId="26" xfId="0" applyNumberFormat="1" applyFont="1" applyFill="1" applyBorder="1"/>
    <xf numFmtId="178" fontId="11" fillId="0" borderId="27" xfId="0" applyNumberFormat="1" applyFont="1" applyFill="1" applyBorder="1"/>
    <xf numFmtId="164" fontId="11" fillId="2" borderId="0" xfId="0" applyNumberFormat="1" applyFont="1" applyFill="1" applyBorder="1"/>
    <xf numFmtId="164" fontId="11" fillId="0" borderId="0" xfId="0" applyNumberFormat="1" applyFont="1" applyFill="1" applyBorder="1"/>
    <xf numFmtId="164" fontId="11" fillId="0" borderId="19" xfId="0" applyNumberFormat="1" applyFont="1" applyFill="1" applyBorder="1"/>
    <xf numFmtId="178" fontId="11" fillId="0" borderId="19" xfId="0" applyNumberFormat="1" applyFont="1" applyFill="1" applyBorder="1"/>
    <xf numFmtId="0" fontId="42" fillId="0" borderId="0" xfId="3" applyFont="1" applyFill="1" applyAlignment="1" applyProtection="1">
      <alignment horizontal="right" vertical="top"/>
      <protection locked="0"/>
    </xf>
    <xf numFmtId="0" fontId="43" fillId="0" borderId="0" xfId="3" applyFont="1" applyFill="1" applyAlignment="1" applyProtection="1">
      <alignment horizontal="left" vertical="top"/>
      <protection locked="0"/>
    </xf>
    <xf numFmtId="0" fontId="43" fillId="0" borderId="0" xfId="3" applyFont="1" applyFill="1" applyAlignment="1" applyProtection="1">
      <alignment horizontal="right" vertical="top"/>
      <protection locked="0"/>
    </xf>
    <xf numFmtId="0" fontId="43" fillId="0" borderId="0" xfId="3" applyFont="1" applyFill="1" applyBorder="1" applyProtection="1">
      <protection locked="0"/>
    </xf>
    <xf numFmtId="0" fontId="43" fillId="0" borderId="0" xfId="3" applyFont="1" applyFill="1" applyProtection="1">
      <protection locked="0"/>
    </xf>
    <xf numFmtId="0" fontId="11" fillId="2" borderId="0" xfId="0" applyFont="1" applyFill="1" applyBorder="1"/>
    <xf numFmtId="0" fontId="23" fillId="2" borderId="5" xfId="0" applyFont="1" applyFill="1" applyBorder="1" applyAlignment="1">
      <alignment wrapText="1"/>
    </xf>
    <xf numFmtId="164" fontId="11" fillId="2" borderId="6" xfId="0" applyNumberFormat="1" applyFont="1" applyFill="1" applyBorder="1"/>
    <xf numFmtId="164" fontId="11" fillId="0" borderId="6" xfId="0" applyNumberFormat="1" applyFont="1" applyFill="1" applyBorder="1"/>
    <xf numFmtId="164" fontId="44" fillId="0" borderId="6" xfId="0" applyNumberFormat="1" applyFont="1" applyFill="1" applyBorder="1"/>
    <xf numFmtId="164" fontId="44" fillId="0" borderId="20" xfId="0" applyNumberFormat="1" applyFont="1" applyFill="1" applyBorder="1"/>
    <xf numFmtId="164" fontId="8" fillId="0" borderId="0" xfId="10" applyNumberFormat="1" applyFont="1" applyFill="1" applyAlignment="1" applyProtection="1">
      <alignment horizontal="center"/>
      <protection locked="0"/>
    </xf>
    <xf numFmtId="0" fontId="0" fillId="2" borderId="0" xfId="0" applyFill="1"/>
    <xf numFmtId="164" fontId="8" fillId="0" borderId="0" xfId="3" applyNumberFormat="1" applyFont="1" applyFill="1" applyBorder="1" applyProtection="1">
      <protection locked="0"/>
    </xf>
    <xf numFmtId="164" fontId="8" fillId="0" borderId="0" xfId="3" applyNumberFormat="1" applyFont="1" applyFill="1" applyBorder="1" applyAlignment="1" applyProtection="1">
      <protection locked="0"/>
    </xf>
    <xf numFmtId="164" fontId="8" fillId="2" borderId="0" xfId="3" applyNumberFormat="1" applyFont="1" applyFill="1" applyBorder="1" applyProtection="1">
      <protection locked="0"/>
    </xf>
    <xf numFmtId="0" fontId="5" fillId="0" borderId="0" xfId="3" applyFont="1" applyFill="1" applyBorder="1" applyAlignment="1" applyProtection="1">
      <alignment horizontal="right" vertical="top"/>
      <protection locked="0"/>
    </xf>
    <xf numFmtId="0" fontId="3" fillId="0" borderId="0" xfId="3" applyFont="1" applyFill="1" applyBorder="1" applyAlignment="1" applyProtection="1">
      <alignment horizontal="left" vertical="top"/>
      <protection locked="0"/>
    </xf>
    <xf numFmtId="0" fontId="3" fillId="0" borderId="0" xfId="3" applyFont="1" applyFill="1" applyBorder="1" applyAlignment="1" applyProtection="1">
      <alignment horizontal="right" vertical="top"/>
      <protection locked="0"/>
    </xf>
    <xf numFmtId="164" fontId="7" fillId="0" borderId="0" xfId="10" applyNumberFormat="1" applyFont="1" applyFill="1" applyBorder="1" applyAlignment="1" applyProtection="1">
      <alignment horizontal="center"/>
      <protection locked="0"/>
    </xf>
    <xf numFmtId="0" fontId="8" fillId="0" borderId="0" xfId="3" applyFont="1" applyFill="1" applyBorder="1" applyAlignment="1" applyProtection="1">
      <alignment horizontal="left"/>
      <protection locked="0"/>
    </xf>
    <xf numFmtId="1" fontId="8" fillId="0" borderId="0" xfId="3" applyNumberFormat="1" applyFont="1" applyFill="1" applyBorder="1" applyAlignment="1" applyProtection="1">
      <alignment horizontal="right"/>
      <protection locked="0"/>
    </xf>
    <xf numFmtId="1" fontId="8" fillId="2" borderId="0" xfId="3" applyNumberFormat="1" applyFont="1" applyFill="1" applyBorder="1" applyAlignment="1" applyProtection="1">
      <alignment horizontal="right"/>
      <protection locked="0"/>
    </xf>
    <xf numFmtId="0" fontId="1" fillId="2" borderId="0" xfId="3" applyFont="1" applyFill="1" applyBorder="1" applyProtection="1">
      <protection locked="0"/>
    </xf>
    <xf numFmtId="0" fontId="5" fillId="0" borderId="0" xfId="3" applyFont="1" applyFill="1" applyAlignment="1" applyProtection="1">
      <alignment horizontal="right" vertical="top" wrapText="1"/>
      <protection locked="0"/>
    </xf>
    <xf numFmtId="0" fontId="5" fillId="0" borderId="0" xfId="3" applyFont="1" applyFill="1" applyAlignment="1" applyProtection="1">
      <alignment horizontal="left" vertical="top" wrapText="1"/>
      <protection locked="0"/>
    </xf>
    <xf numFmtId="174" fontId="13" fillId="0" borderId="0" xfId="10" applyNumberFormat="1" applyFont="1" applyFill="1" applyProtection="1">
      <protection locked="0"/>
    </xf>
    <xf numFmtId="164" fontId="13" fillId="0" borderId="0" xfId="3" applyNumberFormat="1" applyFont="1" applyFill="1" applyProtection="1">
      <protection locked="0"/>
    </xf>
    <xf numFmtId="0" fontId="8" fillId="0" borderId="0" xfId="3" applyFont="1" applyFill="1" applyProtection="1">
      <protection locked="0"/>
    </xf>
    <xf numFmtId="0" fontId="13" fillId="0" borderId="0" xfId="3" applyFont="1" applyFill="1" applyProtection="1">
      <protection locked="0"/>
    </xf>
    <xf numFmtId="0" fontId="20" fillId="0" borderId="0" xfId="3" applyFont="1" applyFill="1" applyProtection="1">
      <protection locked="0"/>
    </xf>
    <xf numFmtId="0" fontId="20" fillId="0" borderId="0" xfId="3" applyFont="1" applyFill="1" applyAlignment="1" applyProtection="1">
      <alignment horizontal="left" vertical="top" wrapText="1"/>
      <protection locked="0"/>
    </xf>
    <xf numFmtId="0" fontId="20" fillId="0" borderId="0" xfId="3" applyFont="1" applyFill="1" applyAlignment="1" applyProtection="1">
      <alignment horizontal="right" vertical="top" wrapText="1"/>
      <protection locked="0"/>
    </xf>
    <xf numFmtId="0" fontId="20" fillId="0" borderId="0" xfId="3" applyFont="1" applyFill="1" applyAlignment="1" applyProtection="1">
      <alignment vertical="top" wrapText="1"/>
      <protection locked="0"/>
    </xf>
    <xf numFmtId="0" fontId="1" fillId="0" borderId="16" xfId="3" applyFont="1" applyFill="1" applyBorder="1" applyProtection="1">
      <protection locked="0"/>
    </xf>
    <xf numFmtId="0" fontId="1" fillId="0" borderId="17" xfId="3" applyFont="1" applyFill="1" applyBorder="1" applyProtection="1">
      <protection locked="0"/>
    </xf>
    <xf numFmtId="0" fontId="20" fillId="0" borderId="0" xfId="3" applyFont="1" applyFill="1" applyAlignment="1" applyProtection="1">
      <alignment horizontal="left" vertical="top"/>
      <protection locked="0"/>
    </xf>
    <xf numFmtId="0" fontId="20" fillId="0" borderId="0" xfId="3" applyFont="1" applyFill="1" applyAlignment="1" applyProtection="1">
      <alignment horizontal="right" vertical="top"/>
      <protection locked="0"/>
    </xf>
    <xf numFmtId="0" fontId="20" fillId="0" borderId="0" xfId="3" applyFont="1" applyFill="1" applyAlignment="1" applyProtection="1">
      <protection locked="0"/>
    </xf>
    <xf numFmtId="0" fontId="4" fillId="0" borderId="0" xfId="2" applyFont="1" applyFill="1" applyBorder="1" applyAlignment="1" applyProtection="1">
      <alignment horizontal="left" vertical="top"/>
    </xf>
    <xf numFmtId="3" fontId="8" fillId="0" borderId="6" xfId="2" applyNumberFormat="1" applyFont="1" applyFill="1" applyBorder="1" applyProtection="1"/>
    <xf numFmtId="0" fontId="7" fillId="0" borderId="4" xfId="2" applyFont="1" applyFill="1" applyBorder="1" applyAlignment="1" applyProtection="1"/>
    <xf numFmtId="0" fontId="7" fillId="0" borderId="2" xfId="2" applyFont="1" applyFill="1" applyBorder="1" applyAlignment="1" applyProtection="1"/>
    <xf numFmtId="49" fontId="7" fillId="0" borderId="2" xfId="2" applyNumberFormat="1" applyFont="1" applyFill="1" applyBorder="1" applyAlignment="1" applyProtection="1">
      <alignment horizontal="right"/>
    </xf>
    <xf numFmtId="49" fontId="7" fillId="0" borderId="3" xfId="2" applyNumberFormat="1" applyFont="1" applyFill="1" applyBorder="1" applyAlignment="1" applyProtection="1">
      <alignment horizontal="right"/>
    </xf>
    <xf numFmtId="0" fontId="8" fillId="0" borderId="18" xfId="2" applyFont="1" applyFill="1" applyBorder="1" applyAlignment="1" applyProtection="1"/>
    <xf numFmtId="176" fontId="8" fillId="0" borderId="0" xfId="2" applyNumberFormat="1" applyFont="1" applyFill="1" applyBorder="1" applyProtection="1"/>
    <xf numFmtId="176" fontId="8" fillId="2" borderId="0" xfId="2" applyNumberFormat="1" applyFont="1" applyFill="1" applyBorder="1" applyProtection="1"/>
    <xf numFmtId="176" fontId="8" fillId="0" borderId="19" xfId="2" applyNumberFormat="1" applyFont="1" applyFill="1" applyBorder="1" applyProtection="1"/>
    <xf numFmtId="0" fontId="8" fillId="0" borderId="5" xfId="2" applyFont="1" applyFill="1" applyBorder="1" applyAlignment="1" applyProtection="1"/>
    <xf numFmtId="176" fontId="8" fillId="0" borderId="6" xfId="2" applyNumberFormat="1" applyFont="1" applyFill="1" applyBorder="1" applyProtection="1"/>
    <xf numFmtId="176" fontId="8" fillId="2" borderId="6" xfId="2" applyNumberFormat="1" applyFont="1" applyFill="1" applyBorder="1" applyProtection="1"/>
    <xf numFmtId="176" fontId="8" fillId="0" borderId="20" xfId="2" applyNumberFormat="1" applyFont="1" applyFill="1" applyBorder="1" applyProtection="1"/>
    <xf numFmtId="0" fontId="8" fillId="0" borderId="0" xfId="2" applyFont="1" applyFill="1" applyBorder="1" applyAlignment="1" applyProtection="1">
      <alignment horizontal="right"/>
    </xf>
    <xf numFmtId="0" fontId="8" fillId="2" borderId="0" xfId="2" applyFont="1" applyFill="1" applyBorder="1" applyAlignment="1" applyProtection="1">
      <alignment horizontal="right"/>
    </xf>
    <xf numFmtId="0" fontId="8" fillId="0" borderId="0" xfId="2" quotePrefix="1" applyFont="1" applyFill="1" applyBorder="1" applyAlignment="1" applyProtection="1">
      <alignment horizontal="right"/>
    </xf>
    <xf numFmtId="0" fontId="8" fillId="0" borderId="19" xfId="2" applyFont="1" applyFill="1" applyBorder="1" applyAlignment="1" applyProtection="1">
      <alignment horizontal="right"/>
    </xf>
    <xf numFmtId="0" fontId="8" fillId="2" borderId="0" xfId="2" quotePrefix="1" applyFont="1" applyFill="1" applyBorder="1" applyAlignment="1" applyProtection="1">
      <alignment horizontal="right"/>
    </xf>
    <xf numFmtId="0" fontId="8" fillId="0" borderId="19" xfId="2" quotePrefix="1" applyFont="1" applyFill="1" applyBorder="1" applyAlignment="1" applyProtection="1">
      <alignment horizontal="right"/>
    </xf>
    <xf numFmtId="3" fontId="8" fillId="0" borderId="0" xfId="2" applyNumberFormat="1" applyFont="1" applyFill="1" applyBorder="1" applyAlignment="1" applyProtection="1">
      <alignment horizontal="right"/>
    </xf>
    <xf numFmtId="3" fontId="8" fillId="2" borderId="0" xfId="2" applyNumberFormat="1" applyFont="1" applyFill="1" applyBorder="1" applyAlignment="1" applyProtection="1">
      <alignment horizontal="right"/>
    </xf>
    <xf numFmtId="3" fontId="8" fillId="0" borderId="19" xfId="2" applyNumberFormat="1" applyFont="1" applyFill="1" applyBorder="1" applyAlignment="1" applyProtection="1">
      <alignment horizontal="right"/>
    </xf>
    <xf numFmtId="0" fontId="8" fillId="0" borderId="18" xfId="2" applyFont="1" applyFill="1" applyBorder="1" applyProtection="1">
      <protection locked="0"/>
    </xf>
    <xf numFmtId="3" fontId="8" fillId="0" borderId="0" xfId="2" quotePrefix="1" applyNumberFormat="1" applyFont="1" applyFill="1" applyBorder="1" applyAlignment="1" applyProtection="1">
      <alignment horizontal="right"/>
    </xf>
    <xf numFmtId="0" fontId="8" fillId="0" borderId="33" xfId="2" applyFont="1" applyFill="1" applyBorder="1" applyProtection="1">
      <protection locked="0"/>
    </xf>
    <xf numFmtId="0" fontId="8" fillId="0" borderId="23" xfId="2" applyFont="1" applyFill="1" applyBorder="1" applyAlignment="1" applyProtection="1">
      <alignment horizontal="right"/>
    </xf>
    <xf numFmtId="3" fontId="8" fillId="0" borderId="23" xfId="2" applyNumberFormat="1" applyFont="1" applyFill="1" applyBorder="1" applyAlignment="1" applyProtection="1">
      <alignment horizontal="right"/>
    </xf>
    <xf numFmtId="3" fontId="8" fillId="0" borderId="23" xfId="2" quotePrefix="1" applyNumberFormat="1" applyFont="1" applyFill="1" applyBorder="1" applyAlignment="1" applyProtection="1">
      <alignment horizontal="right"/>
    </xf>
    <xf numFmtId="3" fontId="8" fillId="2" borderId="23" xfId="2" applyNumberFormat="1" applyFont="1" applyFill="1" applyBorder="1" applyAlignment="1" applyProtection="1">
      <alignment horizontal="right"/>
    </xf>
    <xf numFmtId="3" fontId="8" fillId="0" borderId="41" xfId="2" applyNumberFormat="1" applyFont="1" applyFill="1" applyBorder="1" applyAlignment="1" applyProtection="1">
      <alignment horizontal="right"/>
    </xf>
    <xf numFmtId="0" fontId="7" fillId="0" borderId="39" xfId="2" applyFont="1" applyFill="1" applyBorder="1" applyAlignment="1" applyProtection="1"/>
    <xf numFmtId="0" fontId="8" fillId="0" borderId="42" xfId="2" applyFont="1" applyFill="1" applyBorder="1" applyAlignment="1" applyProtection="1">
      <alignment horizontal="right"/>
    </xf>
    <xf numFmtId="0" fontId="8" fillId="0" borderId="0" xfId="2" applyFont="1" applyFill="1" applyBorder="1" applyAlignment="1" applyProtection="1"/>
    <xf numFmtId="0" fontId="7" fillId="0" borderId="26" xfId="2" applyFont="1" applyFill="1" applyBorder="1" applyAlignment="1" applyProtection="1"/>
    <xf numFmtId="0" fontId="7" fillId="2" borderId="0" xfId="2" applyFont="1" applyFill="1" applyBorder="1" applyAlignment="1" applyProtection="1">
      <alignment horizontal="right"/>
    </xf>
    <xf numFmtId="0" fontId="45" fillId="0" borderId="18" xfId="13" applyFont="1" applyBorder="1" applyAlignment="1">
      <alignment horizontal="left" wrapText="1"/>
    </xf>
    <xf numFmtId="0" fontId="8" fillId="2" borderId="0" xfId="2" applyFont="1" applyFill="1" applyProtection="1">
      <protection locked="0"/>
    </xf>
    <xf numFmtId="0" fontId="50" fillId="0" borderId="0" xfId="0" applyFont="1" applyAlignment="1">
      <alignment vertical="center"/>
    </xf>
    <xf numFmtId="0" fontId="50" fillId="0" borderId="0" xfId="0" applyFont="1" applyAlignment="1">
      <alignment horizontal="right" vertical="center"/>
    </xf>
    <xf numFmtId="0" fontId="45" fillId="0" borderId="0" xfId="13" applyFont="1" applyBorder="1" applyAlignment="1">
      <alignment horizontal="left"/>
    </xf>
    <xf numFmtId="0" fontId="45" fillId="0" borderId="0" xfId="13" applyFont="1" applyBorder="1" applyAlignment="1">
      <alignment horizontal="right"/>
    </xf>
    <xf numFmtId="0" fontId="49" fillId="0" borderId="4" xfId="13" applyFont="1" applyBorder="1" applyAlignment="1">
      <alignment horizontal="left" wrapText="1"/>
    </xf>
    <xf numFmtId="0" fontId="49" fillId="0" borderId="26" xfId="13" applyFont="1" applyBorder="1" applyAlignment="1">
      <alignment horizontal="right" wrapText="1"/>
    </xf>
    <xf numFmtId="0" fontId="7" fillId="0" borderId="26" xfId="13" applyFont="1" applyFill="1" applyBorder="1" applyAlignment="1">
      <alignment horizontal="right" wrapText="1"/>
    </xf>
    <xf numFmtId="0" fontId="7" fillId="0" borderId="27" xfId="13" applyFont="1" applyFill="1" applyBorder="1" applyAlignment="1">
      <alignment horizontal="right" wrapText="1"/>
    </xf>
    <xf numFmtId="178" fontId="45" fillId="0" borderId="0" xfId="13" applyNumberFormat="1" applyFont="1" applyBorder="1" applyAlignment="1">
      <alignment horizontal="right" wrapText="1"/>
    </xf>
    <xf numFmtId="178" fontId="8" fillId="0" borderId="0" xfId="13" applyNumberFormat="1" applyFont="1" applyBorder="1" applyAlignment="1">
      <alignment horizontal="right" wrapText="1"/>
    </xf>
    <xf numFmtId="178" fontId="8" fillId="2" borderId="0" xfId="13" applyNumberFormat="1" applyFont="1" applyFill="1" applyBorder="1" applyAlignment="1">
      <alignment horizontal="right" wrapText="1"/>
    </xf>
    <xf numFmtId="178" fontId="8" fillId="0" borderId="0" xfId="13" applyNumberFormat="1" applyFont="1" applyFill="1" applyBorder="1" applyAlignment="1">
      <alignment horizontal="right" wrapText="1"/>
    </xf>
    <xf numFmtId="178" fontId="8" fillId="0" borderId="19" xfId="13" applyNumberFormat="1" applyFont="1" applyFill="1" applyBorder="1" applyAlignment="1">
      <alignment horizontal="right" wrapText="1"/>
    </xf>
    <xf numFmtId="0" fontId="51" fillId="0" borderId="0" xfId="2" applyFont="1" applyFill="1" applyAlignment="1" applyProtection="1">
      <alignment horizontal="right" vertical="top"/>
    </xf>
    <xf numFmtId="0" fontId="52" fillId="0" borderId="0" xfId="2" applyFont="1" applyFill="1" applyAlignment="1" applyProtection="1">
      <alignment horizontal="left" vertical="top"/>
    </xf>
    <xf numFmtId="0" fontId="52" fillId="0" borderId="0" xfId="2" applyFont="1" applyFill="1" applyAlignment="1" applyProtection="1">
      <alignment horizontal="right" vertical="top"/>
    </xf>
    <xf numFmtId="0" fontId="53" fillId="0" borderId="33" xfId="13" applyFont="1" applyBorder="1" applyAlignment="1">
      <alignment horizontal="left" wrapText="1"/>
    </xf>
    <xf numFmtId="0" fontId="53" fillId="0" borderId="23" xfId="13" applyFont="1" applyBorder="1" applyAlignment="1">
      <alignment horizontal="right" wrapText="1"/>
    </xf>
    <xf numFmtId="0" fontId="52" fillId="0" borderId="23" xfId="13" applyFont="1" applyBorder="1" applyAlignment="1">
      <alignment horizontal="right" wrapText="1"/>
    </xf>
    <xf numFmtId="0" fontId="52" fillId="2" borderId="23" xfId="13" applyFont="1" applyFill="1" applyBorder="1" applyAlignment="1">
      <alignment horizontal="right" wrapText="1"/>
    </xf>
    <xf numFmtId="0" fontId="52" fillId="0" borderId="23" xfId="13" applyFont="1" applyFill="1" applyBorder="1" applyAlignment="1">
      <alignment horizontal="right" wrapText="1"/>
    </xf>
    <xf numFmtId="0" fontId="52" fillId="0" borderId="41" xfId="13" applyFont="1" applyFill="1" applyBorder="1" applyAlignment="1">
      <alignment horizontal="right" wrapText="1"/>
    </xf>
    <xf numFmtId="0" fontId="54" fillId="0" borderId="0" xfId="13" applyFont="1" applyAlignment="1">
      <alignment horizontal="right" wrapText="1"/>
    </xf>
    <xf numFmtId="0" fontId="52" fillId="0" borderId="0" xfId="2" applyFont="1" applyFill="1" applyProtection="1">
      <protection locked="0"/>
    </xf>
    <xf numFmtId="180" fontId="45" fillId="0" borderId="0" xfId="13" applyNumberFormat="1" applyFont="1" applyBorder="1" applyAlignment="1">
      <alignment horizontal="right" wrapText="1"/>
    </xf>
    <xf numFmtId="180" fontId="8" fillId="0" borderId="0" xfId="13" applyNumberFormat="1" applyFont="1" applyBorder="1" applyAlignment="1">
      <alignment horizontal="right" wrapText="1"/>
    </xf>
    <xf numFmtId="180" fontId="8" fillId="2" borderId="0" xfId="13" applyNumberFormat="1" applyFont="1" applyFill="1" applyBorder="1" applyAlignment="1">
      <alignment horizontal="right" wrapText="1"/>
    </xf>
    <xf numFmtId="180" fontId="8" fillId="0" borderId="0" xfId="13" applyNumberFormat="1" applyFont="1" applyFill="1" applyBorder="1" applyAlignment="1">
      <alignment horizontal="right" wrapText="1"/>
    </xf>
    <xf numFmtId="180" fontId="8" fillId="0" borderId="19" xfId="13" applyNumberFormat="1" applyFont="1" applyFill="1" applyBorder="1" applyAlignment="1">
      <alignment horizontal="right" wrapText="1"/>
    </xf>
    <xf numFmtId="0" fontId="55" fillId="0" borderId="0" xfId="13" applyFont="1" applyAlignment="1">
      <alignment horizontal="right" wrapText="1"/>
    </xf>
    <xf numFmtId="0" fontId="56" fillId="0" borderId="0" xfId="13" applyFont="1" applyAlignment="1">
      <alignment horizontal="right" wrapText="1"/>
    </xf>
    <xf numFmtId="0" fontId="53" fillId="0" borderId="5" xfId="13" applyFont="1" applyBorder="1" applyAlignment="1">
      <alignment horizontal="left" wrapText="1"/>
    </xf>
    <xf numFmtId="0" fontId="53" fillId="0" borderId="6" xfId="13" applyFont="1" applyBorder="1" applyAlignment="1">
      <alignment horizontal="right" wrapText="1"/>
    </xf>
    <xf numFmtId="0" fontId="52" fillId="2" borderId="6" xfId="13" applyFont="1" applyFill="1" applyBorder="1" applyAlignment="1">
      <alignment horizontal="right" wrapText="1"/>
    </xf>
    <xf numFmtId="0" fontId="52" fillId="0" borderId="6" xfId="13" applyFont="1" applyFill="1" applyBorder="1" applyAlignment="1">
      <alignment horizontal="right" wrapText="1"/>
    </xf>
    <xf numFmtId="0" fontId="52" fillId="0" borderId="20" xfId="13" applyFont="1" applyFill="1" applyBorder="1" applyAlignment="1">
      <alignment horizontal="right" wrapText="1"/>
    </xf>
    <xf numFmtId="0" fontId="53" fillId="0" borderId="0" xfId="13" applyFont="1" applyBorder="1" applyAlignment="1">
      <alignment horizontal="left" wrapText="1"/>
    </xf>
    <xf numFmtId="0" fontId="53" fillId="0" borderId="0" xfId="13" applyFont="1" applyBorder="1" applyAlignment="1">
      <alignment horizontal="right" wrapText="1"/>
    </xf>
    <xf numFmtId="0" fontId="53" fillId="0" borderId="0" xfId="13" applyFont="1" applyFill="1" applyBorder="1" applyAlignment="1">
      <alignment horizontal="right" wrapText="1"/>
    </xf>
    <xf numFmtId="0" fontId="55" fillId="0" borderId="0" xfId="13" applyFont="1" applyAlignment="1">
      <alignment horizontal="left" wrapText="1"/>
    </xf>
    <xf numFmtId="0" fontId="15" fillId="2" borderId="0" xfId="2" applyFont="1" applyFill="1" applyAlignment="1" applyProtection="1">
      <alignment horizontal="right" vertical="top"/>
    </xf>
    <xf numFmtId="0" fontId="26" fillId="2" borderId="0" xfId="2" applyFont="1" applyFill="1" applyAlignment="1" applyProtection="1">
      <alignment horizontal="right" vertical="top"/>
    </xf>
    <xf numFmtId="0" fontId="26" fillId="2" borderId="0" xfId="2" applyFont="1" applyFill="1" applyBorder="1" applyProtection="1"/>
    <xf numFmtId="0" fontId="26" fillId="2" borderId="0" xfId="2" applyFont="1" applyFill="1" applyProtection="1"/>
    <xf numFmtId="0" fontId="26" fillId="2" borderId="0" xfId="2" applyFont="1" applyFill="1" applyBorder="1" applyProtection="1">
      <protection locked="0"/>
    </xf>
    <xf numFmtId="0" fontId="26" fillId="2" borderId="0" xfId="2" applyFont="1" applyFill="1" applyProtection="1">
      <protection locked="0"/>
    </xf>
    <xf numFmtId="0" fontId="26" fillId="2" borderId="0" xfId="2" applyFont="1" applyFill="1" applyBorder="1" applyAlignment="1" applyProtection="1">
      <protection locked="0"/>
    </xf>
    <xf numFmtId="0" fontId="7" fillId="2" borderId="6" xfId="2" applyFont="1" applyFill="1" applyBorder="1" applyAlignment="1" applyProtection="1"/>
    <xf numFmtId="0" fontId="7" fillId="2" borderId="6" xfId="2" applyFont="1" applyFill="1" applyBorder="1" applyProtection="1"/>
    <xf numFmtId="0" fontId="8" fillId="2" borderId="6" xfId="2" applyFont="1" applyFill="1" applyBorder="1" applyProtection="1"/>
    <xf numFmtId="0" fontId="8" fillId="2" borderId="0" xfId="2" applyFont="1" applyFill="1" applyBorder="1" applyProtection="1"/>
    <xf numFmtId="170" fontId="8" fillId="2" borderId="0" xfId="6" applyNumberFormat="1" applyFont="1" applyFill="1" applyBorder="1" applyProtection="1"/>
    <xf numFmtId="0" fontId="8" fillId="2" borderId="4" xfId="2" applyFont="1" applyFill="1" applyBorder="1" applyAlignment="1" applyProtection="1"/>
    <xf numFmtId="170" fontId="7" fillId="2" borderId="0" xfId="6" applyNumberFormat="1" applyFont="1" applyFill="1" applyBorder="1" applyAlignment="1" applyProtection="1">
      <alignment horizontal="right"/>
    </xf>
    <xf numFmtId="170" fontId="41" fillId="2" borderId="0" xfId="6" applyNumberFormat="1" applyFont="1" applyFill="1" applyBorder="1" applyAlignment="1" applyProtection="1">
      <alignment horizontal="right"/>
    </xf>
    <xf numFmtId="170" fontId="41" fillId="2" borderId="26" xfId="6" applyNumberFormat="1" applyFont="1" applyFill="1" applyBorder="1" applyAlignment="1" applyProtection="1">
      <alignment horizontal="right"/>
    </xf>
    <xf numFmtId="49" fontId="41" fillId="2" borderId="26" xfId="6" applyNumberFormat="1" applyFont="1" applyFill="1" applyBorder="1" applyAlignment="1" applyProtection="1">
      <alignment horizontal="right"/>
    </xf>
    <xf numFmtId="49" fontId="57" fillId="2" borderId="26" xfId="6" applyNumberFormat="1" applyFont="1" applyFill="1" applyBorder="1" applyAlignment="1" applyProtection="1">
      <alignment horizontal="right"/>
    </xf>
    <xf numFmtId="49" fontId="57" fillId="2" borderId="27" xfId="6" applyNumberFormat="1" applyFont="1" applyFill="1" applyBorder="1" applyAlignment="1" applyProtection="1">
      <alignment horizontal="right"/>
    </xf>
    <xf numFmtId="0" fontId="8" fillId="2" borderId="18" xfId="2" applyFont="1" applyFill="1" applyBorder="1"/>
    <xf numFmtId="164" fontId="8" fillId="2" borderId="0" xfId="2" applyNumberFormat="1" applyFont="1" applyFill="1" applyBorder="1"/>
    <xf numFmtId="164" fontId="8" fillId="2" borderId="0" xfId="0" applyNumberFormat="1" applyFont="1" applyFill="1"/>
    <xf numFmtId="164" fontId="28" fillId="2" borderId="0" xfId="0" applyNumberFormat="1" applyFont="1" applyFill="1"/>
    <xf numFmtId="164" fontId="23" fillId="2" borderId="0" xfId="0" applyNumberFormat="1" applyFont="1" applyFill="1"/>
    <xf numFmtId="164" fontId="23" fillId="2" borderId="0" xfId="0" applyNumberFormat="1" applyFont="1" applyFill="1" applyBorder="1"/>
    <xf numFmtId="164" fontId="23" fillId="2" borderId="19" xfId="0" applyNumberFormat="1" applyFont="1" applyFill="1" applyBorder="1"/>
    <xf numFmtId="0" fontId="8" fillId="2" borderId="33" xfId="2" applyFont="1" applyFill="1" applyBorder="1"/>
    <xf numFmtId="0" fontId="8" fillId="2" borderId="0" xfId="2" applyFont="1" applyFill="1" applyBorder="1"/>
    <xf numFmtId="164" fontId="28" fillId="2" borderId="0" xfId="2" applyNumberFormat="1" applyFont="1" applyFill="1" applyBorder="1"/>
    <xf numFmtId="164" fontId="23" fillId="2" borderId="0" xfId="2" applyNumberFormat="1" applyFont="1" applyFill="1" applyBorder="1"/>
    <xf numFmtId="164" fontId="23" fillId="2" borderId="19" xfId="2" applyNumberFormat="1" applyFont="1" applyFill="1" applyBorder="1"/>
    <xf numFmtId="164" fontId="8" fillId="2" borderId="16" xfId="2" applyNumberFormat="1" applyFont="1" applyFill="1" applyBorder="1"/>
    <xf numFmtId="164" fontId="28" fillId="2" borderId="16" xfId="2" applyNumberFormat="1" applyFont="1" applyFill="1" applyBorder="1"/>
    <xf numFmtId="164" fontId="28" fillId="2" borderId="44" xfId="2" applyNumberFormat="1" applyFont="1" applyFill="1" applyBorder="1"/>
    <xf numFmtId="0" fontId="8" fillId="2" borderId="5" xfId="2" applyFont="1" applyFill="1" applyBorder="1" applyAlignment="1" applyProtection="1">
      <alignment wrapText="1"/>
    </xf>
    <xf numFmtId="164" fontId="8" fillId="2" borderId="6" xfId="2" applyNumberFormat="1" applyFont="1" applyFill="1" applyBorder="1" applyAlignment="1" applyProtection="1">
      <alignment wrapText="1"/>
    </xf>
    <xf numFmtId="164" fontId="8" fillId="2" borderId="6" xfId="2" applyNumberFormat="1" applyFont="1" applyFill="1" applyBorder="1"/>
    <xf numFmtId="164" fontId="28" fillId="2" borderId="6" xfId="2" applyNumberFormat="1" applyFont="1" applyFill="1" applyBorder="1"/>
    <xf numFmtId="164" fontId="23" fillId="2" borderId="6" xfId="2" applyNumberFormat="1" applyFont="1" applyFill="1" applyBorder="1"/>
    <xf numFmtId="164" fontId="23" fillId="2" borderId="42" xfId="2" applyNumberFormat="1" applyFont="1" applyFill="1" applyBorder="1" applyProtection="1">
      <protection locked="0"/>
    </xf>
    <xf numFmtId="164" fontId="23" fillId="2" borderId="43" xfId="2" applyNumberFormat="1" applyFont="1" applyFill="1" applyBorder="1" applyProtection="1">
      <protection locked="0"/>
    </xf>
    <xf numFmtId="164" fontId="26" fillId="2" borderId="0" xfId="2" applyNumberFormat="1" applyFont="1" applyFill="1" applyProtection="1">
      <protection locked="0"/>
    </xf>
    <xf numFmtId="0" fontId="8" fillId="2" borderId="0" xfId="2" applyFont="1" applyFill="1" applyBorder="1" applyAlignment="1" applyProtection="1">
      <alignment wrapText="1"/>
    </xf>
    <xf numFmtId="164" fontId="26" fillId="2" borderId="0" xfId="2" applyNumberFormat="1" applyFont="1" applyFill="1" applyBorder="1" applyProtection="1">
      <protection locked="0"/>
    </xf>
    <xf numFmtId="0" fontId="8" fillId="2" borderId="0" xfId="2" applyFont="1" applyFill="1" applyProtection="1"/>
    <xf numFmtId="167" fontId="8" fillId="2" borderId="0" xfId="14" applyNumberFormat="1" applyFont="1" applyFill="1" applyAlignment="1">
      <alignment horizontal="center"/>
    </xf>
    <xf numFmtId="0" fontId="4" fillId="2" borderId="0" xfId="15" applyFont="1" applyFill="1"/>
    <xf numFmtId="0" fontId="7" fillId="2" borderId="0" xfId="2" applyFont="1" applyFill="1" applyProtection="1"/>
    <xf numFmtId="167" fontId="8" fillId="2" borderId="0" xfId="14" applyNumberFormat="1" applyFont="1" applyFill="1" applyBorder="1" applyAlignment="1">
      <alignment horizontal="center"/>
    </xf>
    <xf numFmtId="0" fontId="4" fillId="2" borderId="0" xfId="2" applyFont="1" applyFill="1" applyBorder="1" applyAlignment="1" applyProtection="1">
      <alignment horizontal="left" vertical="top" wrapText="1"/>
      <protection locked="0"/>
    </xf>
    <xf numFmtId="0" fontId="15" fillId="2" borderId="0" xfId="2" applyFont="1" applyFill="1" applyAlignment="1" applyProtection="1">
      <alignment horizontal="right" vertical="top" wrapText="1"/>
    </xf>
    <xf numFmtId="0" fontId="4" fillId="2" borderId="0" xfId="2" applyNumberFormat="1" applyFont="1" applyFill="1" applyBorder="1" applyAlignment="1" applyProtection="1">
      <alignment horizontal="left" vertical="top" wrapText="1"/>
      <protection locked="0"/>
    </xf>
    <xf numFmtId="0" fontId="4" fillId="2" borderId="0" xfId="2" applyFont="1" applyFill="1" applyBorder="1" applyProtection="1">
      <protection locked="0"/>
    </xf>
    <xf numFmtId="0" fontId="4" fillId="2" borderId="0" xfId="2" applyFont="1" applyFill="1" applyAlignment="1" applyProtection="1">
      <alignment horizontal="right" vertical="top"/>
    </xf>
    <xf numFmtId="0" fontId="4" fillId="2" borderId="0" xfId="3" applyFont="1" applyFill="1" applyBorder="1" applyAlignment="1" applyProtection="1">
      <alignment horizontal="left" vertical="top" wrapText="1"/>
    </xf>
    <xf numFmtId="0" fontId="8" fillId="2" borderId="0" xfId="2" applyFont="1" applyFill="1" applyBorder="1" applyAlignment="1" applyProtection="1">
      <alignment horizontal="right" vertical="top"/>
    </xf>
    <xf numFmtId="174" fontId="8" fillId="2" borderId="0" xfId="6" applyNumberFormat="1" applyFont="1" applyFill="1" applyProtection="1">
      <protection locked="0"/>
    </xf>
    <xf numFmtId="174" fontId="8" fillId="2" borderId="0" xfId="6" applyNumberFormat="1" applyFont="1" applyFill="1" applyBorder="1" applyProtection="1">
      <protection locked="0"/>
    </xf>
    <xf numFmtId="174" fontId="8" fillId="2" borderId="0" xfId="2" applyNumberFormat="1" applyFont="1" applyFill="1" applyBorder="1" applyAlignment="1" applyProtection="1">
      <alignment horizontal="center"/>
      <protection locked="0"/>
    </xf>
    <xf numFmtId="0" fontId="8" fillId="2" borderId="6" xfId="2" applyFont="1" applyFill="1" applyBorder="1" applyAlignment="1" applyProtection="1">
      <alignment horizontal="right" vertical="top" wrapText="1"/>
    </xf>
    <xf numFmtId="164" fontId="8" fillId="2" borderId="6" xfId="2" applyNumberFormat="1" applyFont="1" applyFill="1" applyBorder="1" applyProtection="1">
      <protection locked="0"/>
    </xf>
    <xf numFmtId="0" fontId="8" fillId="2" borderId="0" xfId="2" applyFont="1" applyFill="1"/>
    <xf numFmtId="174" fontId="7" fillId="2" borderId="0" xfId="6" applyNumberFormat="1" applyFont="1" applyFill="1"/>
    <xf numFmtId="0" fontId="8" fillId="2" borderId="0" xfId="6" applyFont="1" applyFill="1" applyAlignment="1"/>
    <xf numFmtId="1" fontId="8" fillId="2" borderId="0" xfId="6" applyNumberFormat="1" applyFont="1" applyFill="1" applyAlignment="1"/>
    <xf numFmtId="172" fontId="8" fillId="2" borderId="0" xfId="14" applyNumberFormat="1" applyFont="1" applyFill="1" applyAlignment="1"/>
    <xf numFmtId="0" fontId="8" fillId="2" borderId="0" xfId="2" applyFont="1" applyFill="1" applyAlignment="1"/>
    <xf numFmtId="164" fontId="8" fillId="2" borderId="0" xfId="2" applyNumberFormat="1" applyFont="1" applyFill="1" applyAlignment="1"/>
    <xf numFmtId="1" fontId="8" fillId="2" borderId="0" xfId="2" applyNumberFormat="1" applyFont="1" applyFill="1" applyAlignment="1"/>
    <xf numFmtId="172" fontId="8" fillId="2" borderId="0" xfId="2" applyNumberFormat="1" applyFont="1" applyFill="1" applyAlignment="1"/>
    <xf numFmtId="0" fontId="26" fillId="2" borderId="0" xfId="2" applyFont="1" applyFill="1" applyAlignment="1">
      <alignment vertical="top"/>
    </xf>
    <xf numFmtId="0" fontId="8" fillId="2" borderId="26" xfId="2" applyFont="1" applyFill="1" applyBorder="1" applyProtection="1"/>
    <xf numFmtId="0" fontId="7" fillId="2" borderId="26" xfId="2" applyFont="1" applyFill="1" applyBorder="1" applyAlignment="1" applyProtection="1">
      <alignment horizontal="right"/>
    </xf>
    <xf numFmtId="0" fontId="8" fillId="2" borderId="0" xfId="2" applyFont="1" applyFill="1" applyBorder="1" applyAlignment="1" applyProtection="1">
      <alignment horizontal="left" vertical="top"/>
    </xf>
    <xf numFmtId="2" fontId="8" fillId="2" borderId="0" xfId="2" applyNumberFormat="1" applyFont="1" applyFill="1" applyBorder="1" applyAlignment="1" applyProtection="1">
      <alignment horizontal="right"/>
    </xf>
    <xf numFmtId="0" fontId="8" fillId="2" borderId="6" xfId="2" applyFont="1" applyFill="1" applyBorder="1" applyAlignment="1" applyProtection="1">
      <alignment horizontal="left" vertical="top"/>
    </xf>
    <xf numFmtId="2" fontId="8" fillId="2" borderId="6" xfId="2" applyNumberFormat="1" applyFont="1" applyFill="1" applyBorder="1" applyAlignment="1" applyProtection="1">
      <alignment horizontal="right"/>
    </xf>
    <xf numFmtId="2" fontId="26" fillId="2" borderId="0" xfId="2" applyNumberFormat="1" applyFont="1" applyFill="1" applyBorder="1" applyAlignment="1">
      <alignment vertical="top"/>
    </xf>
    <xf numFmtId="2" fontId="26" fillId="2" borderId="0" xfId="2" applyNumberFormat="1" applyFont="1" applyFill="1" applyBorder="1"/>
    <xf numFmtId="0" fontId="4" fillId="2" borderId="0" xfId="2" applyFont="1" applyFill="1" applyBorder="1" applyAlignment="1">
      <alignment horizontal="left" wrapText="1"/>
    </xf>
    <xf numFmtId="0" fontId="4" fillId="2" borderId="3" xfId="2" quotePrefix="1" applyFont="1" applyFill="1" applyBorder="1" applyAlignment="1" applyProtection="1">
      <alignment vertical="top" wrapText="1"/>
    </xf>
    <xf numFmtId="0" fontId="29" fillId="2" borderId="3" xfId="2" quotePrefix="1" applyFont="1" applyFill="1" applyBorder="1" applyAlignment="1" applyProtection="1">
      <alignment vertical="top" wrapText="1"/>
    </xf>
    <xf numFmtId="0" fontId="4" fillId="2" borderId="0" xfId="2" applyFont="1" applyFill="1" applyBorder="1" applyAlignment="1" applyProtection="1">
      <alignment horizontal="right" vertical="top" wrapText="1"/>
    </xf>
    <xf numFmtId="17" fontId="4" fillId="2" borderId="27" xfId="2" applyNumberFormat="1" applyFont="1" applyFill="1" applyBorder="1" applyAlignment="1" applyProtection="1">
      <alignment horizontal="right" vertical="top" wrapText="1"/>
    </xf>
    <xf numFmtId="0" fontId="29" fillId="2" borderId="0" xfId="2" applyFont="1" applyFill="1" applyBorder="1" applyAlignment="1" applyProtection="1">
      <alignment horizontal="right" vertical="top" wrapText="1"/>
    </xf>
    <xf numFmtId="17" fontId="29" fillId="2" borderId="27" xfId="2" applyNumberFormat="1" applyFont="1" applyFill="1" applyBorder="1" applyAlignment="1" applyProtection="1">
      <alignment horizontal="right" vertical="top" wrapText="1"/>
    </xf>
    <xf numFmtId="164" fontId="4" fillId="2" borderId="0" xfId="15" applyNumberFormat="1" applyFont="1" applyFill="1"/>
    <xf numFmtId="164" fontId="21" fillId="2" borderId="0" xfId="2" applyNumberFormat="1" applyFont="1" applyFill="1" applyProtection="1">
      <protection locked="0"/>
    </xf>
    <xf numFmtId="0" fontId="21" fillId="2" borderId="0" xfId="2" applyFont="1" applyFill="1" applyProtection="1">
      <protection locked="0"/>
    </xf>
    <xf numFmtId="0" fontId="20" fillId="0" borderId="0" xfId="2" applyFont="1" applyAlignment="1">
      <alignment vertical="top"/>
    </xf>
    <xf numFmtId="0" fontId="6" fillId="0" borderId="0" xfId="2" applyFont="1" applyAlignment="1">
      <alignment vertical="top"/>
    </xf>
    <xf numFmtId="0" fontId="6" fillId="0" borderId="0" xfId="2" applyFont="1"/>
    <xf numFmtId="0" fontId="5" fillId="0" borderId="0" xfId="2" applyFont="1" applyAlignment="1">
      <alignment vertical="top"/>
    </xf>
    <xf numFmtId="0" fontId="4" fillId="0" borderId="0" xfId="2" applyFont="1" applyFill="1" applyBorder="1" applyAlignment="1">
      <alignment vertical="top" wrapText="1"/>
    </xf>
    <xf numFmtId="0" fontId="4" fillId="0" borderId="0" xfId="2" applyFont="1" applyBorder="1" applyAlignment="1"/>
    <xf numFmtId="0" fontId="4" fillId="0" borderId="0" xfId="2" applyFont="1" applyFill="1" applyBorder="1" applyAlignment="1">
      <alignment wrapText="1"/>
    </xf>
    <xf numFmtId="0" fontId="12" fillId="0" borderId="0" xfId="2" applyFont="1"/>
    <xf numFmtId="0" fontId="5" fillId="0" borderId="0" xfId="2" applyFont="1" applyFill="1" applyBorder="1" applyAlignment="1">
      <alignment vertical="top"/>
    </xf>
    <xf numFmtId="0" fontId="7" fillId="2" borderId="0" xfId="2" applyFont="1" applyFill="1"/>
    <xf numFmtId="0" fontId="12" fillId="2" borderId="0" xfId="2" applyFont="1" applyFill="1"/>
    <xf numFmtId="0" fontId="12" fillId="2" borderId="0" xfId="2" applyFont="1" applyFill="1" applyBorder="1"/>
    <xf numFmtId="0" fontId="12" fillId="0" borderId="0" xfId="2" applyFont="1" applyBorder="1"/>
    <xf numFmtId="0" fontId="8" fillId="2" borderId="4" xfId="2" applyFont="1" applyFill="1" applyBorder="1"/>
    <xf numFmtId="17" fontId="7" fillId="2" borderId="26" xfId="2" quotePrefix="1" applyNumberFormat="1" applyFont="1" applyFill="1" applyBorder="1" applyAlignment="1">
      <alignment horizontal="right"/>
    </xf>
    <xf numFmtId="172" fontId="7" fillId="2" borderId="26" xfId="14" quotePrefix="1" applyNumberFormat="1" applyFont="1" applyFill="1" applyBorder="1" applyAlignment="1">
      <alignment horizontal="right"/>
    </xf>
    <xf numFmtId="172" fontId="7" fillId="2" borderId="27" xfId="14" quotePrefix="1" applyNumberFormat="1" applyFont="1" applyFill="1" applyBorder="1" applyAlignment="1">
      <alignment horizontal="right"/>
    </xf>
    <xf numFmtId="0" fontId="8" fillId="2" borderId="18" xfId="2" applyFont="1" applyFill="1" applyBorder="1" applyAlignment="1">
      <alignment horizontal="left"/>
    </xf>
    <xf numFmtId="0" fontId="8" fillId="2" borderId="0" xfId="2" applyFont="1" applyFill="1" applyBorder="1" applyAlignment="1">
      <alignment horizontal="right"/>
    </xf>
    <xf numFmtId="0" fontId="8" fillId="2" borderId="0" xfId="2" applyFont="1" applyFill="1" applyAlignment="1">
      <alignment horizontal="right"/>
    </xf>
    <xf numFmtId="0" fontId="8" fillId="2" borderId="19" xfId="2" applyFont="1" applyFill="1" applyBorder="1" applyAlignment="1">
      <alignment horizontal="right"/>
    </xf>
    <xf numFmtId="0" fontId="58" fillId="2" borderId="18" xfId="2" applyFont="1" applyFill="1" applyBorder="1"/>
    <xf numFmtId="0" fontId="58" fillId="2" borderId="0" xfId="2" applyFont="1" applyFill="1"/>
    <xf numFmtId="0" fontId="58" fillId="2" borderId="0" xfId="2" applyFont="1" applyFill="1" applyAlignment="1">
      <alignment horizontal="right"/>
    </xf>
    <xf numFmtId="0" fontId="58" fillId="2" borderId="0" xfId="2" applyFont="1" applyFill="1" applyBorder="1" applyAlignment="1">
      <alignment horizontal="right"/>
    </xf>
    <xf numFmtId="0" fontId="58" fillId="2" borderId="19" xfId="2" applyFont="1" applyFill="1" applyBorder="1" applyAlignment="1">
      <alignment horizontal="right"/>
    </xf>
    <xf numFmtId="0" fontId="59" fillId="2" borderId="18" xfId="2" applyFont="1" applyFill="1" applyBorder="1" applyAlignment="1">
      <alignment horizontal="left"/>
    </xf>
    <xf numFmtId="0" fontId="8" fillId="2" borderId="5" xfId="2" applyFont="1" applyFill="1" applyBorder="1" applyAlignment="1">
      <alignment horizontal="left"/>
    </xf>
    <xf numFmtId="0" fontId="8" fillId="2" borderId="6" xfId="2" applyFont="1" applyFill="1" applyBorder="1" applyAlignment="1">
      <alignment horizontal="right"/>
    </xf>
    <xf numFmtId="0" fontId="10" fillId="2" borderId="1" xfId="2" applyFont="1" applyFill="1" applyBorder="1" applyAlignment="1">
      <alignment horizontal="left"/>
    </xf>
    <xf numFmtId="0" fontId="7" fillId="2" borderId="2" xfId="2" applyFont="1" applyFill="1" applyBorder="1"/>
    <xf numFmtId="0" fontId="7" fillId="2" borderId="3" xfId="2" applyFont="1" applyFill="1" applyBorder="1"/>
    <xf numFmtId="0" fontId="59" fillId="2" borderId="0" xfId="2" applyFont="1" applyFill="1" applyBorder="1" applyAlignment="1">
      <alignment horizontal="left"/>
    </xf>
    <xf numFmtId="0" fontId="12" fillId="0" borderId="0" xfId="2" applyFont="1" applyAlignment="1">
      <alignment vertical="top"/>
    </xf>
    <xf numFmtId="0" fontId="7" fillId="2" borderId="0" xfId="2" applyFont="1" applyFill="1" applyBorder="1" applyAlignment="1"/>
    <xf numFmtId="0" fontId="8" fillId="2" borderId="0" xfId="2" applyFont="1" applyFill="1" applyBorder="1" applyAlignment="1">
      <alignment horizontal="left"/>
    </xf>
    <xf numFmtId="0" fontId="8" fillId="0" borderId="0" xfId="2" applyFont="1" applyFill="1" applyBorder="1" applyAlignment="1">
      <alignment horizontal="right"/>
    </xf>
    <xf numFmtId="0" fontId="7" fillId="2" borderId="26" xfId="2" applyFont="1" applyFill="1" applyBorder="1"/>
    <xf numFmtId="0" fontId="7" fillId="2" borderId="27" xfId="2" applyFont="1" applyFill="1" applyBorder="1"/>
    <xf numFmtId="0" fontId="12" fillId="4" borderId="0" xfId="2" applyFont="1" applyFill="1"/>
    <xf numFmtId="0" fontId="7" fillId="2" borderId="33" xfId="2" applyFont="1" applyFill="1" applyBorder="1"/>
    <xf numFmtId="0" fontId="7" fillId="2" borderId="23" xfId="2" applyFont="1" applyFill="1" applyBorder="1"/>
    <xf numFmtId="0" fontId="7" fillId="2" borderId="41" xfId="2" applyFont="1" applyFill="1" applyBorder="1"/>
    <xf numFmtId="0" fontId="15" fillId="0" borderId="0" xfId="2" applyFont="1" applyAlignment="1">
      <alignment vertical="top"/>
    </xf>
    <xf numFmtId="0" fontId="8" fillId="2" borderId="25" xfId="2" applyFont="1" applyFill="1" applyBorder="1"/>
    <xf numFmtId="0" fontId="8" fillId="2" borderId="45" xfId="2" applyFont="1" applyFill="1" applyBorder="1"/>
    <xf numFmtId="0" fontId="32" fillId="0" borderId="0" xfId="2" applyFont="1" applyFill="1" applyAlignment="1">
      <alignment horizontal="left"/>
    </xf>
    <xf numFmtId="0" fontId="12" fillId="0" borderId="0" xfId="2" applyFont="1" applyFill="1"/>
    <xf numFmtId="0" fontId="15" fillId="0" borderId="0" xfId="2" applyFont="1" applyFill="1" applyBorder="1" applyAlignment="1">
      <alignment vertical="top" wrapText="1"/>
    </xf>
    <xf numFmtId="0" fontId="8" fillId="2" borderId="19" xfId="2" applyFont="1" applyFill="1" applyBorder="1"/>
    <xf numFmtId="0" fontId="15" fillId="0" borderId="0" xfId="16" applyFont="1" applyFill="1" applyBorder="1" applyAlignment="1">
      <alignment vertical="top"/>
    </xf>
    <xf numFmtId="0" fontId="60" fillId="2" borderId="18" xfId="2" applyFont="1" applyFill="1" applyBorder="1"/>
    <xf numFmtId="0" fontId="60" fillId="2" borderId="0" xfId="2" applyFont="1" applyFill="1"/>
    <xf numFmtId="0" fontId="60" fillId="2" borderId="0" xfId="2" applyFont="1" applyFill="1" applyBorder="1"/>
    <xf numFmtId="0" fontId="60" fillId="2" borderId="19" xfId="2" applyFont="1" applyFill="1" applyBorder="1"/>
    <xf numFmtId="0" fontId="8" fillId="2" borderId="33" xfId="2" applyFont="1" applyFill="1" applyBorder="1" applyAlignment="1">
      <alignment horizontal="left"/>
    </xf>
    <xf numFmtId="0" fontId="8" fillId="2" borderId="23" xfId="2" applyFont="1" applyFill="1" applyBorder="1" applyAlignment="1">
      <alignment horizontal="right"/>
    </xf>
    <xf numFmtId="0" fontId="8" fillId="2" borderId="23" xfId="2" applyFont="1" applyFill="1" applyBorder="1"/>
    <xf numFmtId="0" fontId="8" fillId="2" borderId="41" xfId="2" applyFont="1" applyFill="1" applyBorder="1"/>
    <xf numFmtId="0" fontId="7" fillId="2" borderId="18" xfId="2" applyFont="1" applyFill="1" applyBorder="1"/>
    <xf numFmtId="0" fontId="8" fillId="2" borderId="46" xfId="2" applyFont="1" applyFill="1" applyBorder="1"/>
    <xf numFmtId="0" fontId="8" fillId="2" borderId="5" xfId="2" applyFont="1" applyFill="1" applyBorder="1"/>
    <xf numFmtId="0" fontId="8" fillId="2" borderId="6" xfId="2" applyFont="1" applyFill="1" applyBorder="1"/>
    <xf numFmtId="0" fontId="8" fillId="2" borderId="20" xfId="2" applyFont="1" applyFill="1" applyBorder="1"/>
    <xf numFmtId="0" fontId="10" fillId="0" borderId="0" xfId="2" applyFont="1" applyFill="1" applyBorder="1" applyAlignment="1">
      <alignment horizontal="left"/>
    </xf>
    <xf numFmtId="0" fontId="7" fillId="0" borderId="0" xfId="2" applyFont="1" applyFill="1" applyBorder="1"/>
    <xf numFmtId="0" fontId="7" fillId="4" borderId="0" xfId="2" applyFont="1" applyFill="1" applyBorder="1"/>
    <xf numFmtId="0" fontId="12" fillId="0" borderId="0" xfId="2" applyFont="1" applyFill="1" applyAlignment="1">
      <alignment horizontal="left"/>
    </xf>
    <xf numFmtId="0" fontId="5" fillId="0" borderId="0" xfId="2" applyFont="1" applyAlignment="1">
      <alignment vertical="top" wrapText="1"/>
    </xf>
    <xf numFmtId="0" fontId="12" fillId="0" borderId="0" xfId="2" applyFont="1" applyAlignment="1" applyProtection="1">
      <alignment vertical="top"/>
      <protection hidden="1"/>
    </xf>
    <xf numFmtId="0" fontId="15" fillId="0" borderId="0" xfId="2" applyFont="1" applyBorder="1" applyAlignment="1"/>
    <xf numFmtId="0" fontId="7" fillId="0" borderId="0" xfId="2" applyFont="1" applyBorder="1" applyAlignment="1"/>
    <xf numFmtId="0" fontId="7" fillId="0" borderId="6" xfId="2" applyFont="1" applyBorder="1" applyAlignment="1"/>
    <xf numFmtId="0" fontId="8" fillId="0" borderId="0" xfId="2" applyFont="1" applyBorder="1" applyAlignment="1">
      <alignment horizontal="right"/>
    </xf>
    <xf numFmtId="172" fontId="8" fillId="0" borderId="0" xfId="14" applyNumberFormat="1" applyFont="1" applyFill="1" applyBorder="1" applyAlignment="1">
      <alignment horizontal="left"/>
    </xf>
    <xf numFmtId="0" fontId="8" fillId="0" borderId="0" xfId="2" applyFont="1" applyBorder="1" applyAlignment="1">
      <alignment horizontal="left"/>
    </xf>
    <xf numFmtId="0" fontId="8" fillId="0" borderId="6" xfId="2" applyFont="1" applyBorder="1" applyAlignment="1">
      <alignment horizontal="left"/>
    </xf>
    <xf numFmtId="0" fontId="61" fillId="11" borderId="50" xfId="2" applyFont="1" applyFill="1" applyBorder="1" applyAlignment="1">
      <alignment horizontal="center" wrapText="1"/>
    </xf>
    <xf numFmtId="0" fontId="61" fillId="11" borderId="29" xfId="2" applyFont="1" applyFill="1" applyBorder="1" applyAlignment="1">
      <alignment horizontal="center" wrapText="1"/>
    </xf>
    <xf numFmtId="0" fontId="61" fillId="11" borderId="51" xfId="2" applyFont="1" applyFill="1" applyBorder="1" applyAlignment="1">
      <alignment horizontal="center" wrapText="1"/>
    </xf>
    <xf numFmtId="0" fontId="7" fillId="0" borderId="0" xfId="2" applyFont="1" applyBorder="1"/>
    <xf numFmtId="0" fontId="7" fillId="0" borderId="6" xfId="2" applyFont="1" applyBorder="1"/>
    <xf numFmtId="0" fontId="7" fillId="0" borderId="0" xfId="2" applyFont="1" applyBorder="1" applyAlignment="1">
      <alignment horizontal="right"/>
    </xf>
    <xf numFmtId="0" fontId="8" fillId="0" borderId="6" xfId="2" applyFont="1" applyFill="1" applyBorder="1" applyAlignment="1">
      <alignment horizontal="right"/>
    </xf>
    <xf numFmtId="0" fontId="15" fillId="9" borderId="50" xfId="2" applyFont="1" applyFill="1" applyBorder="1"/>
    <xf numFmtId="0" fontId="61" fillId="9" borderId="29" xfId="2" applyFont="1" applyFill="1" applyBorder="1" applyAlignment="1">
      <alignment horizontal="left" wrapText="1"/>
    </xf>
    <xf numFmtId="0" fontId="61" fillId="9" borderId="29" xfId="2" applyFont="1" applyFill="1" applyBorder="1" applyAlignment="1">
      <alignment horizontal="center" wrapText="1"/>
    </xf>
    <xf numFmtId="0" fontId="61" fillId="9" borderId="51" xfId="2" applyFont="1" applyFill="1" applyBorder="1" applyAlignment="1">
      <alignment horizontal="center" wrapText="1"/>
    </xf>
    <xf numFmtId="164" fontId="8" fillId="0" borderId="0" xfId="2" applyNumberFormat="1" applyFont="1" applyFill="1" applyBorder="1"/>
    <xf numFmtId="0" fontId="8" fillId="0" borderId="6" xfId="2" applyFont="1" applyBorder="1"/>
    <xf numFmtId="0" fontId="62" fillId="9" borderId="29" xfId="2" applyFont="1" applyFill="1" applyBorder="1" applyAlignment="1">
      <alignment horizontal="left" wrapText="1"/>
    </xf>
    <xf numFmtId="0" fontId="62" fillId="9" borderId="29" xfId="2" applyFont="1" applyFill="1" applyBorder="1" applyAlignment="1">
      <alignment horizontal="center" wrapText="1"/>
    </xf>
    <xf numFmtId="0" fontId="62" fillId="9" borderId="51" xfId="2" applyFont="1" applyFill="1" applyBorder="1" applyAlignment="1">
      <alignment horizontal="center" wrapText="1"/>
    </xf>
    <xf numFmtId="0" fontId="1" fillId="9" borderId="50" xfId="2" applyFont="1" applyFill="1" applyBorder="1"/>
    <xf numFmtId="0" fontId="10" fillId="0" borderId="0" xfId="2" applyFont="1" applyFill="1" applyBorder="1" applyAlignment="1">
      <alignment horizontal="right"/>
    </xf>
    <xf numFmtId="0" fontId="62" fillId="9" borderId="53" xfId="2" applyFont="1" applyFill="1" applyBorder="1" applyAlignment="1">
      <alignment horizontal="left" wrapText="1"/>
    </xf>
    <xf numFmtId="0" fontId="62" fillId="9" borderId="53" xfId="2" applyFont="1" applyFill="1" applyBorder="1" applyAlignment="1">
      <alignment horizontal="center" wrapText="1"/>
    </xf>
    <xf numFmtId="0" fontId="62" fillId="9" borderId="54" xfId="2" applyFont="1" applyFill="1" applyBorder="1" applyAlignment="1">
      <alignment horizontal="center" wrapText="1"/>
    </xf>
    <xf numFmtId="0" fontId="34" fillId="0" borderId="0" xfId="2" applyFont="1" applyAlignment="1">
      <alignment vertical="top"/>
    </xf>
    <xf numFmtId="0" fontId="5" fillId="0" borderId="0" xfId="2" applyFont="1" applyFill="1" applyAlignment="1" applyProtection="1">
      <alignment vertical="top"/>
    </xf>
    <xf numFmtId="0" fontId="1" fillId="0" borderId="0" xfId="2" applyFont="1" applyFill="1" applyAlignment="1" applyProtection="1">
      <alignment vertical="top"/>
    </xf>
    <xf numFmtId="0" fontId="2" fillId="0" borderId="0" xfId="2" applyFont="1" applyFill="1" applyProtection="1"/>
    <xf numFmtId="0" fontId="2" fillId="0" borderId="0" xfId="2" applyFont="1" applyFill="1" applyProtection="1">
      <protection locked="0"/>
    </xf>
    <xf numFmtId="0" fontId="2" fillId="0" borderId="0" xfId="2" applyFont="1" applyFill="1" applyBorder="1" applyProtection="1">
      <protection locked="0"/>
    </xf>
    <xf numFmtId="0" fontId="63" fillId="0" borderId="0" xfId="2" applyFont="1" applyFill="1" applyProtection="1"/>
    <xf numFmtId="0" fontId="44" fillId="0" borderId="0" xfId="2" applyFont="1" applyFill="1" applyProtection="1"/>
    <xf numFmtId="0" fontId="1" fillId="0" borderId="0" xfId="2" applyFont="1" applyFill="1" applyBorder="1" applyAlignment="1" applyProtection="1">
      <alignment vertical="top"/>
    </xf>
    <xf numFmtId="169" fontId="14" fillId="0" borderId="55" xfId="1" applyNumberFormat="1" applyFont="1" applyFill="1" applyBorder="1" applyAlignment="1" applyProtection="1">
      <alignment horizontal="right"/>
    </xf>
    <xf numFmtId="169" fontId="14" fillId="2" borderId="55" xfId="1" applyNumberFormat="1" applyFont="1" applyFill="1" applyBorder="1" applyAlignment="1" applyProtection="1">
      <alignment horizontal="right"/>
    </xf>
    <xf numFmtId="169" fontId="14" fillId="2" borderId="56" xfId="1" applyNumberFormat="1" applyFont="1" applyFill="1" applyBorder="1" applyAlignment="1" applyProtection="1">
      <alignment horizontal="right"/>
    </xf>
    <xf numFmtId="1" fontId="14" fillId="0" borderId="55" xfId="1" applyNumberFormat="1" applyFont="1" applyFill="1" applyBorder="1" applyAlignment="1" applyProtection="1">
      <alignment horizontal="right"/>
    </xf>
    <xf numFmtId="169" fontId="14" fillId="0" borderId="56" xfId="1" applyNumberFormat="1" applyFont="1" applyFill="1" applyBorder="1" applyAlignment="1" applyProtection="1">
      <alignment horizontal="right"/>
    </xf>
    <xf numFmtId="49" fontId="14" fillId="0" borderId="57" xfId="2" applyNumberFormat="1" applyFont="1" applyFill="1" applyBorder="1" applyAlignment="1" applyProtection="1">
      <alignment horizontal="right"/>
    </xf>
    <xf numFmtId="0" fontId="8" fillId="0" borderId="18" xfId="2" applyFont="1" applyFill="1" applyBorder="1" applyAlignment="1" applyProtection="1">
      <alignment wrapText="1"/>
    </xf>
    <xf numFmtId="169" fontId="11" fillId="0" borderId="58" xfId="1" applyNumberFormat="1" applyFont="1" applyFill="1" applyBorder="1" applyProtection="1"/>
    <xf numFmtId="169" fontId="11" fillId="2" borderId="58" xfId="1" applyNumberFormat="1" applyFont="1" applyFill="1" applyBorder="1" applyProtection="1"/>
    <xf numFmtId="169" fontId="11" fillId="2" borderId="21" xfId="1" applyNumberFormat="1" applyFont="1" applyFill="1" applyBorder="1" applyProtection="1"/>
    <xf numFmtId="169" fontId="11" fillId="0" borderId="59" xfId="1" applyNumberFormat="1" applyFont="1" applyFill="1" applyBorder="1" applyProtection="1"/>
    <xf numFmtId="169" fontId="11" fillId="0" borderId="60" xfId="1" applyNumberFormat="1" applyFont="1" applyFill="1" applyBorder="1" applyProtection="1"/>
    <xf numFmtId="169" fontId="11" fillId="0" borderId="61" xfId="1" applyNumberFormat="1" applyFont="1" applyFill="1" applyBorder="1" applyProtection="1"/>
    <xf numFmtId="169" fontId="11" fillId="2" borderId="61" xfId="1" applyNumberFormat="1" applyFont="1" applyFill="1" applyBorder="1" applyProtection="1"/>
    <xf numFmtId="169" fontId="11" fillId="2" borderId="62" xfId="1" applyNumberFormat="1" applyFont="1" applyFill="1" applyBorder="1" applyProtection="1"/>
    <xf numFmtId="169" fontId="11" fillId="2" borderId="63" xfId="1" applyNumberFormat="1" applyFont="1" applyFill="1" applyBorder="1" applyProtection="1"/>
    <xf numFmtId="169" fontId="11" fillId="0" borderId="0" xfId="17" applyNumberFormat="1" applyFont="1" applyFill="1" applyBorder="1" applyProtection="1"/>
    <xf numFmtId="169" fontId="11" fillId="2" borderId="0" xfId="17" applyNumberFormat="1" applyFont="1" applyFill="1" applyBorder="1" applyProtection="1"/>
    <xf numFmtId="0" fontId="14" fillId="0" borderId="0" xfId="2" applyFont="1" applyFill="1" applyBorder="1" applyAlignment="1" applyProtection="1">
      <alignment wrapText="1"/>
    </xf>
    <xf numFmtId="169" fontId="14" fillId="0" borderId="0" xfId="17" applyNumberFormat="1" applyFont="1" applyFill="1" applyBorder="1" applyProtection="1"/>
    <xf numFmtId="0" fontId="11" fillId="0" borderId="1" xfId="2" applyFont="1" applyFill="1" applyBorder="1" applyAlignment="1" applyProtection="1">
      <alignment wrapText="1"/>
    </xf>
    <xf numFmtId="49" fontId="14" fillId="0" borderId="55" xfId="2" applyNumberFormat="1" applyFont="1" applyFill="1" applyBorder="1" applyAlignment="1" applyProtection="1">
      <alignment horizontal="right"/>
    </xf>
    <xf numFmtId="49" fontId="14" fillId="2" borderId="55" xfId="2" applyNumberFormat="1" applyFont="1" applyFill="1" applyBorder="1" applyAlignment="1" applyProtection="1">
      <alignment horizontal="right"/>
    </xf>
    <xf numFmtId="49" fontId="14" fillId="0" borderId="56" xfId="2" applyNumberFormat="1" applyFont="1" applyFill="1" applyBorder="1" applyAlignment="1" applyProtection="1">
      <alignment horizontal="right"/>
    </xf>
    <xf numFmtId="0" fontId="11" fillId="0" borderId="18" xfId="2" applyFont="1" applyFill="1" applyBorder="1" applyAlignment="1" applyProtection="1">
      <alignment wrapText="1"/>
    </xf>
    <xf numFmtId="169" fontId="11" fillId="0" borderId="58" xfId="17" applyNumberFormat="1" applyFont="1" applyFill="1" applyBorder="1" applyProtection="1"/>
    <xf numFmtId="169" fontId="11" fillId="2" borderId="58" xfId="17" applyNumberFormat="1" applyFont="1" applyFill="1" applyBorder="1" applyProtection="1"/>
    <xf numFmtId="169" fontId="11" fillId="2" borderId="21" xfId="17" applyNumberFormat="1" applyFont="1" applyFill="1" applyBorder="1" applyProtection="1"/>
    <xf numFmtId="169" fontId="11" fillId="0" borderId="64" xfId="1" applyNumberFormat="1" applyFont="1" applyFill="1" applyBorder="1" applyProtection="1"/>
    <xf numFmtId="169" fontId="11" fillId="0" borderId="65" xfId="1" applyNumberFormat="1" applyFont="1" applyFill="1" applyBorder="1" applyProtection="1"/>
    <xf numFmtId="0" fontId="11" fillId="0" borderId="5" xfId="2" applyFont="1" applyFill="1" applyBorder="1" applyAlignment="1" applyProtection="1">
      <alignment wrapText="1"/>
    </xf>
    <xf numFmtId="169" fontId="11" fillId="0" borderId="61" xfId="17" applyNumberFormat="1" applyFont="1" applyFill="1" applyBorder="1" applyProtection="1"/>
    <xf numFmtId="169" fontId="11" fillId="2" borderId="61" xfId="17" applyNumberFormat="1" applyFont="1" applyFill="1" applyBorder="1" applyProtection="1"/>
    <xf numFmtId="169" fontId="11" fillId="2" borderId="62" xfId="17" applyNumberFormat="1" applyFont="1" applyFill="1" applyBorder="1" applyProtection="1"/>
    <xf numFmtId="169" fontId="11" fillId="0" borderId="62" xfId="17" applyNumberFormat="1" applyFont="1" applyFill="1" applyBorder="1" applyProtection="1"/>
    <xf numFmtId="169" fontId="11" fillId="0" borderId="63" xfId="17" applyNumberFormat="1" applyFont="1" applyFill="1" applyBorder="1" applyProtection="1"/>
    <xf numFmtId="0" fontId="11" fillId="0" borderId="0" xfId="2" applyFont="1" applyFill="1" applyBorder="1" applyAlignment="1" applyProtection="1">
      <alignment wrapText="1"/>
    </xf>
    <xf numFmtId="169" fontId="44" fillId="0" borderId="0" xfId="17" applyNumberFormat="1" applyFont="1" applyFill="1" applyBorder="1" applyProtection="1"/>
    <xf numFmtId="169" fontId="44" fillId="2" borderId="0" xfId="17" applyNumberFormat="1" applyFont="1" applyFill="1" applyBorder="1" applyProtection="1"/>
    <xf numFmtId="169" fontId="8" fillId="0" borderId="0" xfId="17" applyNumberFormat="1" applyFont="1" applyFill="1" applyBorder="1" applyProtection="1"/>
    <xf numFmtId="169" fontId="8" fillId="2" borderId="0" xfId="17" applyNumberFormat="1" applyFont="1" applyFill="1" applyBorder="1" applyProtection="1"/>
    <xf numFmtId="0" fontId="44" fillId="0" borderId="0" xfId="2" applyFont="1" applyFill="1" applyBorder="1" applyProtection="1"/>
    <xf numFmtId="0" fontId="44" fillId="0" borderId="0" xfId="2" applyFont="1" applyFill="1" applyBorder="1" applyAlignment="1" applyProtection="1">
      <alignment wrapText="1"/>
    </xf>
    <xf numFmtId="0" fontId="5" fillId="0" borderId="0" xfId="2" applyFont="1" applyFill="1" applyAlignment="1" applyProtection="1">
      <alignment vertical="top" wrapText="1"/>
    </xf>
    <xf numFmtId="0" fontId="1" fillId="0" borderId="0" xfId="2" applyFont="1" applyFill="1" applyAlignment="1" applyProtection="1">
      <alignment wrapText="1"/>
      <protection locked="0"/>
    </xf>
    <xf numFmtId="0" fontId="19" fillId="0" borderId="0" xfId="2" applyFont="1" applyFill="1" applyAlignment="1" applyProtection="1">
      <alignment horizontal="left" vertical="top"/>
    </xf>
    <xf numFmtId="0" fontId="26" fillId="0" borderId="0" xfId="2" applyFont="1" applyFill="1" applyProtection="1"/>
    <xf numFmtId="0" fontId="26" fillId="0" borderId="0" xfId="2" applyFont="1" applyFill="1" applyProtection="1">
      <protection locked="0"/>
    </xf>
    <xf numFmtId="0" fontId="8" fillId="0" borderId="26" xfId="2" applyFont="1" applyFill="1" applyBorder="1" applyProtection="1"/>
    <xf numFmtId="49" fontId="7" fillId="0" borderId="26" xfId="2" applyNumberFormat="1" applyFont="1" applyFill="1" applyBorder="1" applyAlignment="1" applyProtection="1">
      <alignment horizontal="right"/>
    </xf>
    <xf numFmtId="49" fontId="7" fillId="12" borderId="26" xfId="2" applyNumberFormat="1" applyFont="1" applyFill="1" applyBorder="1" applyAlignment="1" applyProtection="1">
      <alignment horizontal="right"/>
    </xf>
    <xf numFmtId="169" fontId="8" fillId="3" borderId="0" xfId="17" applyNumberFormat="1" applyFont="1" applyFill="1" applyBorder="1" applyProtection="1"/>
    <xf numFmtId="169" fontId="44" fillId="0" borderId="64" xfId="17" applyNumberFormat="1" applyFont="1" applyFill="1" applyBorder="1" applyProtection="1"/>
    <xf numFmtId="169" fontId="11" fillId="0" borderId="64" xfId="17" applyNumberFormat="1" applyFont="1" applyFill="1" applyBorder="1" applyProtection="1"/>
    <xf numFmtId="0" fontId="8" fillId="0" borderId="6" xfId="2" applyFont="1" applyFill="1" applyBorder="1" applyAlignment="1" applyProtection="1">
      <alignment wrapText="1"/>
    </xf>
    <xf numFmtId="169" fontId="8" fillId="0" borderId="6" xfId="17" applyNumberFormat="1" applyFont="1" applyFill="1" applyBorder="1" applyProtection="1"/>
    <xf numFmtId="169" fontId="8" fillId="2" borderId="6" xfId="17" applyNumberFormat="1" applyFont="1" applyFill="1" applyBorder="1" applyProtection="1"/>
    <xf numFmtId="169" fontId="8" fillId="0" borderId="6" xfId="1" applyNumberFormat="1" applyFont="1" applyFill="1" applyBorder="1" applyProtection="1"/>
    <xf numFmtId="169" fontId="8" fillId="3" borderId="6" xfId="1" applyNumberFormat="1" applyFont="1" applyFill="1" applyBorder="1" applyProtection="1"/>
    <xf numFmtId="169" fontId="44" fillId="2" borderId="61" xfId="1" applyNumberFormat="1" applyFont="1" applyFill="1" applyBorder="1" applyProtection="1"/>
    <xf numFmtId="169" fontId="7" fillId="0" borderId="0" xfId="17" applyNumberFormat="1" applyFont="1" applyFill="1" applyBorder="1" applyProtection="1"/>
    <xf numFmtId="0" fontId="8" fillId="0" borderId="26" xfId="2" applyFont="1" applyFill="1" applyBorder="1" applyAlignment="1" applyProtection="1">
      <alignment wrapText="1"/>
    </xf>
    <xf numFmtId="49" fontId="7" fillId="2" borderId="26" xfId="2" applyNumberFormat="1" applyFont="1" applyFill="1" applyBorder="1" applyAlignment="1" applyProtection="1">
      <alignment horizontal="right"/>
    </xf>
    <xf numFmtId="169" fontId="8" fillId="3" borderId="6" xfId="17" applyNumberFormat="1" applyFont="1" applyFill="1" applyBorder="1" applyProtection="1"/>
    <xf numFmtId="164" fontId="28" fillId="0" borderId="3" xfId="0" applyNumberFormat="1" applyFont="1" applyFill="1" applyBorder="1" applyAlignment="1">
      <alignment horizontal="right"/>
    </xf>
    <xf numFmtId="2" fontId="8" fillId="8" borderId="0" xfId="8" applyNumberFormat="1" applyFont="1" applyFill="1" applyBorder="1" applyAlignment="1" applyProtection="1">
      <alignment horizontal="right"/>
    </xf>
    <xf numFmtId="0" fontId="7" fillId="13" borderId="0" xfId="3" applyFont="1" applyFill="1" applyBorder="1" applyAlignment="1" applyProtection="1">
      <alignment horizontal="left"/>
      <protection locked="0"/>
    </xf>
    <xf numFmtId="1" fontId="8" fillId="13" borderId="0" xfId="3" applyNumberFormat="1" applyFont="1" applyFill="1" applyBorder="1" applyAlignment="1" applyProtection="1">
      <alignment horizontal="right"/>
      <protection locked="0"/>
    </xf>
    <xf numFmtId="164" fontId="8" fillId="13" borderId="0" xfId="3" applyNumberFormat="1" applyFont="1" applyFill="1" applyBorder="1" applyProtection="1">
      <protection locked="0"/>
    </xf>
    <xf numFmtId="0" fontId="1" fillId="13" borderId="0" xfId="3" applyFont="1" applyFill="1" applyBorder="1" applyProtection="1">
      <protection locked="0"/>
    </xf>
    <xf numFmtId="0" fontId="11" fillId="13" borderId="4" xfId="0" applyFont="1" applyFill="1" applyBorder="1" applyAlignment="1">
      <alignment vertical="center"/>
    </xf>
    <xf numFmtId="0" fontId="14" fillId="13" borderId="26" xfId="0" applyFont="1" applyFill="1" applyBorder="1" applyAlignment="1">
      <alignment horizontal="right" vertical="center" wrapText="1"/>
    </xf>
    <xf numFmtId="0" fontId="14" fillId="13" borderId="26" xfId="0" applyFont="1" applyFill="1" applyBorder="1" applyAlignment="1">
      <alignment horizontal="right" vertical="center"/>
    </xf>
    <xf numFmtId="0" fontId="7" fillId="13" borderId="26" xfId="3" applyFont="1" applyFill="1" applyBorder="1" applyAlignment="1" applyProtection="1">
      <protection locked="0"/>
    </xf>
    <xf numFmtId="0" fontId="7" fillId="13" borderId="27" xfId="3" applyFont="1" applyFill="1" applyBorder="1" applyAlignment="1" applyProtection="1">
      <protection locked="0"/>
    </xf>
    <xf numFmtId="0" fontId="11" fillId="13" borderId="18" xfId="0" applyFont="1" applyFill="1" applyBorder="1" applyAlignment="1">
      <alignment vertical="center"/>
    </xf>
    <xf numFmtId="0" fontId="11" fillId="13" borderId="0" xfId="0" applyFont="1" applyFill="1" applyBorder="1" applyAlignment="1">
      <alignment horizontal="right" vertical="center" wrapText="1"/>
    </xf>
    <xf numFmtId="10" fontId="11" fillId="13" borderId="0" xfId="0" applyNumberFormat="1" applyFont="1" applyFill="1" applyBorder="1" applyAlignment="1">
      <alignment horizontal="right" vertical="center"/>
    </xf>
    <xf numFmtId="0" fontId="45" fillId="13" borderId="0" xfId="0" applyFont="1" applyFill="1" applyBorder="1" applyAlignment="1">
      <alignment horizontal="right" vertical="center"/>
    </xf>
    <xf numFmtId="10" fontId="45" fillId="13" borderId="0" xfId="0" applyNumberFormat="1" applyFont="1" applyFill="1" applyBorder="1" applyAlignment="1">
      <alignment horizontal="right" vertical="center"/>
    </xf>
    <xf numFmtId="0" fontId="11" fillId="13" borderId="0" xfId="3" applyFont="1" applyFill="1" applyBorder="1" applyProtection="1">
      <protection locked="0"/>
    </xf>
    <xf numFmtId="164" fontId="8" fillId="13" borderId="19" xfId="3" applyNumberFormat="1" applyFont="1" applyFill="1" applyBorder="1" applyProtection="1">
      <protection locked="0"/>
    </xf>
    <xf numFmtId="0" fontId="46" fillId="13" borderId="0" xfId="0" applyFont="1" applyFill="1" applyBorder="1" applyAlignment="1">
      <alignment horizontal="right" vertical="center" wrapText="1"/>
    </xf>
    <xf numFmtId="0" fontId="11" fillId="13" borderId="5" xfId="0" applyFont="1" applyFill="1" applyBorder="1" applyAlignment="1">
      <alignment vertical="center"/>
    </xf>
    <xf numFmtId="0" fontId="46" fillId="13" borderId="6" xfId="0" applyFont="1" applyFill="1" applyBorder="1" applyAlignment="1">
      <alignment horizontal="right" vertical="center" wrapText="1"/>
    </xf>
    <xf numFmtId="0" fontId="11" fillId="13" borderId="6" xfId="0" applyFont="1" applyFill="1" applyBorder="1" applyAlignment="1">
      <alignment horizontal="right" vertical="center"/>
    </xf>
    <xf numFmtId="0" fontId="45" fillId="13" borderId="6" xfId="0" applyFont="1" applyFill="1" applyBorder="1" applyAlignment="1">
      <alignment horizontal="right" vertical="center"/>
    </xf>
    <xf numFmtId="10" fontId="45" fillId="13" borderId="6" xfId="0" applyNumberFormat="1" applyFont="1" applyFill="1" applyBorder="1" applyAlignment="1">
      <alignment horizontal="right" vertical="center"/>
    </xf>
    <xf numFmtId="0" fontId="11" fillId="13" borderId="6" xfId="3" applyFont="1" applyFill="1" applyBorder="1" applyProtection="1">
      <protection locked="0"/>
    </xf>
    <xf numFmtId="1" fontId="8" fillId="13" borderId="6" xfId="3" applyNumberFormat="1" applyFont="1" applyFill="1" applyBorder="1" applyAlignment="1" applyProtection="1">
      <alignment horizontal="right"/>
      <protection locked="0"/>
    </xf>
    <xf numFmtId="164" fontId="8" fillId="13" borderId="20" xfId="3" applyNumberFormat="1" applyFont="1" applyFill="1" applyBorder="1" applyProtection="1">
      <protection locked="0"/>
    </xf>
    <xf numFmtId="0" fontId="11" fillId="13" borderId="0" xfId="0" applyFont="1" applyFill="1" applyBorder="1" applyAlignment="1">
      <alignment vertical="center"/>
    </xf>
    <xf numFmtId="0" fontId="11" fillId="13" borderId="0" xfId="0" applyFont="1" applyFill="1" applyBorder="1" applyAlignment="1">
      <alignment horizontal="right" vertical="center"/>
    </xf>
    <xf numFmtId="0" fontId="11" fillId="13" borderId="26" xfId="0" applyFont="1" applyFill="1" applyBorder="1" applyAlignment="1">
      <alignment horizontal="right" vertical="center" wrapText="1"/>
    </xf>
    <xf numFmtId="10" fontId="11" fillId="13" borderId="26" xfId="0" applyNumberFormat="1" applyFont="1" applyFill="1" applyBorder="1" applyAlignment="1">
      <alignment horizontal="right" vertical="center"/>
    </xf>
    <xf numFmtId="10" fontId="8" fillId="13" borderId="26" xfId="11" applyNumberFormat="1" applyFont="1" applyFill="1" applyBorder="1">
      <protection locked="0"/>
    </xf>
    <xf numFmtId="10" fontId="45" fillId="13" borderId="26" xfId="1" applyNumberFormat="1" applyFont="1" applyFill="1" applyBorder="1" applyAlignment="1">
      <alignment horizontal="right" vertical="center"/>
    </xf>
    <xf numFmtId="10" fontId="45" fillId="13" borderId="26" xfId="0" applyNumberFormat="1" applyFont="1" applyFill="1" applyBorder="1" applyAlignment="1">
      <alignment horizontal="right" vertical="center"/>
    </xf>
    <xf numFmtId="10" fontId="11" fillId="13" borderId="26" xfId="1" applyNumberFormat="1" applyFont="1" applyFill="1" applyBorder="1" applyProtection="1">
      <protection locked="0"/>
    </xf>
    <xf numFmtId="10" fontId="8" fillId="13" borderId="26" xfId="1" applyNumberFormat="1" applyFont="1" applyFill="1" applyBorder="1" applyAlignment="1" applyProtection="1">
      <alignment horizontal="right"/>
      <protection locked="0"/>
    </xf>
    <xf numFmtId="10" fontId="45" fillId="13" borderId="26" xfId="0" applyNumberFormat="1" applyFont="1" applyFill="1" applyBorder="1" applyAlignment="1">
      <alignment horizontal="right"/>
    </xf>
    <xf numFmtId="179" fontId="8" fillId="13" borderId="26" xfId="12" applyNumberFormat="1" applyFont="1" applyFill="1" applyBorder="1" applyAlignment="1">
      <alignment horizontal="right"/>
      <protection locked="0"/>
    </xf>
    <xf numFmtId="179" fontId="8" fillId="13" borderId="26" xfId="12" applyNumberFormat="1" applyFont="1" applyFill="1" applyBorder="1">
      <protection locked="0"/>
    </xf>
    <xf numFmtId="10" fontId="8" fillId="13" borderId="26" xfId="1" applyNumberFormat="1" applyFont="1" applyFill="1" applyBorder="1" applyProtection="1">
      <protection locked="0"/>
    </xf>
    <xf numFmtId="10" fontId="8" fillId="13" borderId="27" xfId="1" applyNumberFormat="1" applyFont="1" applyFill="1" applyBorder="1" applyProtection="1">
      <protection locked="0"/>
    </xf>
    <xf numFmtId="10" fontId="8" fillId="13" borderId="0" xfId="1" applyNumberFormat="1" applyFont="1" applyFill="1" applyBorder="1" applyProtection="1">
      <protection locked="0"/>
    </xf>
    <xf numFmtId="179" fontId="8" fillId="13" borderId="0" xfId="12" applyNumberFormat="1" applyFont="1" applyFill="1" applyBorder="1">
      <protection locked="0"/>
    </xf>
    <xf numFmtId="10" fontId="8" fillId="13" borderId="0" xfId="0" applyNumberFormat="1" applyFont="1" applyFill="1" applyBorder="1" applyAlignment="1">
      <alignment horizontal="right" vertical="center"/>
    </xf>
    <xf numFmtId="10" fontId="45" fillId="13" borderId="19" xfId="0" applyNumberFormat="1" applyFont="1" applyFill="1" applyBorder="1" applyAlignment="1">
      <alignment horizontal="right" vertical="center"/>
    </xf>
    <xf numFmtId="10" fontId="8" fillId="13" borderId="0" xfId="1" applyNumberFormat="1" applyFont="1" applyFill="1" applyProtection="1">
      <protection locked="0"/>
    </xf>
    <xf numFmtId="10" fontId="45" fillId="13" borderId="0" xfId="1" applyNumberFormat="1" applyFont="1" applyFill="1" applyBorder="1" applyAlignment="1">
      <alignment horizontal="right" vertical="center"/>
    </xf>
    <xf numFmtId="10" fontId="11" fillId="13" borderId="0" xfId="1" applyNumberFormat="1" applyFont="1" applyFill="1" applyBorder="1" applyProtection="1">
      <protection locked="0"/>
    </xf>
    <xf numFmtId="10" fontId="8" fillId="13" borderId="0" xfId="1" applyNumberFormat="1" applyFont="1" applyFill="1" applyBorder="1" applyAlignment="1" applyProtection="1">
      <alignment horizontal="right"/>
      <protection locked="0"/>
    </xf>
    <xf numFmtId="179" fontId="8" fillId="13" borderId="0" xfId="12" applyNumberFormat="1" applyFont="1" applyFill="1">
      <protection locked="0"/>
    </xf>
    <xf numFmtId="10" fontId="8" fillId="13" borderId="19" xfId="1" applyNumberFormat="1" applyFont="1" applyFill="1" applyBorder="1" applyProtection="1">
      <protection locked="0"/>
    </xf>
    <xf numFmtId="10" fontId="45" fillId="13" borderId="6" xfId="1" applyNumberFormat="1" applyFont="1" applyFill="1" applyBorder="1" applyAlignment="1">
      <alignment horizontal="right" vertical="center"/>
    </xf>
    <xf numFmtId="10" fontId="45" fillId="13" borderId="20" xfId="0" applyNumberFormat="1" applyFont="1" applyFill="1" applyBorder="1" applyAlignment="1">
      <alignment horizontal="right" vertical="center"/>
    </xf>
    <xf numFmtId="0" fontId="19" fillId="0" borderId="0" xfId="2" applyFont="1" applyProtection="1">
      <protection locked="0"/>
    </xf>
    <xf numFmtId="0" fontId="4" fillId="0" borderId="66" xfId="3" applyFont="1" applyFill="1" applyBorder="1" applyAlignment="1" applyProtection="1">
      <alignment vertical="top" wrapText="1"/>
    </xf>
    <xf numFmtId="0" fontId="4" fillId="0" borderId="16" xfId="3" applyFont="1" applyFill="1" applyBorder="1" applyAlignment="1" applyProtection="1">
      <alignment horizontal="left" vertical="top" wrapText="1"/>
    </xf>
    <xf numFmtId="0" fontId="4" fillId="0" borderId="17" xfId="3" applyFont="1" applyFill="1" applyBorder="1" applyAlignment="1" applyProtection="1">
      <alignment horizontal="left" vertical="top" wrapText="1"/>
    </xf>
    <xf numFmtId="0" fontId="4" fillId="0" borderId="0" xfId="3" applyFont="1" applyFill="1" applyBorder="1" applyAlignment="1" applyProtection="1">
      <alignment horizontal="left" vertical="top" wrapText="1"/>
    </xf>
    <xf numFmtId="0" fontId="4" fillId="0" borderId="0" xfId="2" applyFont="1" applyFill="1" applyBorder="1" applyAlignment="1" applyProtection="1">
      <alignment horizontal="left" vertical="top" wrapText="1"/>
    </xf>
    <xf numFmtId="0" fontId="4" fillId="0" borderId="15" xfId="2" applyFont="1" applyFill="1" applyBorder="1" applyAlignment="1" applyProtection="1">
      <alignment vertical="top" wrapText="1"/>
    </xf>
    <xf numFmtId="0" fontId="4" fillId="0" borderId="16" xfId="2" applyFont="1" applyFill="1" applyBorder="1" applyAlignment="1" applyProtection="1">
      <alignment vertical="top" wrapText="1"/>
    </xf>
    <xf numFmtId="0" fontId="4" fillId="0" borderId="17" xfId="2" applyFont="1" applyFill="1" applyBorder="1" applyAlignment="1" applyProtection="1">
      <alignment vertical="top" wrapText="1"/>
    </xf>
    <xf numFmtId="0" fontId="4" fillId="0" borderId="16" xfId="3" applyFont="1" applyFill="1" applyBorder="1" applyAlignment="1">
      <alignment horizontal="left" vertical="top" wrapText="1"/>
    </xf>
    <xf numFmtId="0" fontId="4" fillId="0" borderId="17" xfId="3" applyFont="1" applyFill="1" applyBorder="1" applyAlignment="1">
      <alignment horizontal="left" vertical="top" wrapText="1"/>
    </xf>
    <xf numFmtId="0" fontId="4" fillId="0" borderId="0" xfId="3" applyFont="1" applyFill="1" applyBorder="1" applyAlignment="1">
      <alignment vertical="top" wrapText="1"/>
    </xf>
    <xf numFmtId="0" fontId="5" fillId="0" borderId="0" xfId="5" applyFont="1" applyFill="1" applyAlignment="1" applyProtection="1">
      <alignment vertical="top"/>
    </xf>
    <xf numFmtId="0" fontId="4" fillId="0" borderId="0" xfId="5" applyFill="1" applyAlignment="1" applyProtection="1">
      <alignment vertical="top"/>
    </xf>
    <xf numFmtId="0" fontId="4" fillId="0" borderId="0" xfId="5" applyFill="1" applyProtection="1"/>
    <xf numFmtId="0" fontId="4" fillId="0" borderId="0" xfId="5" applyFill="1" applyProtection="1">
      <protection locked="0"/>
    </xf>
    <xf numFmtId="0" fontId="8" fillId="0" borderId="0" xfId="5" applyFont="1" applyFill="1" applyBorder="1" applyProtection="1">
      <protection locked="0"/>
    </xf>
    <xf numFmtId="178" fontId="8" fillId="0" borderId="0" xfId="15" applyNumberFormat="1" applyFont="1" applyFill="1" applyBorder="1" applyAlignment="1">
      <alignment horizontal="right"/>
    </xf>
    <xf numFmtId="0" fontId="4" fillId="0" borderId="0" xfId="5" applyFill="1" applyBorder="1" applyProtection="1">
      <protection locked="0"/>
    </xf>
    <xf numFmtId="0" fontId="7" fillId="0" borderId="0" xfId="5" applyFont="1" applyFill="1" applyBorder="1" applyAlignment="1" applyProtection="1"/>
    <xf numFmtId="0" fontId="4" fillId="0" borderId="0" xfId="5" applyFill="1" applyBorder="1" applyProtection="1"/>
    <xf numFmtId="0" fontId="8" fillId="0" borderId="0" xfId="5" applyFont="1" applyFill="1" applyBorder="1" applyProtection="1"/>
    <xf numFmtId="178" fontId="8" fillId="0" borderId="6" xfId="15" applyNumberFormat="1" applyFont="1" applyFill="1" applyBorder="1" applyAlignment="1">
      <alignment horizontal="right"/>
    </xf>
    <xf numFmtId="0" fontId="8" fillId="0" borderId="26" xfId="5" applyFont="1" applyFill="1" applyBorder="1" applyAlignment="1" applyProtection="1">
      <alignment wrapText="1"/>
    </xf>
    <xf numFmtId="0" fontId="7" fillId="0" borderId="67" xfId="15" quotePrefix="1" applyFont="1" applyFill="1" applyBorder="1" applyAlignment="1" applyProtection="1">
      <alignment horizontal="center"/>
      <protection locked="0"/>
    </xf>
    <xf numFmtId="0" fontId="7" fillId="0" borderId="0" xfId="5" applyFont="1" applyFill="1" applyBorder="1" applyProtection="1">
      <protection locked="0"/>
    </xf>
    <xf numFmtId="0" fontId="7" fillId="0" borderId="28" xfId="15" applyFont="1" applyFill="1" applyBorder="1" applyAlignment="1" applyProtection="1">
      <alignment horizontal="right"/>
      <protection locked="0"/>
    </xf>
    <xf numFmtId="0" fontId="8" fillId="0" borderId="0" xfId="5" applyFont="1" applyFill="1" applyBorder="1" applyAlignment="1" applyProtection="1">
      <alignment vertical="top" wrapText="1"/>
    </xf>
    <xf numFmtId="172" fontId="8" fillId="2" borderId="28" xfId="19" applyNumberFormat="1" applyFont="1" applyFill="1" applyBorder="1"/>
    <xf numFmtId="0" fontId="0" fillId="0" borderId="0" xfId="0" applyNumberFormat="1"/>
    <xf numFmtId="0" fontId="8" fillId="0" borderId="0" xfId="5" applyFont="1" applyFill="1" applyBorder="1" applyAlignment="1" applyProtection="1">
      <alignment vertical="top"/>
    </xf>
    <xf numFmtId="0" fontId="8" fillId="0" borderId="23" xfId="5" applyFont="1" applyFill="1" applyBorder="1" applyAlignment="1" applyProtection="1">
      <alignment vertical="top"/>
    </xf>
    <xf numFmtId="172" fontId="8" fillId="2" borderId="24" xfId="19" applyNumberFormat="1" applyFont="1" applyFill="1" applyBorder="1"/>
    <xf numFmtId="0" fontId="7" fillId="0" borderId="6" xfId="5" applyFont="1" applyFill="1" applyBorder="1" applyAlignment="1" applyProtection="1">
      <alignment wrapText="1"/>
    </xf>
    <xf numFmtId="172" fontId="7" fillId="0" borderId="6" xfId="7" applyNumberFormat="1" applyFont="1" applyFill="1" applyBorder="1" applyAlignment="1" applyProtection="1">
      <alignment wrapText="1"/>
    </xf>
    <xf numFmtId="178" fontId="7" fillId="0" borderId="68" xfId="15" applyNumberFormat="1" applyFont="1" applyFill="1" applyBorder="1" applyAlignment="1" applyProtection="1">
      <alignment horizontal="right"/>
    </xf>
    <xf numFmtId="0" fontId="3" fillId="14" borderId="69" xfId="0" applyNumberFormat="1" applyFont="1" applyFill="1" applyBorder="1"/>
    <xf numFmtId="0" fontId="7" fillId="0" borderId="25" xfId="5" applyFont="1" applyFill="1" applyBorder="1" applyAlignment="1" applyProtection="1">
      <alignment wrapText="1"/>
    </xf>
    <xf numFmtId="178" fontId="7" fillId="0" borderId="0" xfId="15" applyNumberFormat="1" applyFont="1" applyFill="1" applyBorder="1" applyAlignment="1" applyProtection="1">
      <alignment horizontal="right"/>
    </xf>
    <xf numFmtId="178" fontId="7" fillId="0" borderId="26" xfId="15" applyNumberFormat="1" applyFont="1" applyFill="1" applyBorder="1" applyAlignment="1" applyProtection="1">
      <alignment horizontal="right"/>
    </xf>
    <xf numFmtId="178" fontId="7" fillId="2" borderId="0" xfId="15" applyNumberFormat="1" applyFont="1" applyFill="1" applyBorder="1" applyAlignment="1" applyProtection="1">
      <alignment horizontal="right"/>
    </xf>
    <xf numFmtId="178" fontId="7" fillId="2" borderId="26" xfId="15" applyNumberFormat="1" applyFont="1" applyFill="1" applyBorder="1" applyAlignment="1" applyProtection="1">
      <alignment horizontal="right"/>
    </xf>
    <xf numFmtId="0" fontId="4" fillId="0" borderId="26" xfId="15" applyFill="1" applyBorder="1" applyProtection="1">
      <protection locked="0"/>
    </xf>
    <xf numFmtId="0" fontId="4" fillId="0" borderId="26" xfId="5" applyFill="1" applyBorder="1" applyProtection="1">
      <protection locked="0"/>
    </xf>
    <xf numFmtId="0" fontId="8" fillId="0" borderId="25" xfId="5" applyFont="1" applyFill="1" applyBorder="1" applyAlignment="1" applyProtection="1">
      <alignment wrapText="1"/>
    </xf>
    <xf numFmtId="182" fontId="8" fillId="0" borderId="70" xfId="15" applyNumberFormat="1" applyFont="1" applyFill="1" applyBorder="1" applyAlignment="1" applyProtection="1">
      <alignment horizontal="right"/>
    </xf>
    <xf numFmtId="0" fontId="8" fillId="0" borderId="6" xfId="5" applyFont="1" applyFill="1" applyBorder="1" applyAlignment="1" applyProtection="1">
      <alignment wrapText="1"/>
    </xf>
    <xf numFmtId="182" fontId="8" fillId="0" borderId="68" xfId="15" applyNumberFormat="1" applyFont="1" applyFill="1" applyBorder="1" applyAlignment="1" applyProtection="1">
      <alignment horizontal="right"/>
    </xf>
    <xf numFmtId="0" fontId="8" fillId="0" borderId="0" xfId="5" applyFont="1" applyFill="1" applyBorder="1" applyAlignment="1" applyProtection="1">
      <alignment wrapText="1"/>
    </xf>
    <xf numFmtId="182" fontId="8" fillId="0" borderId="0" xfId="15" applyNumberFormat="1" applyFont="1" applyFill="1" applyBorder="1" applyAlignment="1" applyProtection="1">
      <alignment horizontal="right"/>
    </xf>
    <xf numFmtId="182" fontId="8" fillId="2" borderId="0" xfId="15" applyNumberFormat="1" applyFont="1" applyFill="1" applyBorder="1" applyAlignment="1" applyProtection="1">
      <alignment horizontal="right"/>
    </xf>
    <xf numFmtId="0" fontId="4" fillId="0" borderId="0" xfId="15" applyFill="1" applyBorder="1" applyProtection="1">
      <protection locked="0"/>
    </xf>
    <xf numFmtId="0" fontId="4" fillId="0" borderId="0" xfId="15" applyFill="1" applyProtection="1">
      <protection locked="0"/>
    </xf>
    <xf numFmtId="0" fontId="7" fillId="0" borderId="0" xfId="5" applyFont="1" applyFill="1" applyBorder="1" applyProtection="1"/>
    <xf numFmtId="0" fontId="7" fillId="0" borderId="0" xfId="15" applyFont="1" applyFill="1" applyBorder="1" applyProtection="1"/>
    <xf numFmtId="182" fontId="8" fillId="2" borderId="6" xfId="15" applyNumberFormat="1" applyFont="1" applyFill="1" applyBorder="1" applyAlignment="1" applyProtection="1">
      <alignment horizontal="right"/>
    </xf>
    <xf numFmtId="0" fontId="4" fillId="0" borderId="6" xfId="15" applyFill="1" applyBorder="1" applyProtection="1">
      <protection locked="0"/>
    </xf>
    <xf numFmtId="0" fontId="4" fillId="0" borderId="6" xfId="5" applyFill="1" applyBorder="1" applyProtection="1">
      <protection locked="0"/>
    </xf>
    <xf numFmtId="0" fontId="8" fillId="0" borderId="0" xfId="15" applyFont="1" applyFill="1" applyBorder="1" applyAlignment="1" applyProtection="1">
      <alignment vertical="top" wrapText="1"/>
    </xf>
    <xf numFmtId="182" fontId="8" fillId="0" borderId="28" xfId="15" applyNumberFormat="1" applyFont="1" applyFill="1" applyBorder="1" applyAlignment="1" applyProtection="1">
      <alignment horizontal="right"/>
    </xf>
    <xf numFmtId="0" fontId="8" fillId="0" borderId="23" xfId="15" applyFont="1" applyFill="1" applyBorder="1" applyAlignment="1" applyProtection="1">
      <alignment vertical="top" wrapText="1"/>
    </xf>
    <xf numFmtId="182" fontId="8" fillId="0" borderId="24" xfId="15" applyNumberFormat="1" applyFont="1" applyFill="1" applyBorder="1" applyAlignment="1" applyProtection="1">
      <alignment horizontal="right"/>
    </xf>
    <xf numFmtId="0" fontId="15" fillId="0" borderId="0" xfId="5" applyFont="1" applyFill="1" applyAlignment="1" applyProtection="1">
      <alignment vertical="top"/>
    </xf>
    <xf numFmtId="0" fontId="7" fillId="0" borderId="6" xfId="5" applyFont="1" applyFill="1" applyBorder="1" applyAlignment="1" applyProtection="1">
      <alignment vertical="top" wrapText="1"/>
    </xf>
    <xf numFmtId="182" fontId="7" fillId="0" borderId="68" xfId="15" applyNumberFormat="1" applyFont="1" applyFill="1" applyBorder="1" applyAlignment="1" applyProtection="1">
      <alignment horizontal="right"/>
    </xf>
    <xf numFmtId="0" fontId="15" fillId="0" borderId="0" xfId="5" applyFont="1" applyFill="1" applyProtection="1">
      <protection locked="0"/>
    </xf>
    <xf numFmtId="0" fontId="8" fillId="0" borderId="0" xfId="5" applyFont="1" applyFill="1" applyProtection="1"/>
    <xf numFmtId="0" fontId="13" fillId="0" borderId="0" xfId="5" applyFont="1" applyFill="1" applyProtection="1"/>
    <xf numFmtId="0" fontId="5" fillId="0" borderId="0" xfId="5" applyFont="1" applyFill="1" applyAlignment="1" applyProtection="1">
      <alignment vertical="top" wrapText="1"/>
    </xf>
    <xf numFmtId="0" fontId="5" fillId="0" borderId="0" xfId="15" applyFont="1" applyFill="1" applyAlignment="1" applyProtection="1">
      <alignment vertical="top"/>
    </xf>
    <xf numFmtId="0" fontId="4" fillId="0" borderId="0" xfId="15" applyFill="1" applyAlignment="1" applyProtection="1">
      <alignment vertical="top"/>
    </xf>
    <xf numFmtId="183" fontId="7" fillId="0" borderId="0" xfId="15" applyNumberFormat="1" applyFont="1"/>
    <xf numFmtId="0" fontId="8" fillId="0" borderId="0" xfId="15" applyFont="1" applyFill="1"/>
    <xf numFmtId="0" fontId="8" fillId="2" borderId="0" xfId="15" applyFont="1" applyFill="1"/>
    <xf numFmtId="0" fontId="8" fillId="0" borderId="26" xfId="15" applyFont="1" applyFill="1" applyBorder="1" applyAlignment="1" applyProtection="1">
      <alignment wrapText="1"/>
    </xf>
    <xf numFmtId="0" fontId="7" fillId="0" borderId="0" xfId="15" applyFont="1" applyFill="1" applyBorder="1" applyProtection="1">
      <protection locked="0"/>
    </xf>
    <xf numFmtId="178" fontId="8" fillId="0" borderId="28" xfId="15" applyNumberFormat="1" applyFont="1" applyFill="1" applyBorder="1" applyAlignment="1" applyProtection="1">
      <alignment horizontal="right"/>
    </xf>
    <xf numFmtId="0" fontId="7" fillId="0" borderId="2" xfId="15" applyFont="1" applyFill="1" applyBorder="1" applyAlignment="1" applyProtection="1">
      <alignment vertical="top" wrapText="1"/>
    </xf>
    <xf numFmtId="182" fontId="63" fillId="15" borderId="71" xfId="15" applyNumberFormat="1" applyFont="1" applyFill="1" applyBorder="1" applyAlignment="1" applyProtection="1">
      <alignment horizontal="right"/>
    </xf>
    <xf numFmtId="0" fontId="4" fillId="2" borderId="0" xfId="15" applyFill="1" applyProtection="1">
      <protection locked="0"/>
    </xf>
    <xf numFmtId="182" fontId="8" fillId="2" borderId="58" xfId="15" applyNumberFormat="1" applyFont="1" applyFill="1" applyBorder="1" applyAlignment="1" applyProtection="1">
      <alignment horizontal="right"/>
    </xf>
    <xf numFmtId="182" fontId="7" fillId="0" borderId="71" xfId="15" applyNumberFormat="1" applyFont="1" applyFill="1" applyBorder="1" applyAlignment="1" applyProtection="1">
      <alignment horizontal="right"/>
    </xf>
    <xf numFmtId="183" fontId="7" fillId="0" borderId="0" xfId="5" applyNumberFormat="1" applyFont="1"/>
    <xf numFmtId="0" fontId="8" fillId="0" borderId="0" xfId="5" applyFont="1" applyFill="1"/>
    <xf numFmtId="0" fontId="7" fillId="0" borderId="67" xfId="5" quotePrefix="1" applyFont="1" applyFill="1" applyBorder="1" applyAlignment="1" applyProtection="1">
      <alignment horizontal="right"/>
      <protection locked="0"/>
    </xf>
    <xf numFmtId="0" fontId="7" fillId="0" borderId="26" xfId="5" quotePrefix="1" applyFont="1" applyFill="1" applyBorder="1" applyAlignment="1" applyProtection="1">
      <alignment horizontal="center"/>
      <protection locked="0"/>
    </xf>
    <xf numFmtId="0" fontId="7" fillId="0" borderId="67" xfId="5" applyFont="1" applyFill="1" applyBorder="1" applyAlignment="1" applyProtection="1">
      <alignment horizontal="center"/>
      <protection locked="0"/>
    </xf>
    <xf numFmtId="0" fontId="7" fillId="0" borderId="59" xfId="5" applyFont="1" applyFill="1" applyBorder="1" applyAlignment="1" applyProtection="1">
      <alignment horizontal="center"/>
      <protection locked="0"/>
    </xf>
    <xf numFmtId="0" fontId="7" fillId="4" borderId="64" xfId="5" applyFont="1" applyFill="1" applyBorder="1" applyAlignment="1" applyProtection="1">
      <alignment horizontal="center"/>
      <protection locked="0"/>
    </xf>
    <xf numFmtId="0" fontId="7" fillId="4" borderId="0" xfId="5" applyFont="1" applyFill="1" applyBorder="1" applyAlignment="1" applyProtection="1">
      <alignment horizontal="center"/>
      <protection locked="0"/>
    </xf>
    <xf numFmtId="0" fontId="7" fillId="0" borderId="0" xfId="5" applyFont="1" applyFill="1" applyBorder="1" applyAlignment="1" applyProtection="1">
      <alignment horizontal="center"/>
      <protection locked="0"/>
    </xf>
    <xf numFmtId="0" fontId="7" fillId="0" borderId="28" xfId="5" applyFont="1" applyFill="1" applyBorder="1" applyAlignment="1" applyProtection="1">
      <alignment horizontal="right"/>
      <protection locked="0"/>
    </xf>
    <xf numFmtId="0" fontId="7" fillId="0" borderId="58" xfId="5" applyFont="1" applyFill="1" applyBorder="1" applyAlignment="1" applyProtection="1">
      <alignment horizontal="right"/>
      <protection locked="0"/>
    </xf>
    <xf numFmtId="0" fontId="7" fillId="2" borderId="58" xfId="5" applyFont="1" applyFill="1" applyBorder="1" applyAlignment="1" applyProtection="1">
      <alignment horizontal="right"/>
      <protection locked="0"/>
    </xf>
    <xf numFmtId="0" fontId="7" fillId="2" borderId="21" xfId="5" applyFont="1" applyFill="1" applyBorder="1" applyAlignment="1" applyProtection="1">
      <alignment horizontal="right"/>
      <protection locked="0"/>
    </xf>
    <xf numFmtId="182" fontId="7" fillId="2" borderId="28" xfId="5" applyNumberFormat="1" applyFont="1" applyFill="1" applyBorder="1" applyAlignment="1" applyProtection="1">
      <alignment horizontal="right"/>
    </xf>
    <xf numFmtId="182" fontId="8" fillId="0" borderId="28" xfId="5" applyNumberFormat="1" applyFont="1" applyFill="1" applyBorder="1" applyAlignment="1" applyProtection="1">
      <alignment horizontal="right"/>
    </xf>
    <xf numFmtId="182" fontId="8" fillId="0" borderId="58" xfId="5" applyNumberFormat="1" applyFont="1" applyFill="1" applyBorder="1" applyAlignment="1" applyProtection="1">
      <alignment horizontal="right"/>
    </xf>
    <xf numFmtId="182" fontId="8" fillId="2" borderId="58" xfId="5" applyNumberFormat="1" applyFont="1" applyFill="1" applyBorder="1" applyAlignment="1" applyProtection="1">
      <alignment horizontal="right"/>
    </xf>
    <xf numFmtId="182" fontId="8" fillId="2" borderId="21" xfId="5" applyNumberFormat="1" applyFont="1" applyFill="1" applyBorder="1" applyAlignment="1" applyProtection="1">
      <alignment horizontal="right"/>
    </xf>
    <xf numFmtId="182" fontId="8" fillId="2" borderId="28" xfId="5" applyNumberFormat="1" applyFont="1" applyFill="1" applyBorder="1" applyAlignment="1" applyProtection="1">
      <alignment horizontal="right"/>
    </xf>
    <xf numFmtId="0" fontId="7" fillId="0" borderId="2" xfId="5" applyFont="1" applyFill="1" applyBorder="1" applyAlignment="1" applyProtection="1">
      <alignment vertical="top" wrapText="1"/>
    </xf>
    <xf numFmtId="182" fontId="7" fillId="0" borderId="71" xfId="5" applyNumberFormat="1" applyFont="1" applyFill="1" applyBorder="1" applyAlignment="1" applyProtection="1">
      <alignment horizontal="right"/>
    </xf>
    <xf numFmtId="182" fontId="7" fillId="0" borderId="55" xfId="5" applyNumberFormat="1" applyFont="1" applyFill="1" applyBorder="1" applyAlignment="1" applyProtection="1">
      <alignment horizontal="right"/>
    </xf>
    <xf numFmtId="182" fontId="7" fillId="2" borderId="55" xfId="5" applyNumberFormat="1" applyFont="1" applyFill="1" applyBorder="1" applyAlignment="1" applyProtection="1">
      <alignment horizontal="right"/>
    </xf>
    <xf numFmtId="182" fontId="7" fillId="2" borderId="56" xfId="5" applyNumberFormat="1" applyFont="1" applyFill="1" applyBorder="1" applyAlignment="1" applyProtection="1">
      <alignment horizontal="right"/>
    </xf>
    <xf numFmtId="182" fontId="7" fillId="2" borderId="71" xfId="5" applyNumberFormat="1" applyFont="1" applyFill="1" applyBorder="1" applyAlignment="1" applyProtection="1">
      <alignment horizontal="right"/>
    </xf>
    <xf numFmtId="0" fontId="7" fillId="0" borderId="21" xfId="5" applyFont="1" applyFill="1" applyBorder="1" applyProtection="1">
      <protection locked="0"/>
    </xf>
    <xf numFmtId="182" fontId="4" fillId="0" borderId="0" xfId="5" applyNumberFormat="1" applyFill="1" applyProtection="1">
      <protection locked="0"/>
    </xf>
    <xf numFmtId="0" fontId="65" fillId="0" borderId="0" xfId="5" applyFont="1" applyFill="1" applyAlignment="1" applyProtection="1">
      <alignment vertical="top"/>
    </xf>
    <xf numFmtId="0" fontId="66" fillId="0" borderId="0" xfId="5" applyFont="1" applyFill="1" applyAlignment="1" applyProtection="1">
      <alignment vertical="top"/>
    </xf>
    <xf numFmtId="0" fontId="66" fillId="0" borderId="0" xfId="5" applyFont="1" applyFill="1" applyProtection="1">
      <protection locked="0"/>
    </xf>
    <xf numFmtId="0" fontId="65" fillId="0" borderId="0" xfId="5" applyFont="1" applyFill="1" applyBorder="1" applyAlignment="1" applyProtection="1">
      <alignment vertical="top"/>
    </xf>
    <xf numFmtId="0" fontId="66" fillId="0" borderId="0" xfId="5" applyFont="1" applyFill="1" applyBorder="1" applyAlignment="1" applyProtection="1">
      <alignment vertical="top"/>
    </xf>
    <xf numFmtId="0" fontId="67" fillId="0" borderId="0" xfId="5" applyFont="1" applyFill="1" applyBorder="1" applyAlignment="1" applyProtection="1">
      <alignment wrapText="1"/>
    </xf>
    <xf numFmtId="0" fontId="68" fillId="0" borderId="0" xfId="15" quotePrefix="1" applyFont="1" applyFill="1" applyBorder="1" applyAlignment="1" applyProtection="1">
      <alignment horizontal="right"/>
      <protection locked="0"/>
    </xf>
    <xf numFmtId="0" fontId="68" fillId="0" borderId="0" xfId="15" quotePrefix="1" applyFont="1" applyFill="1" applyBorder="1" applyAlignment="1" applyProtection="1">
      <alignment horizontal="center"/>
      <protection locked="0"/>
    </xf>
    <xf numFmtId="0" fontId="68" fillId="0" borderId="0" xfId="15" applyFont="1" applyFill="1" applyBorder="1" applyAlignment="1" applyProtection="1">
      <alignment horizontal="center"/>
      <protection locked="0"/>
    </xf>
    <xf numFmtId="0" fontId="68" fillId="2" borderId="0" xfId="15" applyFont="1" applyFill="1" applyBorder="1" applyAlignment="1" applyProtection="1">
      <alignment horizontal="center"/>
      <protection locked="0"/>
    </xf>
    <xf numFmtId="0" fontId="68" fillId="4" borderId="0" xfId="15" applyFont="1" applyFill="1" applyBorder="1" applyAlignment="1" applyProtection="1">
      <alignment horizontal="center"/>
      <protection locked="0"/>
    </xf>
    <xf numFmtId="0" fontId="66" fillId="0" borderId="0" xfId="5" applyFont="1" applyFill="1" applyBorder="1" applyProtection="1">
      <protection locked="0"/>
    </xf>
    <xf numFmtId="0" fontId="68" fillId="0" borderId="0" xfId="5" applyFont="1" applyFill="1" applyBorder="1" applyProtection="1">
      <protection locked="0"/>
    </xf>
    <xf numFmtId="0" fontId="68" fillId="0" borderId="0" xfId="15" applyFont="1" applyFill="1" applyBorder="1" applyAlignment="1" applyProtection="1">
      <alignment horizontal="right"/>
      <protection locked="0"/>
    </xf>
    <xf numFmtId="0" fontId="68" fillId="2" borderId="0" xfId="15" applyFont="1" applyFill="1" applyBorder="1" applyAlignment="1" applyProtection="1">
      <alignment horizontal="right"/>
      <protection locked="0"/>
    </xf>
    <xf numFmtId="182" fontId="67" fillId="2" borderId="0" xfId="15" applyNumberFormat="1" applyFont="1" applyFill="1" applyBorder="1" applyAlignment="1" applyProtection="1">
      <alignment horizontal="right"/>
    </xf>
    <xf numFmtId="182" fontId="67" fillId="0" borderId="0" xfId="15" applyNumberFormat="1" applyFont="1" applyFill="1" applyBorder="1" applyAlignment="1" applyProtection="1">
      <alignment horizontal="right"/>
    </xf>
    <xf numFmtId="0" fontId="5" fillId="0" borderId="0" xfId="5" applyFont="1" applyFill="1" applyBorder="1" applyAlignment="1" applyProtection="1">
      <alignment vertical="top"/>
    </xf>
    <xf numFmtId="0" fontId="4" fillId="0" borderId="0" xfId="5" applyFill="1" applyBorder="1" applyAlignment="1" applyProtection="1">
      <alignment vertical="top"/>
    </xf>
    <xf numFmtId="182" fontId="7" fillId="2" borderId="0" xfId="15" applyNumberFormat="1" applyFont="1" applyFill="1" applyBorder="1" applyAlignment="1" applyProtection="1">
      <alignment horizontal="right"/>
    </xf>
    <xf numFmtId="182" fontId="7" fillId="0" borderId="0" xfId="15" applyNumberFormat="1" applyFont="1" applyFill="1" applyBorder="1" applyAlignment="1" applyProtection="1">
      <alignment horizontal="right"/>
    </xf>
    <xf numFmtId="0" fontId="4" fillId="0" borderId="0" xfId="5" applyFont="1" applyFill="1" applyProtection="1"/>
    <xf numFmtId="0" fontId="4" fillId="0" borderId="0" xfId="5" applyFont="1" applyFill="1" applyBorder="1" applyAlignment="1" applyProtection="1">
      <alignment horizontal="left" vertical="top"/>
    </xf>
    <xf numFmtId="0" fontId="7" fillId="0" borderId="6" xfId="5" applyFont="1" applyFill="1" applyBorder="1" applyAlignment="1" applyProtection="1"/>
    <xf numFmtId="0" fontId="4" fillId="0" borderId="6" xfId="5" applyFill="1" applyBorder="1" applyProtection="1"/>
    <xf numFmtId="0" fontId="8" fillId="0" borderId="26" xfId="5" applyFont="1" applyFill="1" applyBorder="1" applyProtection="1"/>
    <xf numFmtId="0" fontId="7" fillId="0" borderId="67" xfId="15" quotePrefix="1" applyFont="1" applyFill="1" applyBorder="1" applyAlignment="1" applyProtection="1">
      <alignment horizontal="center"/>
    </xf>
    <xf numFmtId="0" fontId="7" fillId="0" borderId="67" xfId="15" applyFont="1" applyFill="1" applyBorder="1" applyAlignment="1" applyProtection="1">
      <alignment horizontal="center"/>
    </xf>
    <xf numFmtId="164" fontId="8" fillId="0" borderId="28" xfId="15" applyNumberFormat="1" applyFont="1" applyBorder="1" applyProtection="1"/>
    <xf numFmtId="0" fontId="8" fillId="0" borderId="6" xfId="5" applyFont="1" applyFill="1" applyBorder="1" applyProtection="1"/>
    <xf numFmtId="164" fontId="8" fillId="0" borderId="68" xfId="15" applyNumberFormat="1" applyFont="1" applyBorder="1" applyProtection="1"/>
    <xf numFmtId="164" fontId="8" fillId="2" borderId="68" xfId="15" applyNumberFormat="1" applyFont="1" applyFill="1" applyBorder="1" applyProtection="1"/>
    <xf numFmtId="164" fontId="8" fillId="0" borderId="0" xfId="5" applyNumberFormat="1" applyFont="1" applyFill="1" applyBorder="1" applyAlignment="1" applyProtection="1">
      <alignment horizontal="right"/>
    </xf>
    <xf numFmtId="0" fontId="8" fillId="0" borderId="0" xfId="5" applyFont="1" applyFill="1" applyBorder="1" applyAlignment="1" applyProtection="1">
      <alignment horizontal="right"/>
    </xf>
    <xf numFmtId="0" fontId="8" fillId="0" borderId="0" xfId="5" applyFont="1" applyFill="1" applyBorder="1" applyAlignment="1" applyProtection="1">
      <alignment horizontal="right" shrinkToFit="1"/>
    </xf>
    <xf numFmtId="164" fontId="8" fillId="0" borderId="0" xfId="5" applyNumberFormat="1" applyFont="1" applyFill="1" applyBorder="1" applyAlignment="1" applyProtection="1">
      <alignment horizontal="right" shrinkToFit="1"/>
    </xf>
    <xf numFmtId="164" fontId="8" fillId="0" borderId="26" xfId="5" applyNumberFormat="1" applyFont="1" applyFill="1" applyBorder="1" applyAlignment="1" applyProtection="1">
      <alignment horizontal="right" shrinkToFit="1"/>
    </xf>
    <xf numFmtId="164" fontId="8" fillId="0" borderId="0" xfId="5" applyNumberFormat="1" applyFont="1" applyBorder="1" applyProtection="1"/>
    <xf numFmtId="164" fontId="8" fillId="2" borderId="0" xfId="5" applyNumberFormat="1" applyFont="1" applyFill="1" applyBorder="1" applyAlignment="1" applyProtection="1">
      <alignment horizontal="right"/>
    </xf>
    <xf numFmtId="164" fontId="8" fillId="0" borderId="28" xfId="15" applyNumberFormat="1" applyFont="1" applyFill="1" applyBorder="1" applyAlignment="1" applyProtection="1">
      <alignment horizontal="right"/>
    </xf>
    <xf numFmtId="0" fontId="8" fillId="0" borderId="28" xfId="15" applyFont="1" applyFill="1" applyBorder="1" applyAlignment="1" applyProtection="1">
      <alignment horizontal="right"/>
    </xf>
    <xf numFmtId="0" fontId="8" fillId="0" borderId="28" xfId="15" applyFont="1" applyFill="1" applyBorder="1" applyAlignment="1" applyProtection="1">
      <alignment horizontal="right" shrinkToFit="1"/>
    </xf>
    <xf numFmtId="164" fontId="8" fillId="0" borderId="28" xfId="15" applyNumberFormat="1" applyFont="1" applyFill="1" applyBorder="1" applyAlignment="1" applyProtection="1">
      <alignment horizontal="right" shrinkToFit="1"/>
    </xf>
    <xf numFmtId="0" fontId="7" fillId="0" borderId="2" xfId="5" applyFont="1" applyFill="1" applyBorder="1" applyAlignment="1" applyProtection="1">
      <alignment wrapText="1"/>
    </xf>
    <xf numFmtId="164" fontId="7" fillId="0" borderId="71" xfId="15" applyNumberFormat="1" applyFont="1" applyFill="1" applyBorder="1" applyAlignment="1" applyProtection="1">
      <alignment horizontal="right"/>
    </xf>
    <xf numFmtId="0" fontId="7" fillId="0" borderId="26" xfId="5" applyFont="1" applyFill="1" applyBorder="1" applyAlignment="1" applyProtection="1">
      <alignment wrapText="1"/>
    </xf>
    <xf numFmtId="164" fontId="7" fillId="0" borderId="26" xfId="15" applyNumberFormat="1" applyFont="1" applyBorder="1" applyProtection="1"/>
    <xf numFmtId="164" fontId="7" fillId="0" borderId="0" xfId="15" applyNumberFormat="1" applyFont="1" applyFill="1" applyBorder="1" applyAlignment="1" applyProtection="1">
      <alignment wrapText="1"/>
    </xf>
    <xf numFmtId="164" fontId="7" fillId="0" borderId="0" xfId="5" applyNumberFormat="1" applyFont="1" applyFill="1" applyBorder="1" applyAlignment="1" applyProtection="1">
      <alignment wrapText="1"/>
    </xf>
    <xf numFmtId="0" fontId="7" fillId="0" borderId="6" xfId="15" applyFont="1" applyFill="1" applyBorder="1" applyAlignment="1" applyProtection="1"/>
    <xf numFmtId="0" fontId="7" fillId="0" borderId="6" xfId="15" applyFont="1" applyFill="1" applyBorder="1" applyProtection="1"/>
    <xf numFmtId="0" fontId="8" fillId="0" borderId="6" xfId="15" applyFont="1" applyFill="1" applyBorder="1" applyAlignment="1" applyProtection="1">
      <alignment horizontal="right"/>
    </xf>
    <xf numFmtId="164" fontId="8" fillId="0" borderId="6" xfId="15" applyNumberFormat="1" applyFont="1" applyFill="1" applyBorder="1" applyAlignment="1" applyProtection="1">
      <alignment horizontal="right"/>
    </xf>
    <xf numFmtId="0" fontId="8" fillId="0" borderId="6" xfId="15" applyFont="1" applyFill="1" applyBorder="1" applyAlignment="1" applyProtection="1">
      <alignment horizontal="right" shrinkToFit="1"/>
    </xf>
    <xf numFmtId="0" fontId="4" fillId="0" borderId="6" xfId="15" applyFont="1" applyFill="1" applyBorder="1" applyProtection="1"/>
    <xf numFmtId="0" fontId="8" fillId="0" borderId="6" xfId="15" applyFont="1" applyFill="1" applyBorder="1" applyProtection="1"/>
    <xf numFmtId="1" fontId="7" fillId="0" borderId="6" xfId="15" applyNumberFormat="1" applyFont="1" applyFill="1" applyBorder="1" applyAlignment="1" applyProtection="1">
      <alignment horizontal="center"/>
    </xf>
    <xf numFmtId="0" fontId="4" fillId="0" borderId="0" xfId="15" applyFill="1" applyProtection="1"/>
    <xf numFmtId="0" fontId="7" fillId="0" borderId="0" xfId="15" applyFont="1" applyFill="1" applyBorder="1" applyAlignment="1" applyProtection="1"/>
    <xf numFmtId="0" fontId="7" fillId="0" borderId="28" xfId="5" quotePrefix="1" applyFont="1" applyFill="1" applyBorder="1" applyAlignment="1" applyProtection="1">
      <alignment horizontal="center"/>
    </xf>
    <xf numFmtId="1" fontId="7" fillId="0" borderId="28" xfId="5" applyNumberFormat="1" applyFont="1" applyFill="1" applyBorder="1" applyAlignment="1" applyProtection="1">
      <alignment horizontal="center"/>
    </xf>
    <xf numFmtId="1" fontId="7" fillId="0" borderId="59" xfId="5" applyNumberFormat="1" applyFont="1" applyFill="1" applyBorder="1" applyAlignment="1" applyProtection="1">
      <alignment horizontal="center"/>
    </xf>
    <xf numFmtId="0" fontId="69" fillId="0" borderId="0" xfId="15" applyFont="1" applyFill="1" applyAlignment="1" applyProtection="1">
      <alignment vertical="top"/>
    </xf>
    <xf numFmtId="0" fontId="40" fillId="0" borderId="0" xfId="15" applyFont="1" applyFill="1" applyAlignment="1" applyProtection="1">
      <alignment vertical="top"/>
    </xf>
    <xf numFmtId="0" fontId="8" fillId="2" borderId="0" xfId="15" applyFont="1" applyFill="1" applyBorder="1" applyAlignment="1" applyProtection="1">
      <alignment horizontal="left" shrinkToFit="1"/>
    </xf>
    <xf numFmtId="166" fontId="70" fillId="0" borderId="28" xfId="0" applyNumberFormat="1" applyFont="1" applyBorder="1"/>
    <xf numFmtId="166" fontId="70" fillId="0" borderId="28" xfId="0" applyNumberFormat="1" applyFont="1" applyFill="1" applyBorder="1"/>
    <xf numFmtId="166" fontId="70" fillId="0" borderId="58" xfId="0" applyNumberFormat="1" applyFont="1" applyFill="1" applyBorder="1"/>
    <xf numFmtId="0" fontId="40" fillId="0" borderId="0" xfId="15" applyFont="1" applyFill="1" applyProtection="1"/>
    <xf numFmtId="164" fontId="8" fillId="2" borderId="0" xfId="15" applyNumberFormat="1" applyFont="1" applyFill="1" applyBorder="1" applyProtection="1"/>
    <xf numFmtId="164" fontId="7" fillId="2" borderId="6" xfId="15" applyNumberFormat="1" applyFont="1" applyFill="1" applyBorder="1" applyProtection="1"/>
    <xf numFmtId="166" fontId="71" fillId="16" borderId="68" xfId="0" applyNumberFormat="1" applyFont="1" applyFill="1" applyBorder="1"/>
    <xf numFmtId="166" fontId="71" fillId="0" borderId="68" xfId="0" applyNumberFormat="1" applyFont="1" applyFill="1" applyBorder="1"/>
    <xf numFmtId="166" fontId="71" fillId="0" borderId="61" xfId="0" applyNumberFormat="1" applyFont="1" applyFill="1" applyBorder="1"/>
    <xf numFmtId="0" fontId="7" fillId="0" borderId="0" xfId="15" applyFont="1" applyFill="1" applyBorder="1" applyAlignment="1" applyProtection="1">
      <alignment wrapText="1"/>
    </xf>
    <xf numFmtId="164" fontId="7" fillId="2" borderId="0" xfId="15" applyNumberFormat="1" applyFont="1" applyFill="1" applyBorder="1" applyProtection="1"/>
    <xf numFmtId="164" fontId="8" fillId="2" borderId="0" xfId="15" applyNumberFormat="1" applyFont="1" applyFill="1" applyBorder="1" applyAlignment="1" applyProtection="1">
      <alignment horizontal="right"/>
    </xf>
    <xf numFmtId="164" fontId="8" fillId="0" borderId="0" xfId="15" applyNumberFormat="1" applyFont="1" applyFill="1" applyBorder="1" applyAlignment="1" applyProtection="1">
      <alignment horizontal="right"/>
    </xf>
    <xf numFmtId="172" fontId="7" fillId="2" borderId="0" xfId="7" applyNumberFormat="1" applyFont="1" applyFill="1" applyBorder="1" applyProtection="1"/>
    <xf numFmtId="164" fontId="12" fillId="0" borderId="0" xfId="15" applyNumberFormat="1" applyFont="1" applyBorder="1" applyAlignment="1">
      <alignment horizontal="right"/>
    </xf>
    <xf numFmtId="164" fontId="7" fillId="0" borderId="0" xfId="15" applyNumberFormat="1" applyFont="1" applyBorder="1" applyProtection="1"/>
    <xf numFmtId="0" fontId="8" fillId="0" borderId="0" xfId="15" applyFont="1" applyFill="1" applyBorder="1" applyAlignment="1" applyProtection="1">
      <alignment horizontal="right"/>
    </xf>
    <xf numFmtId="0" fontId="8" fillId="0" borderId="0" xfId="15" applyFont="1" applyFill="1" applyBorder="1" applyAlignment="1" applyProtection="1">
      <alignment horizontal="right" shrinkToFit="1"/>
    </xf>
    <xf numFmtId="0" fontId="4" fillId="0" borderId="0" xfId="15" applyFill="1" applyBorder="1" applyProtection="1"/>
    <xf numFmtId="0" fontId="4" fillId="2" borderId="0" xfId="15" applyFill="1" applyBorder="1" applyProtection="1"/>
    <xf numFmtId="0" fontId="7" fillId="0" borderId="67" xfId="5" quotePrefix="1" applyFont="1" applyFill="1" applyBorder="1" applyAlignment="1" applyProtection="1">
      <alignment horizontal="center"/>
    </xf>
    <xf numFmtId="0" fontId="7" fillId="0" borderId="67" xfId="5" applyFont="1" applyFill="1" applyBorder="1" applyAlignment="1" applyProtection="1">
      <alignment horizontal="center"/>
    </xf>
    <xf numFmtId="0" fontId="8" fillId="2" borderId="0" xfId="15" applyFont="1" applyFill="1" applyBorder="1" applyAlignment="1" applyProtection="1">
      <alignment wrapText="1"/>
    </xf>
    <xf numFmtId="172" fontId="8" fillId="2" borderId="28" xfId="7" applyNumberFormat="1" applyFont="1" applyFill="1" applyBorder="1" applyAlignment="1" applyProtection="1">
      <alignment horizontal="right"/>
    </xf>
    <xf numFmtId="172" fontId="8" fillId="0" borderId="28" xfId="7" applyNumberFormat="1" applyFont="1" applyFill="1" applyBorder="1" applyAlignment="1" applyProtection="1">
      <alignment horizontal="right"/>
    </xf>
    <xf numFmtId="0" fontId="8" fillId="2" borderId="0" xfId="15" applyFont="1" applyFill="1" applyBorder="1" applyProtection="1"/>
    <xf numFmtId="0" fontId="7" fillId="2" borderId="0" xfId="15" applyFont="1" applyFill="1" applyBorder="1" applyProtection="1"/>
    <xf numFmtId="172" fontId="7" fillId="2" borderId="28" xfId="7" applyNumberFormat="1" applyFont="1" applyFill="1" applyBorder="1" applyAlignment="1" applyProtection="1">
      <alignment horizontal="right"/>
    </xf>
    <xf numFmtId="172" fontId="7" fillId="0" borderId="28" xfId="7" applyNumberFormat="1" applyFont="1" applyFill="1" applyBorder="1" applyAlignment="1" applyProtection="1">
      <alignment horizontal="right"/>
    </xf>
    <xf numFmtId="0" fontId="8" fillId="2" borderId="2" xfId="15" applyFont="1" applyFill="1" applyBorder="1" applyAlignment="1" applyProtection="1">
      <alignment wrapText="1"/>
    </xf>
    <xf numFmtId="164" fontId="7" fillId="0" borderId="2" xfId="5" applyNumberFormat="1" applyFont="1" applyBorder="1" applyProtection="1"/>
    <xf numFmtId="0" fontId="7" fillId="0" borderId="0" xfId="5" applyFont="1" applyFill="1" applyBorder="1" applyAlignment="1" applyProtection="1">
      <alignment wrapText="1"/>
    </xf>
    <xf numFmtId="164" fontId="7" fillId="0" borderId="0" xfId="5" applyNumberFormat="1" applyFont="1" applyBorder="1" applyProtection="1"/>
    <xf numFmtId="164" fontId="7" fillId="0" borderId="0" xfId="5" applyNumberFormat="1" applyFont="1" applyFill="1" applyBorder="1" applyAlignment="1" applyProtection="1">
      <alignment horizontal="right"/>
    </xf>
    <xf numFmtId="164" fontId="7" fillId="2" borderId="0" xfId="5" applyNumberFormat="1" applyFont="1" applyFill="1" applyBorder="1" applyAlignment="1" applyProtection="1">
      <alignment horizontal="right"/>
    </xf>
    <xf numFmtId="164" fontId="8" fillId="0" borderId="28" xfId="5" applyNumberFormat="1" applyFont="1" applyFill="1" applyBorder="1" applyAlignment="1" applyProtection="1">
      <alignment horizontal="right" shrinkToFit="1"/>
    </xf>
    <xf numFmtId="0" fontId="8" fillId="0" borderId="29" xfId="5" applyFont="1" applyFill="1" applyBorder="1" applyProtection="1"/>
    <xf numFmtId="0" fontId="7" fillId="0" borderId="29" xfId="15" quotePrefix="1" applyFont="1" applyFill="1" applyBorder="1" applyAlignment="1" applyProtection="1">
      <alignment horizontal="center"/>
    </xf>
    <xf numFmtId="0" fontId="7" fillId="0" borderId="1" xfId="15" quotePrefix="1" applyFont="1" applyFill="1" applyBorder="1" applyAlignment="1" applyProtection="1">
      <alignment horizontal="center"/>
    </xf>
    <xf numFmtId="0" fontId="7" fillId="0" borderId="29" xfId="15" applyFont="1" applyFill="1" applyBorder="1" applyAlignment="1" applyProtection="1">
      <alignment horizontal="center"/>
    </xf>
    <xf numFmtId="1" fontId="7" fillId="0" borderId="3" xfId="15" applyNumberFormat="1" applyFont="1" applyFill="1" applyBorder="1" applyAlignment="1" applyProtection="1">
      <alignment horizontal="center"/>
    </xf>
    <xf numFmtId="1" fontId="7" fillId="0" borderId="29" xfId="15" applyNumberFormat="1" applyFont="1" applyFill="1" applyBorder="1" applyAlignment="1" applyProtection="1">
      <alignment horizontal="center"/>
    </xf>
    <xf numFmtId="0" fontId="8" fillId="0" borderId="29" xfId="5" applyFont="1" applyFill="1" applyBorder="1" applyAlignment="1" applyProtection="1">
      <alignment wrapText="1"/>
    </xf>
    <xf numFmtId="164" fontId="8" fillId="0" borderId="29" xfId="15" applyNumberFormat="1" applyFont="1" applyFill="1" applyBorder="1" applyAlignment="1" applyProtection="1">
      <alignment horizontal="right"/>
    </xf>
    <xf numFmtId="0" fontId="7" fillId="0" borderId="29" xfId="5" applyFont="1" applyFill="1" applyBorder="1" applyAlignment="1" applyProtection="1">
      <alignment wrapText="1"/>
    </xf>
    <xf numFmtId="164" fontId="14" fillId="0" borderId="29" xfId="0" applyNumberFormat="1" applyFont="1" applyBorder="1"/>
    <xf numFmtId="164" fontId="7" fillId="2" borderId="29" xfId="5" applyNumberFormat="1" applyFont="1" applyFill="1" applyBorder="1" applyAlignment="1" applyProtection="1">
      <alignment horizontal="right"/>
    </xf>
    <xf numFmtId="164" fontId="7" fillId="4" borderId="29" xfId="5" applyNumberFormat="1" applyFont="1" applyFill="1" applyBorder="1" applyAlignment="1" applyProtection="1">
      <alignment horizontal="right"/>
    </xf>
    <xf numFmtId="164" fontId="7" fillId="0" borderId="29" xfId="5" applyNumberFormat="1" applyFont="1" applyFill="1" applyBorder="1" applyProtection="1"/>
    <xf numFmtId="164" fontId="7" fillId="0" borderId="29" xfId="15" applyNumberFormat="1" applyFont="1" applyFill="1" applyBorder="1" applyAlignment="1" applyProtection="1">
      <alignment horizontal="right"/>
    </xf>
    <xf numFmtId="164" fontId="12" fillId="4" borderId="0" xfId="5" applyNumberFormat="1" applyFont="1" applyFill="1" applyBorder="1" applyAlignment="1" applyProtection="1">
      <alignment horizontal="right"/>
    </xf>
    <xf numFmtId="164" fontId="12" fillId="0" borderId="0" xfId="5" applyNumberFormat="1" applyFont="1" applyFill="1" applyProtection="1"/>
    <xf numFmtId="0" fontId="7" fillId="0" borderId="29" xfId="5" quotePrefix="1" applyFont="1" applyFill="1" applyBorder="1" applyAlignment="1" applyProtection="1">
      <alignment horizontal="center"/>
    </xf>
    <xf numFmtId="0" fontId="7" fillId="0" borderId="29" xfId="5" applyFont="1" applyFill="1" applyBorder="1" applyAlignment="1" applyProtection="1">
      <alignment horizontal="center"/>
    </xf>
    <xf numFmtId="1" fontId="7" fillId="0" borderId="3" xfId="5" applyNumberFormat="1" applyFont="1" applyFill="1" applyBorder="1" applyAlignment="1" applyProtection="1">
      <alignment horizontal="center"/>
    </xf>
    <xf numFmtId="1" fontId="7" fillId="0" borderId="29" xfId="5" applyNumberFormat="1" applyFont="1" applyFill="1" applyBorder="1" applyAlignment="1" applyProtection="1">
      <alignment horizontal="center"/>
    </xf>
    <xf numFmtId="164" fontId="8" fillId="0" borderId="29" xfId="15" applyNumberFormat="1" applyFont="1" applyBorder="1" applyAlignment="1">
      <alignment horizontal="right"/>
    </xf>
    <xf numFmtId="164" fontId="8" fillId="0" borderId="29" xfId="5" applyNumberFormat="1" applyFont="1" applyFill="1" applyBorder="1" applyProtection="1"/>
    <xf numFmtId="166" fontId="8" fillId="0" borderId="29" xfId="20" applyNumberFormat="1" applyFont="1" applyBorder="1" applyAlignment="1">
      <alignment horizontal="right"/>
    </xf>
    <xf numFmtId="166" fontId="8" fillId="0" borderId="72" xfId="20" applyNumberFormat="1" applyFont="1" applyBorder="1" applyAlignment="1">
      <alignment horizontal="right"/>
    </xf>
    <xf numFmtId="164" fontId="7" fillId="0" borderId="29" xfId="15" applyNumberFormat="1" applyFont="1" applyBorder="1" applyAlignment="1">
      <alignment horizontal="right"/>
    </xf>
    <xf numFmtId="166" fontId="7" fillId="0" borderId="29" xfId="20" applyNumberFormat="1" applyFont="1" applyBorder="1" applyAlignment="1">
      <alignment horizontal="right"/>
    </xf>
    <xf numFmtId="166" fontId="7" fillId="0" borderId="72" xfId="20" applyNumberFormat="1" applyFont="1" applyBorder="1" applyAlignment="1">
      <alignment horizontal="right"/>
    </xf>
    <xf numFmtId="0" fontId="15" fillId="0" borderId="0" xfId="5" applyFont="1" applyFill="1" applyProtection="1"/>
    <xf numFmtId="164" fontId="7" fillId="0" borderId="0" xfId="15" applyNumberFormat="1" applyFont="1" applyFill="1" applyBorder="1" applyAlignment="1" applyProtection="1">
      <alignment horizontal="right"/>
    </xf>
    <xf numFmtId="164" fontId="7" fillId="0" borderId="0" xfId="15" applyNumberFormat="1" applyFont="1" applyBorder="1" applyAlignment="1">
      <alignment horizontal="right"/>
    </xf>
    <xf numFmtId="164" fontId="7" fillId="0" borderId="0" xfId="5" applyNumberFormat="1" applyFont="1" applyFill="1" applyBorder="1" applyProtection="1"/>
    <xf numFmtId="166" fontId="32" fillId="0" borderId="0" xfId="20" applyNumberFormat="1" applyFont="1" applyBorder="1" applyAlignment="1">
      <alignment horizontal="right"/>
    </xf>
    <xf numFmtId="0" fontId="15" fillId="0" borderId="29" xfId="5" applyFont="1" applyFill="1" applyBorder="1" applyProtection="1"/>
    <xf numFmtId="0" fontId="15" fillId="0" borderId="0" xfId="5" applyFont="1" applyFill="1" applyBorder="1" applyProtection="1"/>
    <xf numFmtId="1" fontId="7" fillId="0" borderId="29" xfId="15" applyNumberFormat="1" applyFont="1" applyFill="1" applyBorder="1" applyAlignment="1" applyProtection="1">
      <alignment horizontal="right"/>
    </xf>
    <xf numFmtId="0" fontId="1" fillId="0" borderId="0" xfId="2" applyFont="1" applyFill="1" applyBorder="1" applyAlignment="1" applyProtection="1">
      <alignment vertical="top"/>
      <protection locked="0"/>
    </xf>
    <xf numFmtId="0" fontId="4" fillId="0" borderId="0" xfId="2" applyFont="1" applyFill="1" applyProtection="1"/>
    <xf numFmtId="0" fontId="5" fillId="0" borderId="0" xfId="2" applyFont="1" applyFill="1" applyBorder="1" applyAlignment="1" applyProtection="1">
      <alignment vertical="top"/>
      <protection locked="0"/>
    </xf>
    <xf numFmtId="0" fontId="5" fillId="0" borderId="0" xfId="2" applyFont="1" applyFill="1" applyBorder="1" applyAlignment="1" applyProtection="1">
      <alignment vertical="top"/>
    </xf>
    <xf numFmtId="0" fontId="1" fillId="0" borderId="0" xfId="2" applyFont="1" applyFill="1" applyBorder="1" applyAlignment="1" applyProtection="1">
      <alignment vertical="top" wrapText="1"/>
    </xf>
    <xf numFmtId="0" fontId="4" fillId="0" borderId="0" xfId="2" applyFont="1" applyFill="1" applyBorder="1" applyAlignment="1" applyProtection="1">
      <alignment vertical="top"/>
      <protection locked="0"/>
    </xf>
    <xf numFmtId="0" fontId="4" fillId="0" borderId="0" xfId="2" applyFont="1" applyFill="1" applyAlignment="1" applyProtection="1">
      <alignment vertical="top"/>
    </xf>
    <xf numFmtId="0" fontId="7" fillId="0" borderId="1" xfId="2" applyFont="1" applyFill="1" applyBorder="1" applyProtection="1"/>
    <xf numFmtId="0" fontId="7" fillId="0" borderId="73" xfId="2" applyFont="1" applyFill="1" applyBorder="1" applyAlignment="1" applyProtection="1">
      <alignment horizontal="right"/>
    </xf>
    <xf numFmtId="0" fontId="7" fillId="0" borderId="74" xfId="2" applyFont="1" applyFill="1" applyBorder="1" applyAlignment="1" applyProtection="1">
      <alignment horizontal="right"/>
    </xf>
    <xf numFmtId="49" fontId="7" fillId="0" borderId="74" xfId="2" applyNumberFormat="1" applyFont="1" applyFill="1" applyBorder="1" applyAlignment="1" applyProtection="1">
      <alignment horizontal="right"/>
    </xf>
    <xf numFmtId="49" fontId="7" fillId="0" borderId="75" xfId="2" applyNumberFormat="1" applyFont="1" applyFill="1" applyBorder="1" applyAlignment="1" applyProtection="1">
      <alignment horizontal="right"/>
    </xf>
    <xf numFmtId="49" fontId="7" fillId="0" borderId="76" xfId="2" applyNumberFormat="1" applyFont="1" applyFill="1" applyBorder="1" applyAlignment="1" applyProtection="1">
      <alignment horizontal="right"/>
    </xf>
    <xf numFmtId="0" fontId="8" fillId="0" borderId="18" xfId="21" applyFont="1" applyFill="1" applyBorder="1"/>
    <xf numFmtId="184" fontId="8" fillId="0" borderId="77" xfId="2" applyNumberFormat="1" applyFont="1" applyFill="1" applyBorder="1" applyProtection="1"/>
    <xf numFmtId="184" fontId="8" fillId="0" borderId="78" xfId="2" applyNumberFormat="1" applyFont="1" applyFill="1" applyBorder="1" applyProtection="1"/>
    <xf numFmtId="172" fontId="8" fillId="0" borderId="78" xfId="14" applyNumberFormat="1" applyFont="1" applyFill="1" applyBorder="1"/>
    <xf numFmtId="172" fontId="8" fillId="0" borderId="78" xfId="14" applyNumberFormat="1" applyFont="1" applyFill="1" applyBorder="1" applyProtection="1">
      <protection locked="0"/>
    </xf>
    <xf numFmtId="172" fontId="8" fillId="0" borderId="15" xfId="14" applyNumberFormat="1" applyFont="1" applyFill="1" applyBorder="1" applyProtection="1">
      <protection locked="0"/>
    </xf>
    <xf numFmtId="172" fontId="8" fillId="0" borderId="79" xfId="14" applyNumberFormat="1" applyFont="1" applyFill="1" applyBorder="1" applyProtection="1">
      <protection locked="0"/>
    </xf>
    <xf numFmtId="0" fontId="7" fillId="0" borderId="46" xfId="2" applyFont="1" applyFill="1" applyBorder="1" applyProtection="1"/>
    <xf numFmtId="184" fontId="7" fillId="0" borderId="77" xfId="2" applyNumberFormat="1" applyFont="1" applyFill="1" applyBorder="1" applyProtection="1"/>
    <xf numFmtId="0" fontId="8" fillId="0" borderId="5" xfId="2" applyFont="1" applyFill="1" applyBorder="1" applyProtection="1"/>
    <xf numFmtId="184" fontId="8" fillId="0" borderId="80" xfId="2" applyNumberFormat="1" applyFont="1" applyFill="1" applyBorder="1" applyProtection="1"/>
    <xf numFmtId="184" fontId="8" fillId="0" borderId="81" xfId="2" applyNumberFormat="1" applyFont="1" applyFill="1" applyBorder="1" applyProtection="1"/>
    <xf numFmtId="172" fontId="8" fillId="0" borderId="81" xfId="14" applyNumberFormat="1" applyFont="1" applyFill="1" applyBorder="1" applyProtection="1"/>
    <xf numFmtId="172" fontId="8" fillId="0" borderId="81" xfId="14" applyNumberFormat="1" applyFont="1" applyFill="1" applyBorder="1" applyProtection="1">
      <protection locked="0"/>
    </xf>
    <xf numFmtId="184" fontId="8" fillId="0" borderId="0" xfId="2" applyNumberFormat="1" applyFont="1" applyFill="1" applyBorder="1" applyProtection="1"/>
    <xf numFmtId="172" fontId="8" fillId="0" borderId="0" xfId="14" applyNumberFormat="1" applyFont="1" applyFill="1" applyBorder="1" applyProtection="1"/>
    <xf numFmtId="172" fontId="8" fillId="0" borderId="0" xfId="14" applyNumberFormat="1" applyFont="1" applyFill="1" applyBorder="1" applyProtection="1">
      <protection locked="0"/>
    </xf>
    <xf numFmtId="0" fontId="7" fillId="0" borderId="0" xfId="2" applyFont="1" applyFill="1" applyBorder="1" applyAlignment="1" applyProtection="1">
      <alignment horizontal="left"/>
    </xf>
    <xf numFmtId="3" fontId="44" fillId="0" borderId="0" xfId="2" applyNumberFormat="1" applyFont="1" applyFill="1" applyBorder="1" applyProtection="1"/>
    <xf numFmtId="172" fontId="1" fillId="0" borderId="0" xfId="2" applyNumberFormat="1" applyFont="1" applyFill="1" applyBorder="1" applyProtection="1">
      <protection locked="0"/>
    </xf>
    <xf numFmtId="0" fontId="8" fillId="0" borderId="0" xfId="2" applyFont="1" applyFill="1" applyBorder="1" applyAlignment="1" applyProtection="1">
      <alignment vertical="top"/>
      <protection locked="0"/>
    </xf>
    <xf numFmtId="0" fontId="8" fillId="0" borderId="0" xfId="2" applyFont="1" applyFill="1" applyBorder="1" applyAlignment="1" applyProtection="1">
      <alignment vertical="top"/>
    </xf>
    <xf numFmtId="0" fontId="8" fillId="0" borderId="0" xfId="2" applyFont="1" applyFill="1" applyAlignment="1" applyProtection="1">
      <alignment vertical="top"/>
    </xf>
    <xf numFmtId="0" fontId="7" fillId="0" borderId="35" xfId="2" applyFont="1" applyFill="1" applyBorder="1" applyAlignment="1" applyProtection="1">
      <alignment horizontal="left" vertical="center" wrapText="1"/>
      <protection locked="0"/>
    </xf>
    <xf numFmtId="0" fontId="7" fillId="0" borderId="73" xfId="2" applyFont="1" applyFill="1" applyBorder="1" applyAlignment="1" applyProtection="1">
      <alignment horizontal="right" vertical="top" wrapText="1"/>
      <protection locked="0"/>
    </xf>
    <xf numFmtId="0" fontId="7" fillId="0" borderId="74" xfId="2" applyFont="1" applyFill="1" applyBorder="1" applyAlignment="1" applyProtection="1">
      <alignment horizontal="right" vertical="top" wrapText="1"/>
      <protection locked="0"/>
    </xf>
    <xf numFmtId="0" fontId="7" fillId="0" borderId="76" xfId="2" applyFont="1" applyFill="1" applyBorder="1" applyAlignment="1" applyProtection="1">
      <alignment horizontal="right" vertical="top" wrapText="1"/>
      <protection locked="0"/>
    </xf>
    <xf numFmtId="172" fontId="8" fillId="0" borderId="0" xfId="2" applyNumberFormat="1" applyFont="1" applyFill="1" applyBorder="1" applyProtection="1">
      <protection locked="0"/>
    </xf>
    <xf numFmtId="0" fontId="8" fillId="0" borderId="18" xfId="2" applyFont="1" applyFill="1" applyBorder="1" applyAlignment="1" applyProtection="1">
      <alignment horizontal="left"/>
      <protection locked="0"/>
    </xf>
    <xf numFmtId="185" fontId="8" fillId="0" borderId="77" xfId="2" applyNumberFormat="1" applyFont="1" applyFill="1" applyBorder="1" applyAlignment="1" applyProtection="1">
      <alignment horizontal="right"/>
      <protection locked="0"/>
    </xf>
    <xf numFmtId="185" fontId="8" fillId="0" borderId="78" xfId="2" applyNumberFormat="1" applyFont="1" applyFill="1" applyBorder="1" applyAlignment="1" applyProtection="1">
      <alignment horizontal="right"/>
      <protection locked="0"/>
    </xf>
    <xf numFmtId="185" fontId="8" fillId="0" borderId="46" xfId="2" applyNumberFormat="1" applyFont="1" applyFill="1" applyBorder="1" applyAlignment="1" applyProtection="1">
      <alignment horizontal="left"/>
      <protection locked="0"/>
    </xf>
    <xf numFmtId="185" fontId="8" fillId="0" borderId="18" xfId="2" applyNumberFormat="1" applyFont="1" applyFill="1" applyBorder="1" applyAlignment="1" applyProtection="1">
      <alignment horizontal="left"/>
      <protection locked="0"/>
    </xf>
    <xf numFmtId="185" fontId="8" fillId="0" borderId="5" xfId="2" applyNumberFormat="1" applyFont="1" applyFill="1" applyBorder="1" applyAlignment="1" applyProtection="1">
      <alignment horizontal="left"/>
      <protection locked="0"/>
    </xf>
    <xf numFmtId="185" fontId="8" fillId="0" borderId="80" xfId="2" applyNumberFormat="1" applyFont="1" applyFill="1" applyBorder="1" applyAlignment="1" applyProtection="1">
      <alignment horizontal="right"/>
      <protection locked="0"/>
    </xf>
    <xf numFmtId="185" fontId="8" fillId="0" borderId="81" xfId="2" applyNumberFormat="1" applyFont="1" applyFill="1" applyBorder="1" applyAlignment="1" applyProtection="1">
      <alignment horizontal="right"/>
      <protection locked="0"/>
    </xf>
    <xf numFmtId="185" fontId="8" fillId="0" borderId="29" xfId="2" applyNumberFormat="1" applyFont="1" applyFill="1" applyBorder="1" applyProtection="1">
      <protection locked="0"/>
    </xf>
    <xf numFmtId="0" fontId="7" fillId="0" borderId="73" xfId="2" applyFont="1" applyFill="1" applyBorder="1" applyAlignment="1" applyProtection="1">
      <alignment horizontal="right" vertical="center" wrapText="1"/>
      <protection locked="0"/>
    </xf>
    <xf numFmtId="0" fontId="7" fillId="0" borderId="74" xfId="2" applyFont="1" applyFill="1" applyBorder="1" applyAlignment="1" applyProtection="1">
      <alignment horizontal="right" vertical="center" wrapText="1"/>
      <protection locked="0"/>
    </xf>
    <xf numFmtId="0" fontId="7" fillId="0" borderId="76" xfId="2" applyFont="1" applyFill="1" applyBorder="1" applyAlignment="1" applyProtection="1">
      <alignment horizontal="right" vertical="center" wrapText="1"/>
      <protection locked="0"/>
    </xf>
    <xf numFmtId="185" fontId="8" fillId="0" borderId="82" xfId="2" applyNumberFormat="1" applyFont="1" applyFill="1" applyBorder="1" applyAlignment="1" applyProtection="1">
      <alignment horizontal="right"/>
      <protection locked="0"/>
    </xf>
    <xf numFmtId="185" fontId="8" fillId="0" borderId="58" xfId="2" applyNumberFormat="1" applyFont="1" applyFill="1" applyBorder="1" applyAlignment="1" applyProtection="1">
      <alignment horizontal="right"/>
      <protection locked="0"/>
    </xf>
    <xf numFmtId="186" fontId="8" fillId="0" borderId="58" xfId="2" applyNumberFormat="1" applyFont="1" applyFill="1" applyBorder="1" applyAlignment="1" applyProtection="1">
      <alignment horizontal="right"/>
      <protection locked="0"/>
    </xf>
    <xf numFmtId="0" fontId="8" fillId="0" borderId="33" xfId="2" applyFont="1" applyFill="1" applyBorder="1" applyAlignment="1" applyProtection="1">
      <alignment horizontal="left"/>
      <protection locked="0"/>
    </xf>
    <xf numFmtId="185" fontId="8" fillId="0" borderId="83" xfId="2" applyNumberFormat="1" applyFont="1" applyFill="1" applyBorder="1" applyAlignment="1" applyProtection="1">
      <alignment horizontal="right"/>
      <protection locked="0"/>
    </xf>
    <xf numFmtId="185" fontId="8" fillId="0" borderId="84" xfId="2" applyNumberFormat="1" applyFont="1" applyFill="1" applyBorder="1" applyAlignment="1" applyProtection="1">
      <alignment horizontal="right"/>
      <protection locked="0"/>
    </xf>
    <xf numFmtId="186" fontId="8" fillId="0" borderId="84" xfId="2" applyNumberFormat="1" applyFont="1" applyFill="1" applyBorder="1" applyAlignment="1" applyProtection="1">
      <alignment horizontal="right"/>
      <protection locked="0"/>
    </xf>
    <xf numFmtId="0" fontId="7" fillId="0" borderId="5" xfId="2" applyFont="1" applyFill="1" applyBorder="1" applyAlignment="1" applyProtection="1">
      <alignment horizontal="left"/>
      <protection locked="0"/>
    </xf>
    <xf numFmtId="185" fontId="7" fillId="0" borderId="80" xfId="2" applyNumberFormat="1" applyFont="1" applyFill="1" applyBorder="1" applyAlignment="1" applyProtection="1">
      <alignment horizontal="right"/>
      <protection locked="0"/>
    </xf>
    <xf numFmtId="185" fontId="8" fillId="0" borderId="25" xfId="2" applyNumberFormat="1" applyFont="1" applyFill="1" applyBorder="1" applyAlignment="1" applyProtection="1">
      <alignment horizontal="right"/>
      <protection locked="0"/>
    </xf>
    <xf numFmtId="0" fontId="7" fillId="0" borderId="0" xfId="2" applyFont="1" applyFill="1" applyBorder="1" applyAlignment="1" applyProtection="1">
      <alignment horizontal="right"/>
      <protection locked="0"/>
    </xf>
    <xf numFmtId="0" fontId="5" fillId="0" borderId="0" xfId="2" applyFont="1" applyFill="1" applyBorder="1" applyAlignment="1" applyProtection="1">
      <alignment vertical="top" wrapText="1"/>
      <protection locked="0"/>
    </xf>
    <xf numFmtId="0" fontId="5" fillId="0" borderId="0" xfId="2" applyFont="1" applyFill="1" applyBorder="1" applyAlignment="1" applyProtection="1">
      <alignment vertical="top" wrapText="1"/>
    </xf>
    <xf numFmtId="0" fontId="5" fillId="0" borderId="0" xfId="2" applyFont="1" applyFill="1" applyAlignment="1">
      <alignment vertical="top"/>
    </xf>
    <xf numFmtId="0" fontId="4" fillId="0" borderId="0" xfId="2" applyFont="1" applyFill="1" applyAlignment="1">
      <alignment vertical="top"/>
    </xf>
    <xf numFmtId="0" fontId="4" fillId="0" borderId="0" xfId="2" applyFont="1" applyFill="1"/>
    <xf numFmtId="0" fontId="4" fillId="0" borderId="0" xfId="2" applyFont="1" applyFill="1" applyAlignment="1">
      <alignment horizontal="right"/>
    </xf>
    <xf numFmtId="0" fontId="13" fillId="0" borderId="0" xfId="2" applyFont="1" applyFill="1" applyAlignment="1">
      <alignment vertical="top"/>
    </xf>
    <xf numFmtId="0" fontId="8" fillId="0" borderId="0" xfId="2" applyFont="1" applyFill="1" applyAlignment="1">
      <alignment vertical="top"/>
    </xf>
    <xf numFmtId="0" fontId="7" fillId="0" borderId="0" xfId="2" applyFont="1" applyFill="1" applyBorder="1" applyAlignment="1">
      <alignment horizontal="left" wrapText="1"/>
    </xf>
    <xf numFmtId="0" fontId="7" fillId="0" borderId="0" xfId="2" applyFont="1" applyFill="1" applyBorder="1" applyAlignment="1">
      <alignment horizontal="right" wrapText="1"/>
    </xf>
    <xf numFmtId="184" fontId="7" fillId="0" borderId="0" xfId="5" applyNumberFormat="1" applyFont="1" applyFill="1" applyBorder="1" applyAlignment="1">
      <alignment horizontal="right"/>
    </xf>
    <xf numFmtId="3" fontId="8" fillId="0" borderId="0" xfId="2" applyNumberFormat="1" applyFont="1" applyFill="1" applyBorder="1"/>
    <xf numFmtId="0" fontId="8" fillId="0" borderId="0" xfId="2" applyFont="1" applyFill="1"/>
    <xf numFmtId="0" fontId="7" fillId="0" borderId="0" xfId="2" applyFont="1" applyFill="1"/>
    <xf numFmtId="0" fontId="7" fillId="0" borderId="0" xfId="2" applyFont="1" applyFill="1" applyAlignment="1">
      <alignment horizontal="left"/>
    </xf>
    <xf numFmtId="0" fontId="8" fillId="0" borderId="0" xfId="2" applyFont="1" applyFill="1" applyAlignment="1">
      <alignment horizontal="right"/>
    </xf>
    <xf numFmtId="3" fontId="8" fillId="0" borderId="0" xfId="5" applyNumberFormat="1" applyFont="1" applyFill="1" applyAlignment="1">
      <alignment horizontal="right"/>
    </xf>
    <xf numFmtId="0" fontId="8" fillId="0" borderId="0" xfId="2" applyFont="1" applyFill="1" applyBorder="1"/>
    <xf numFmtId="0" fontId="63" fillId="0" borderId="0" xfId="2" applyFont="1" applyFill="1" applyBorder="1"/>
    <xf numFmtId="0" fontId="8" fillId="0" borderId="6" xfId="2" applyFont="1" applyFill="1" applyBorder="1"/>
    <xf numFmtId="0" fontId="8" fillId="0" borderId="4" xfId="2" applyFont="1" applyFill="1" applyBorder="1"/>
    <xf numFmtId="17" fontId="7" fillId="0" borderId="86" xfId="2" quotePrefix="1" applyNumberFormat="1" applyFont="1" applyFill="1" applyBorder="1" applyAlignment="1">
      <alignment horizontal="right"/>
    </xf>
    <xf numFmtId="0" fontId="7" fillId="0" borderId="86" xfId="2" quotePrefix="1" applyFont="1" applyFill="1" applyBorder="1" applyAlignment="1">
      <alignment horizontal="right"/>
    </xf>
    <xf numFmtId="0" fontId="7" fillId="0" borderId="86" xfId="3" quotePrefix="1" applyFont="1" applyFill="1" applyBorder="1" applyAlignment="1">
      <alignment horizontal="right"/>
    </xf>
    <xf numFmtId="0" fontId="7" fillId="0" borderId="87" xfId="3" quotePrefix="1" applyFont="1" applyFill="1" applyBorder="1" applyAlignment="1">
      <alignment horizontal="right"/>
    </xf>
    <xf numFmtId="0" fontId="7" fillId="0" borderId="84" xfId="2" applyFont="1" applyFill="1" applyBorder="1" applyAlignment="1" applyProtection="1">
      <alignment horizontal="right" vertical="center" wrapText="1"/>
      <protection locked="0"/>
    </xf>
    <xf numFmtId="0" fontId="7" fillId="0" borderId="88" xfId="2" applyFont="1" applyFill="1" applyBorder="1" applyAlignment="1" applyProtection="1">
      <alignment horizontal="right" vertical="center" wrapText="1"/>
      <protection locked="0"/>
    </xf>
    <xf numFmtId="187" fontId="8" fillId="0" borderId="0" xfId="2" applyNumberFormat="1" applyFont="1" applyFill="1"/>
    <xf numFmtId="0" fontId="8" fillId="0" borderId="18" xfId="2" applyFont="1" applyFill="1" applyBorder="1"/>
    <xf numFmtId="3" fontId="8" fillId="0" borderId="0" xfId="2" applyNumberFormat="1" applyFont="1" applyFill="1" applyBorder="1" applyAlignment="1">
      <alignment horizontal="right"/>
    </xf>
    <xf numFmtId="3" fontId="8" fillId="0" borderId="0" xfId="3" applyNumberFormat="1" applyFont="1" applyFill="1" applyBorder="1" applyAlignment="1">
      <alignment horizontal="right"/>
    </xf>
    <xf numFmtId="3" fontId="8" fillId="0" borderId="28" xfId="2" applyNumberFormat="1" applyFont="1" applyFill="1" applyBorder="1"/>
    <xf numFmtId="10" fontId="8" fillId="0" borderId="58" xfId="2" applyNumberFormat="1" applyFont="1" applyFill="1" applyBorder="1"/>
    <xf numFmtId="10" fontId="8" fillId="0" borderId="19" xfId="2" applyNumberFormat="1" applyFont="1" applyFill="1" applyBorder="1"/>
    <xf numFmtId="188" fontId="8" fillId="0" borderId="0" xfId="18" applyNumberFormat="1" applyFont="1" applyFill="1" applyAlignment="1">
      <alignment horizontal="right"/>
    </xf>
    <xf numFmtId="188" fontId="8" fillId="0" borderId="0" xfId="18" applyNumberFormat="1" applyFont="1" applyFill="1"/>
    <xf numFmtId="188" fontId="8" fillId="0" borderId="28" xfId="18" applyNumberFormat="1" applyFont="1" applyFill="1" applyBorder="1"/>
    <xf numFmtId="0" fontId="8" fillId="0" borderId="5" xfId="2" applyFont="1" applyFill="1" applyBorder="1"/>
    <xf numFmtId="3" fontId="8" fillId="0" borderId="6" xfId="2" applyNumberFormat="1" applyFont="1" applyFill="1" applyBorder="1" applyAlignment="1">
      <alignment horizontal="right"/>
    </xf>
    <xf numFmtId="3" fontId="8" fillId="0" borderId="6" xfId="3" applyNumberFormat="1" applyFont="1" applyFill="1" applyBorder="1" applyAlignment="1">
      <alignment horizontal="right"/>
    </xf>
    <xf numFmtId="3" fontId="8" fillId="0" borderId="68" xfId="2" applyNumberFormat="1" applyFont="1" applyFill="1" applyBorder="1"/>
    <xf numFmtId="10" fontId="8" fillId="0" borderId="61" xfId="2" applyNumberFormat="1" applyFont="1" applyFill="1" applyBorder="1"/>
    <xf numFmtId="10" fontId="8" fillId="0" borderId="20" xfId="2" applyNumberFormat="1" applyFont="1" applyFill="1" applyBorder="1"/>
    <xf numFmtId="0" fontId="7" fillId="0" borderId="0" xfId="2" applyFont="1" applyFill="1" applyAlignment="1">
      <alignment vertical="top"/>
    </xf>
    <xf numFmtId="0" fontId="7" fillId="0" borderId="1" xfId="2" applyFont="1" applyFill="1" applyBorder="1"/>
    <xf numFmtId="3" fontId="7" fillId="0" borderId="2" xfId="2" applyNumberFormat="1" applyFont="1" applyFill="1" applyBorder="1" applyAlignment="1">
      <alignment horizontal="right"/>
    </xf>
    <xf numFmtId="10" fontId="7" fillId="0" borderId="2" xfId="2" applyNumberFormat="1" applyFont="1" applyFill="1" applyBorder="1"/>
    <xf numFmtId="10" fontId="7" fillId="0" borderId="3" xfId="2" applyNumberFormat="1" applyFont="1" applyFill="1" applyBorder="1"/>
    <xf numFmtId="3" fontId="7" fillId="0" borderId="0" xfId="2" applyNumberFormat="1" applyFont="1" applyFill="1" applyBorder="1" applyAlignment="1">
      <alignment horizontal="right"/>
    </xf>
    <xf numFmtId="10" fontId="7" fillId="0" borderId="0" xfId="2" applyNumberFormat="1" applyFont="1" applyFill="1" applyBorder="1"/>
    <xf numFmtId="9" fontId="7" fillId="0" borderId="0" xfId="2" applyNumberFormat="1" applyFont="1" applyFill="1" applyBorder="1"/>
    <xf numFmtId="0" fontId="4" fillId="0" borderId="16" xfId="2" applyFont="1" applyFill="1" applyBorder="1" applyAlignment="1">
      <alignment horizontal="left" vertical="top" wrapText="1"/>
    </xf>
    <xf numFmtId="0" fontId="4" fillId="0" borderId="17" xfId="2" applyFont="1" applyFill="1" applyBorder="1" applyAlignment="1">
      <alignment horizontal="left" vertical="top" wrapText="1"/>
    </xf>
    <xf numFmtId="0" fontId="5" fillId="0" borderId="0" xfId="2" applyFont="1" applyFill="1" applyAlignment="1">
      <alignment vertical="top" wrapText="1"/>
    </xf>
    <xf numFmtId="0" fontId="8" fillId="0" borderId="29" xfId="2" applyFont="1" applyFill="1" applyBorder="1" applyAlignment="1">
      <alignment horizontal="right"/>
    </xf>
    <xf numFmtId="17" fontId="7" fillId="0" borderId="29" xfId="2" quotePrefix="1" applyNumberFormat="1" applyFont="1" applyFill="1" applyBorder="1" applyAlignment="1">
      <alignment horizontal="right"/>
    </xf>
    <xf numFmtId="0" fontId="7" fillId="0" borderId="29" xfId="2" quotePrefix="1" applyFont="1" applyFill="1" applyBorder="1" applyAlignment="1">
      <alignment horizontal="right"/>
    </xf>
    <xf numFmtId="0" fontId="7" fillId="0" borderId="29" xfId="3" quotePrefix="1" applyFont="1" applyFill="1" applyBorder="1" applyAlignment="1">
      <alignment horizontal="right"/>
    </xf>
    <xf numFmtId="0" fontId="8" fillId="0" borderId="29" xfId="2" applyFont="1" applyFill="1" applyBorder="1"/>
    <xf numFmtId="0" fontId="73" fillId="0" borderId="0" xfId="2" applyFont="1" applyFill="1" applyBorder="1" applyAlignment="1" applyProtection="1">
      <alignment vertical="top"/>
    </xf>
    <xf numFmtId="0" fontId="75" fillId="0" borderId="0" xfId="2" applyFont="1" applyFill="1" applyBorder="1" applyProtection="1">
      <protection locked="0"/>
    </xf>
    <xf numFmtId="0" fontId="74" fillId="0" borderId="0" xfId="2" applyFont="1" applyFill="1" applyBorder="1" applyAlignment="1" applyProtection="1">
      <alignment horizontal="left" vertical="top" wrapText="1"/>
    </xf>
    <xf numFmtId="0" fontId="74" fillId="0" borderId="0" xfId="2" applyFont="1" applyBorder="1" applyAlignment="1">
      <alignment wrapText="1"/>
    </xf>
    <xf numFmtId="0" fontId="76" fillId="0" borderId="0" xfId="2" applyFont="1" applyFill="1" applyBorder="1" applyAlignment="1" applyProtection="1">
      <alignment vertical="top"/>
    </xf>
    <xf numFmtId="0" fontId="75" fillId="0" borderId="0" xfId="2" applyFont="1" applyFill="1" applyBorder="1" applyProtection="1"/>
    <xf numFmtId="0" fontId="75" fillId="0" borderId="0" xfId="0" applyFont="1"/>
    <xf numFmtId="0" fontId="14" fillId="0" borderId="29" xfId="0" applyFont="1" applyBorder="1"/>
    <xf numFmtId="0" fontId="11" fillId="0" borderId="29" xfId="0" applyFont="1" applyBorder="1"/>
    <xf numFmtId="164" fontId="11" fillId="0" borderId="29" xfId="0" applyNumberFormat="1" applyFont="1" applyBorder="1"/>
    <xf numFmtId="2" fontId="14" fillId="0" borderId="29" xfId="0" applyNumberFormat="1" applyFont="1" applyBorder="1"/>
    <xf numFmtId="2" fontId="11" fillId="0" borderId="29" xfId="0" applyNumberFormat="1" applyFont="1" applyBorder="1"/>
    <xf numFmtId="0" fontId="75" fillId="0" borderId="19" xfId="2" applyFont="1" applyFill="1" applyBorder="1" applyAlignment="1" applyProtection="1">
      <alignment vertical="top"/>
    </xf>
    <xf numFmtId="0" fontId="73" fillId="0" borderId="0" xfId="2" applyFont="1" applyFill="1" applyBorder="1" applyAlignment="1" applyProtection="1">
      <alignment vertical="top" wrapText="1"/>
    </xf>
    <xf numFmtId="0" fontId="20" fillId="0" borderId="0" xfId="2" applyFont="1" applyFill="1" applyBorder="1" applyAlignment="1" applyProtection="1">
      <alignment vertical="top"/>
    </xf>
    <xf numFmtId="0" fontId="7" fillId="3" borderId="0" xfId="2" applyFont="1" applyFill="1" applyBorder="1" applyAlignment="1" applyProtection="1"/>
    <xf numFmtId="0" fontId="8" fillId="0" borderId="86" xfId="2" applyFont="1" applyFill="1" applyBorder="1" applyProtection="1"/>
    <xf numFmtId="0" fontId="7" fillId="0" borderId="86" xfId="2" applyFont="1" applyFill="1" applyBorder="1" applyAlignment="1" applyProtection="1">
      <alignment horizontal="right"/>
    </xf>
    <xf numFmtId="0" fontId="7" fillId="0" borderId="0" xfId="2" applyFont="1" applyFill="1" applyBorder="1" applyAlignment="1" applyProtection="1">
      <alignment horizontal="center"/>
    </xf>
    <xf numFmtId="173" fontId="7" fillId="0" borderId="0" xfId="2" applyNumberFormat="1" applyFont="1" applyFill="1" applyBorder="1" applyAlignment="1" applyProtection="1">
      <alignment horizontal="right"/>
    </xf>
    <xf numFmtId="173" fontId="8" fillId="2" borderId="0" xfId="2" applyNumberFormat="1" applyFont="1" applyFill="1" applyBorder="1" applyAlignment="1" applyProtection="1">
      <alignment horizontal="center"/>
    </xf>
    <xf numFmtId="0" fontId="11" fillId="0" borderId="0" xfId="2" applyFont="1" applyFill="1" applyBorder="1" applyProtection="1">
      <protection locked="0"/>
    </xf>
    <xf numFmtId="173" fontId="8" fillId="0" borderId="0" xfId="2" applyNumberFormat="1" applyFont="1" applyFill="1" applyBorder="1" applyAlignment="1" applyProtection="1">
      <alignment horizontal="right"/>
    </xf>
    <xf numFmtId="0" fontId="8" fillId="0" borderId="23" xfId="2" applyFont="1" applyFill="1" applyBorder="1" applyAlignment="1" applyProtection="1"/>
    <xf numFmtId="173" fontId="8" fillId="0" borderId="23" xfId="2" applyNumberFormat="1" applyFont="1" applyFill="1" applyBorder="1" applyAlignment="1" applyProtection="1">
      <alignment horizontal="right"/>
    </xf>
    <xf numFmtId="0" fontId="8" fillId="0" borderId="6" xfId="2" applyFont="1" applyFill="1" applyBorder="1" applyAlignment="1" applyProtection="1"/>
    <xf numFmtId="173" fontId="8" fillId="0" borderId="6" xfId="2" applyNumberFormat="1" applyFont="1" applyFill="1" applyBorder="1" applyAlignment="1" applyProtection="1">
      <alignment horizontal="right"/>
    </xf>
    <xf numFmtId="0" fontId="7" fillId="0" borderId="26" xfId="2" applyFont="1" applyFill="1" applyBorder="1" applyAlignment="1" applyProtection="1">
      <alignment wrapText="1"/>
    </xf>
    <xf numFmtId="173" fontId="8" fillId="0" borderId="26" xfId="2" applyNumberFormat="1" applyFont="1" applyFill="1" applyBorder="1" applyAlignment="1" applyProtection="1">
      <alignment horizontal="right"/>
    </xf>
    <xf numFmtId="173" fontId="8" fillId="2" borderId="0" xfId="2" applyNumberFormat="1" applyFont="1" applyFill="1" applyBorder="1" applyAlignment="1" applyProtection="1">
      <alignment horizontal="right"/>
    </xf>
    <xf numFmtId="0" fontId="59" fillId="0" borderId="0" xfId="2" applyFont="1" applyBorder="1" applyAlignment="1">
      <alignment horizontal="right"/>
    </xf>
    <xf numFmtId="0" fontId="8" fillId="2" borderId="23" xfId="2" applyFont="1" applyFill="1" applyBorder="1" applyProtection="1"/>
    <xf numFmtId="0" fontId="59" fillId="0" borderId="23" xfId="2" applyFont="1" applyBorder="1" applyAlignment="1">
      <alignment horizontal="right"/>
    </xf>
    <xf numFmtId="0" fontId="59" fillId="0" borderId="0" xfId="2" applyFont="1" applyFill="1" applyBorder="1" applyAlignment="1">
      <alignment horizontal="right"/>
    </xf>
    <xf numFmtId="173" fontId="7" fillId="2" borderId="0" xfId="2" applyNumberFormat="1" applyFont="1" applyFill="1" applyBorder="1" applyAlignment="1" applyProtection="1">
      <alignment horizontal="left"/>
    </xf>
    <xf numFmtId="0" fontId="45" fillId="0" borderId="0" xfId="15" applyFont="1" applyBorder="1" applyAlignment="1">
      <alignment horizontal="center"/>
    </xf>
    <xf numFmtId="0" fontId="7" fillId="2" borderId="26" xfId="2" applyFont="1" applyFill="1" applyBorder="1" applyProtection="1"/>
    <xf numFmtId="0" fontId="7" fillId="2" borderId="0" xfId="2" applyFont="1" applyFill="1" applyBorder="1" applyAlignment="1" applyProtection="1"/>
    <xf numFmtId="0" fontId="7" fillId="2" borderId="0" xfId="2" applyFont="1" applyFill="1" applyBorder="1" applyProtection="1"/>
    <xf numFmtId="0" fontId="7" fillId="2" borderId="28" xfId="2" applyFont="1" applyFill="1" applyBorder="1" applyAlignment="1" applyProtection="1">
      <alignment horizontal="right"/>
    </xf>
    <xf numFmtId="0" fontId="7" fillId="2" borderId="0" xfId="2" applyFont="1" applyFill="1" applyBorder="1" applyAlignment="1" applyProtection="1">
      <alignment horizontal="center"/>
    </xf>
    <xf numFmtId="3" fontId="8" fillId="2" borderId="0" xfId="2" applyNumberFormat="1" applyFont="1" applyFill="1" applyBorder="1"/>
    <xf numFmtId="189" fontId="8" fillId="2" borderId="0" xfId="2" applyNumberFormat="1" applyFont="1" applyFill="1" applyBorder="1" applyAlignment="1" applyProtection="1">
      <alignment horizontal="right"/>
    </xf>
    <xf numFmtId="189" fontId="8" fillId="2" borderId="28" xfId="2" applyNumberFormat="1" applyFont="1" applyFill="1" applyBorder="1" applyAlignment="1" applyProtection="1">
      <alignment horizontal="right"/>
    </xf>
    <xf numFmtId="189" fontId="8" fillId="2" borderId="0" xfId="2" quotePrefix="1" applyNumberFormat="1" applyFont="1" applyFill="1" applyBorder="1" applyAlignment="1" applyProtection="1">
      <alignment horizontal="right"/>
    </xf>
    <xf numFmtId="0" fontId="7" fillId="2" borderId="0" xfId="2" applyFont="1" applyFill="1" applyBorder="1" applyAlignment="1" applyProtection="1">
      <alignment horizontal="center" wrapText="1"/>
    </xf>
    <xf numFmtId="0" fontId="7" fillId="2" borderId="0" xfId="2" applyFont="1" applyFill="1" applyBorder="1" applyAlignment="1" applyProtection="1">
      <alignment horizontal="right" wrapText="1"/>
    </xf>
    <xf numFmtId="190" fontId="8" fillId="2" borderId="0" xfId="2" applyNumberFormat="1" applyFont="1" applyFill="1" applyBorder="1" applyAlignment="1" applyProtection="1">
      <alignment horizontal="right"/>
    </xf>
    <xf numFmtId="0" fontId="78" fillId="2" borderId="0" xfId="2" applyFont="1" applyFill="1" applyBorder="1" applyProtection="1"/>
    <xf numFmtId="3" fontId="7" fillId="2" borderId="6" xfId="2" applyNumberFormat="1" applyFont="1" applyFill="1" applyBorder="1"/>
    <xf numFmtId="189" fontId="7" fillId="2" borderId="6" xfId="2" applyNumberFormat="1" applyFont="1" applyFill="1" applyBorder="1" applyProtection="1">
      <protection locked="0"/>
    </xf>
    <xf numFmtId="189" fontId="7" fillId="2" borderId="68" xfId="2" applyNumberFormat="1" applyFont="1" applyFill="1" applyBorder="1" applyProtection="1">
      <protection locked="0"/>
    </xf>
    <xf numFmtId="189" fontId="8" fillId="2" borderId="6" xfId="2" quotePrefix="1" applyNumberFormat="1" applyFont="1" applyFill="1" applyBorder="1" applyAlignment="1" applyProtection="1">
      <alignment horizontal="right"/>
    </xf>
    <xf numFmtId="3" fontId="7" fillId="2" borderId="0" xfId="2" applyNumberFormat="1" applyFont="1" applyFill="1" applyBorder="1"/>
    <xf numFmtId="189" fontId="7" fillId="2" borderId="0" xfId="2" applyNumberFormat="1" applyFont="1" applyFill="1" applyBorder="1" applyProtection="1">
      <protection locked="0"/>
    </xf>
    <xf numFmtId="0" fontId="79" fillId="0" borderId="6" xfId="2" applyFont="1" applyFill="1" applyBorder="1" applyAlignment="1" applyProtection="1"/>
    <xf numFmtId="0" fontId="79" fillId="0" borderId="74" xfId="2" applyFont="1" applyFill="1" applyBorder="1" applyAlignment="1" applyProtection="1">
      <alignment horizontal="right"/>
    </xf>
    <xf numFmtId="0" fontId="79" fillId="0" borderId="87" xfId="2" applyFont="1" applyFill="1" applyBorder="1" applyAlignment="1" applyProtection="1">
      <alignment horizontal="right"/>
    </xf>
    <xf numFmtId="0" fontId="79" fillId="0" borderId="74" xfId="2" applyFont="1" applyFill="1" applyBorder="1" applyAlignment="1" applyProtection="1">
      <alignment horizontal="center"/>
    </xf>
    <xf numFmtId="0" fontId="79" fillId="0" borderId="88" xfId="2" applyFont="1" applyFill="1" applyBorder="1" applyAlignment="1" applyProtection="1">
      <alignment horizontal="center"/>
    </xf>
    <xf numFmtId="0" fontId="80" fillId="0" borderId="0" xfId="0" applyFont="1"/>
    <xf numFmtId="2" fontId="41" fillId="0" borderId="58" xfId="2" applyNumberFormat="1" applyFont="1" applyFill="1" applyBorder="1" applyAlignment="1" applyProtection="1">
      <alignment horizontal="right"/>
    </xf>
    <xf numFmtId="2" fontId="41" fillId="0" borderId="28" xfId="2" applyNumberFormat="1" applyFont="1" applyFill="1" applyBorder="1" applyAlignment="1" applyProtection="1">
      <alignment horizontal="right"/>
    </xf>
    <xf numFmtId="0" fontId="80" fillId="0" borderId="0" xfId="2" applyFont="1" applyFill="1" applyBorder="1" applyProtection="1">
      <protection locked="0"/>
    </xf>
    <xf numFmtId="0" fontId="23" fillId="0" borderId="58" xfId="0" applyFont="1" applyBorder="1" applyAlignment="1">
      <alignment horizontal="right"/>
    </xf>
    <xf numFmtId="0" fontId="23" fillId="0" borderId="28" xfId="0" applyFont="1" applyBorder="1" applyAlignment="1">
      <alignment horizontal="right"/>
    </xf>
    <xf numFmtId="0" fontId="81" fillId="0" borderId="0" xfId="2" applyFont="1" applyFill="1" applyBorder="1" applyAlignment="1" applyProtection="1"/>
    <xf numFmtId="0" fontId="81" fillId="0" borderId="6" xfId="2" applyFont="1" applyFill="1" applyBorder="1" applyAlignment="1" applyProtection="1"/>
    <xf numFmtId="0" fontId="23" fillId="0" borderId="61" xfId="0" applyFont="1" applyBorder="1" applyAlignment="1">
      <alignment horizontal="right"/>
    </xf>
    <xf numFmtId="0" fontId="23" fillId="0" borderId="68" xfId="0" applyFont="1" applyBorder="1" applyAlignment="1">
      <alignment horizontal="right"/>
    </xf>
    <xf numFmtId="0" fontId="5" fillId="0" borderId="0" xfId="3" applyFont="1" applyFill="1" applyBorder="1" applyAlignment="1" applyProtection="1">
      <alignment vertical="top"/>
    </xf>
    <xf numFmtId="0" fontId="1" fillId="0" borderId="0" xfId="3" applyFont="1" applyFill="1" applyBorder="1" applyAlignment="1" applyProtection="1">
      <alignment vertical="top"/>
    </xf>
    <xf numFmtId="0" fontId="7" fillId="2" borderId="0" xfId="3" applyFont="1" applyFill="1" applyBorder="1" applyAlignment="1" applyProtection="1"/>
    <xf numFmtId="173" fontId="7" fillId="2" borderId="0" xfId="3" applyNumberFormat="1" applyFont="1" applyFill="1" applyBorder="1" applyAlignment="1" applyProtection="1">
      <alignment horizontal="left"/>
    </xf>
    <xf numFmtId="0" fontId="7" fillId="0" borderId="0" xfId="3" applyFont="1" applyFill="1" applyBorder="1" applyAlignment="1" applyProtection="1"/>
    <xf numFmtId="173" fontId="8" fillId="2" borderId="0" xfId="3" applyNumberFormat="1" applyFont="1" applyFill="1" applyBorder="1" applyAlignment="1" applyProtection="1">
      <alignment horizontal="right"/>
    </xf>
    <xf numFmtId="0" fontId="7" fillId="2" borderId="26" xfId="3" applyFont="1" applyFill="1" applyBorder="1" applyProtection="1"/>
    <xf numFmtId="0" fontId="41" fillId="2" borderId="0" xfId="3" applyFont="1" applyFill="1" applyBorder="1" applyProtection="1"/>
    <xf numFmtId="0" fontId="79" fillId="0" borderId="86" xfId="2" applyFont="1" applyFill="1" applyBorder="1" applyAlignment="1" applyProtection="1">
      <alignment horizontal="right"/>
    </xf>
    <xf numFmtId="0" fontId="79" fillId="0" borderId="87" xfId="2" applyFont="1" applyFill="1" applyBorder="1" applyAlignment="1" applyProtection="1">
      <alignment horizontal="center"/>
    </xf>
    <xf numFmtId="0" fontId="7" fillId="2" borderId="0" xfId="3" applyFont="1" applyFill="1" applyBorder="1" applyAlignment="1" applyProtection="1">
      <alignment horizontal="center"/>
    </xf>
    <xf numFmtId="3" fontId="79" fillId="2" borderId="6" xfId="3" applyNumberFormat="1" applyFont="1" applyFill="1" applyBorder="1"/>
    <xf numFmtId="2" fontId="57" fillId="0" borderId="6" xfId="0" applyNumberFormat="1" applyFont="1" applyFill="1" applyBorder="1"/>
    <xf numFmtId="2" fontId="57" fillId="0" borderId="6" xfId="0" applyNumberFormat="1" applyFont="1" applyBorder="1"/>
    <xf numFmtId="2" fontId="57" fillId="0" borderId="68" xfId="0" applyNumberFormat="1" applyFont="1" applyBorder="1"/>
    <xf numFmtId="2" fontId="57" fillId="0" borderId="20" xfId="0" applyNumberFormat="1" applyFont="1" applyBorder="1"/>
    <xf numFmtId="190" fontId="8" fillId="2" borderId="0" xfId="3" applyNumberFormat="1" applyFont="1" applyFill="1" applyBorder="1" applyAlignment="1" applyProtection="1">
      <alignment horizontal="right"/>
    </xf>
    <xf numFmtId="3" fontId="41" fillId="2" borderId="26" xfId="3" applyNumberFormat="1" applyFont="1" applyFill="1" applyBorder="1"/>
    <xf numFmtId="2" fontId="57" fillId="0" borderId="26" xfId="0" applyNumberFormat="1" applyFont="1" applyFill="1" applyBorder="1"/>
    <xf numFmtId="2" fontId="57" fillId="0" borderId="26" xfId="0" applyNumberFormat="1" applyFont="1" applyBorder="1"/>
    <xf numFmtId="0" fontId="3" fillId="0" borderId="0" xfId="0" applyFont="1" applyBorder="1"/>
    <xf numFmtId="2" fontId="3" fillId="0" borderId="0" xfId="0" applyNumberFormat="1" applyFont="1" applyBorder="1"/>
    <xf numFmtId="0" fontId="4" fillId="2" borderId="0" xfId="3" applyFont="1" applyFill="1" applyBorder="1" applyProtection="1">
      <protection locked="0"/>
    </xf>
    <xf numFmtId="3" fontId="41" fillId="2" borderId="6" xfId="3" applyNumberFormat="1" applyFont="1" applyFill="1" applyBorder="1"/>
    <xf numFmtId="9" fontId="8" fillId="0" borderId="0" xfId="22" applyFont="1" applyFill="1" applyBorder="1" applyAlignment="1">
      <alignment horizontal="right"/>
    </xf>
    <xf numFmtId="190" fontId="8" fillId="0" borderId="0" xfId="2" applyNumberFormat="1" applyFont="1" applyFill="1" applyBorder="1" applyProtection="1">
      <protection locked="0"/>
    </xf>
    <xf numFmtId="190" fontId="8" fillId="0" borderId="0" xfId="2" applyNumberFormat="1" applyFont="1" applyFill="1" applyBorder="1" applyAlignment="1" applyProtection="1">
      <alignment horizontal="right"/>
    </xf>
    <xf numFmtId="190" fontId="8" fillId="0" borderId="0" xfId="22" applyNumberFormat="1" applyFont="1" applyFill="1" applyBorder="1"/>
    <xf numFmtId="190" fontId="8" fillId="0" borderId="0" xfId="2" applyNumberFormat="1" applyFont="1" applyFill="1" applyBorder="1" applyProtection="1"/>
    <xf numFmtId="190" fontId="78" fillId="0" borderId="0" xfId="2" applyNumberFormat="1" applyFont="1" applyFill="1" applyBorder="1" applyProtection="1"/>
    <xf numFmtId="9" fontId="7" fillId="0" borderId="0" xfId="22" applyFont="1" applyFill="1" applyBorder="1" applyAlignment="1">
      <alignment horizontal="right"/>
    </xf>
    <xf numFmtId="190" fontId="7" fillId="0" borderId="0" xfId="2" applyNumberFormat="1" applyFont="1" applyFill="1" applyBorder="1" applyProtection="1">
      <protection locked="0"/>
    </xf>
    <xf numFmtId="190" fontId="7" fillId="0" borderId="0" xfId="2" applyNumberFormat="1" applyFont="1" applyFill="1" applyBorder="1" applyAlignment="1" applyProtection="1">
      <alignment horizontal="right"/>
    </xf>
    <xf numFmtId="190" fontId="7" fillId="0" borderId="0" xfId="22" applyNumberFormat="1" applyFont="1" applyFill="1" applyBorder="1"/>
    <xf numFmtId="190" fontId="7" fillId="0" borderId="0" xfId="2" applyNumberFormat="1" applyFont="1" applyFill="1" applyBorder="1" applyProtection="1"/>
    <xf numFmtId="0" fontId="1" fillId="0" borderId="19" xfId="2" applyFont="1" applyFill="1" applyBorder="1" applyAlignment="1" applyProtection="1">
      <alignment vertical="top"/>
    </xf>
    <xf numFmtId="0" fontId="1" fillId="0" borderId="21" xfId="2" applyFont="1" applyFill="1" applyBorder="1" applyProtection="1">
      <protection locked="0"/>
    </xf>
    <xf numFmtId="0" fontId="4" fillId="0" borderId="21" xfId="2" applyFont="1" applyFill="1" applyBorder="1" applyAlignment="1" applyProtection="1">
      <alignment vertical="top" wrapText="1"/>
    </xf>
    <xf numFmtId="0" fontId="0" fillId="0" borderId="0" xfId="2" applyFont="1" applyFill="1" applyBorder="1" applyAlignment="1" applyProtection="1">
      <alignment vertical="top"/>
    </xf>
    <xf numFmtId="0" fontId="4" fillId="0" borderId="0" xfId="2" applyFont="1" applyFill="1" applyBorder="1" applyProtection="1"/>
    <xf numFmtId="0" fontId="4" fillId="0" borderId="0" xfId="2" applyFont="1" applyFill="1" applyBorder="1" applyAlignment="1" applyProtection="1">
      <alignment horizontal="right"/>
    </xf>
    <xf numFmtId="0" fontId="22" fillId="0" borderId="0" xfId="2" applyFont="1" applyFill="1" applyBorder="1" applyAlignment="1" applyProtection="1">
      <alignment horizontal="right"/>
    </xf>
    <xf numFmtId="0" fontId="0" fillId="0" borderId="0" xfId="2" applyFont="1" applyFill="1" applyBorder="1" applyAlignment="1" applyProtection="1">
      <alignment horizontal="right"/>
    </xf>
    <xf numFmtId="0" fontId="0" fillId="0" borderId="0" xfId="2" applyFont="1" applyFill="1" applyBorder="1" applyAlignment="1" applyProtection="1">
      <alignment horizontal="right"/>
      <protection locked="0"/>
    </xf>
    <xf numFmtId="0" fontId="0" fillId="0" borderId="28" xfId="2" applyFont="1" applyFill="1" applyBorder="1" applyAlignment="1" applyProtection="1">
      <alignment horizontal="right"/>
      <protection locked="0"/>
    </xf>
    <xf numFmtId="0" fontId="0" fillId="0" borderId="0" xfId="2" applyFont="1" applyFill="1" applyBorder="1" applyProtection="1">
      <protection locked="0"/>
    </xf>
    <xf numFmtId="0" fontId="7" fillId="0" borderId="0" xfId="2" applyFont="1" applyFill="1" applyBorder="1" applyAlignment="1">
      <alignment horizontal="center"/>
    </xf>
    <xf numFmtId="0" fontId="7" fillId="0" borderId="0" xfId="2" applyFont="1" applyFill="1" applyBorder="1" applyAlignment="1">
      <alignment horizontal="center" vertical="top"/>
    </xf>
    <xf numFmtId="9" fontId="8" fillId="2" borderId="0" xfId="22" applyFont="1" applyFill="1" applyBorder="1" applyAlignment="1" applyProtection="1">
      <alignment horizontal="right"/>
    </xf>
    <xf numFmtId="0" fontId="13" fillId="0" borderId="0" xfId="2" applyFont="1" applyFill="1" applyBorder="1" applyAlignment="1" applyProtection="1">
      <alignment vertical="top"/>
    </xf>
    <xf numFmtId="0" fontId="77" fillId="4" borderId="2" xfId="2" applyFont="1" applyFill="1" applyBorder="1" applyAlignment="1" applyProtection="1">
      <alignment vertical="top"/>
    </xf>
    <xf numFmtId="0" fontId="77" fillId="0" borderId="55" xfId="2" applyFont="1" applyFill="1" applyBorder="1" applyAlignment="1">
      <alignment horizontal="right"/>
    </xf>
    <xf numFmtId="3" fontId="74" fillId="4" borderId="0" xfId="2" applyNumberFormat="1" applyFont="1" applyFill="1" applyBorder="1"/>
    <xf numFmtId="9" fontId="74" fillId="0" borderId="58" xfId="1" applyFont="1" applyFill="1" applyBorder="1" applyAlignment="1" applyProtection="1">
      <alignment horizontal="right"/>
      <protection locked="0"/>
    </xf>
    <xf numFmtId="9" fontId="82" fillId="0" borderId="58" xfId="1" applyFont="1" applyBorder="1" applyAlignment="1">
      <alignment horizontal="right"/>
    </xf>
    <xf numFmtId="191" fontId="74" fillId="0" borderId="58" xfId="2" applyNumberFormat="1" applyFont="1" applyFill="1" applyBorder="1" applyAlignment="1" applyProtection="1">
      <alignment horizontal="right"/>
      <protection locked="0"/>
    </xf>
    <xf numFmtId="0" fontId="82" fillId="0" borderId="58" xfId="0" applyFont="1" applyBorder="1" applyAlignment="1">
      <alignment horizontal="right"/>
    </xf>
    <xf numFmtId="192" fontId="8" fillId="0" borderId="0" xfId="2" applyNumberFormat="1" applyFont="1" applyFill="1" applyBorder="1" applyAlignment="1" applyProtection="1">
      <alignment horizontal="right"/>
      <protection locked="0"/>
    </xf>
    <xf numFmtId="10" fontId="8" fillId="4" borderId="0" xfId="22" applyNumberFormat="1" applyFont="1" applyFill="1" applyBorder="1" applyAlignment="1">
      <alignment horizontal="right"/>
    </xf>
    <xf numFmtId="9" fontId="8" fillId="0" borderId="0" xfId="22" applyNumberFormat="1" applyFont="1" applyFill="1" applyBorder="1" applyAlignment="1" applyProtection="1">
      <alignment horizontal="right"/>
    </xf>
    <xf numFmtId="3" fontId="74" fillId="4" borderId="6" xfId="2" applyNumberFormat="1" applyFont="1" applyFill="1" applyBorder="1"/>
    <xf numFmtId="191" fontId="74" fillId="0" borderId="61" xfId="2" applyNumberFormat="1" applyFont="1" applyFill="1" applyBorder="1" applyAlignment="1" applyProtection="1">
      <alignment horizontal="right"/>
      <protection locked="0"/>
    </xf>
    <xf numFmtId="0" fontId="82" fillId="0" borderId="61" xfId="0" applyFont="1" applyBorder="1" applyAlignment="1">
      <alignment horizontal="right"/>
    </xf>
    <xf numFmtId="0" fontId="4" fillId="0" borderId="0" xfId="2" applyFont="1" applyFill="1" applyBorder="1" applyAlignment="1" applyProtection="1">
      <alignment horizontal="right"/>
      <protection locked="0"/>
    </xf>
    <xf numFmtId="1" fontId="83" fillId="0" borderId="0" xfId="2" applyNumberFormat="1" applyFont="1" applyBorder="1"/>
    <xf numFmtId="1" fontId="0" fillId="0" borderId="0" xfId="2" applyNumberFormat="1" applyFont="1" applyBorder="1"/>
    <xf numFmtId="1" fontId="83" fillId="0" borderId="0" xfId="2" applyNumberFormat="1" applyFont="1"/>
    <xf numFmtId="192" fontId="7" fillId="0" borderId="0" xfId="2" applyNumberFormat="1" applyFont="1" applyFill="1" applyBorder="1" applyAlignment="1" applyProtection="1">
      <alignment horizontal="right"/>
      <protection locked="0"/>
    </xf>
    <xf numFmtId="10" fontId="7" fillId="4" borderId="0" xfId="22" applyNumberFormat="1" applyFont="1" applyFill="1" applyBorder="1" applyAlignment="1">
      <alignment horizontal="right"/>
    </xf>
    <xf numFmtId="185" fontId="7" fillId="0" borderId="0" xfId="2" applyNumberFormat="1" applyFont="1" applyFill="1" applyBorder="1" applyAlignment="1"/>
    <xf numFmtId="10" fontId="7" fillId="0" borderId="0" xfId="22" applyNumberFormat="1" applyFont="1" applyFill="1" applyBorder="1" applyAlignment="1" applyProtection="1"/>
    <xf numFmtId="9" fontId="8" fillId="4" borderId="0" xfId="22" applyFont="1" applyFill="1" applyBorder="1" applyAlignment="1">
      <alignment horizontal="right"/>
    </xf>
    <xf numFmtId="185" fontId="8" fillId="0" borderId="0" xfId="2" applyNumberFormat="1" applyFont="1" applyFill="1" applyBorder="1" applyAlignment="1"/>
    <xf numFmtId="9" fontId="8" fillId="0" borderId="0" xfId="22" applyFont="1" applyFill="1" applyBorder="1" applyAlignment="1" applyProtection="1"/>
    <xf numFmtId="172" fontId="8" fillId="0" borderId="0" xfId="23" applyNumberFormat="1" applyFont="1" applyFill="1" applyBorder="1" applyAlignment="1" applyProtection="1"/>
    <xf numFmtId="10" fontId="8" fillId="0" borderId="0" xfId="22" applyNumberFormat="1" applyFont="1" applyFill="1" applyBorder="1" applyAlignment="1" applyProtection="1"/>
    <xf numFmtId="0" fontId="0" fillId="0" borderId="0" xfId="2" applyFont="1" applyFill="1" applyBorder="1" applyAlignment="1" applyProtection="1">
      <alignment vertical="top"/>
      <protection locked="0"/>
    </xf>
    <xf numFmtId="192" fontId="8" fillId="0" borderId="0" xfId="2" applyNumberFormat="1" applyFont="1" applyFill="1" applyBorder="1" applyAlignment="1" applyProtection="1">
      <alignment horizontal="right"/>
    </xf>
    <xf numFmtId="10" fontId="45" fillId="0" borderId="0" xfId="15" applyNumberFormat="1" applyFont="1" applyBorder="1" applyAlignment="1">
      <alignment horizontal="center"/>
    </xf>
    <xf numFmtId="1" fontId="0" fillId="0" borderId="0" xfId="2" applyNumberFormat="1" applyFont="1" applyFill="1" applyBorder="1" applyProtection="1">
      <protection locked="0"/>
    </xf>
    <xf numFmtId="10" fontId="45" fillId="0" borderId="0" xfId="15" applyNumberFormat="1" applyFont="1" applyBorder="1" applyAlignment="1">
      <alignment horizontal="center" wrapText="1"/>
    </xf>
    <xf numFmtId="0" fontId="25" fillId="2" borderId="0" xfId="2" applyFont="1" applyFill="1" applyBorder="1" applyAlignment="1" applyProtection="1">
      <alignment vertical="top" wrapText="1"/>
    </xf>
    <xf numFmtId="1" fontId="0" fillId="0" borderId="0" xfId="2" applyNumberFormat="1" applyFont="1"/>
    <xf numFmtId="0" fontId="25" fillId="2" borderId="0" xfId="2" applyFont="1" applyFill="1" applyBorder="1" applyAlignment="1" applyProtection="1">
      <alignment vertical="top"/>
    </xf>
    <xf numFmtId="0" fontId="5" fillId="0" borderId="0" xfId="2" applyFont="1" applyFill="1" applyBorder="1" applyAlignment="1" applyProtection="1">
      <alignment horizontal="left" vertical="top" wrapText="1"/>
    </xf>
    <xf numFmtId="0" fontId="6" fillId="0" borderId="0" xfId="2" applyFont="1" applyFill="1" applyBorder="1" applyAlignment="1" applyProtection="1">
      <alignment vertical="top"/>
    </xf>
    <xf numFmtId="0" fontId="41" fillId="4" borderId="2" xfId="2" applyFont="1" applyFill="1" applyBorder="1" applyAlignment="1" applyProtection="1">
      <alignment vertical="top"/>
    </xf>
    <xf numFmtId="0" fontId="41" fillId="0" borderId="55" xfId="2" applyFont="1" applyFill="1" applyBorder="1" applyAlignment="1">
      <alignment horizontal="right"/>
    </xf>
    <xf numFmtId="0" fontId="41" fillId="0" borderId="57" xfId="2" applyFont="1" applyFill="1" applyBorder="1" applyAlignment="1">
      <alignment horizontal="right"/>
    </xf>
    <xf numFmtId="3" fontId="28" fillId="4" borderId="26" xfId="2" applyNumberFormat="1" applyFont="1" applyFill="1" applyBorder="1"/>
    <xf numFmtId="9" fontId="28" fillId="0" borderId="59" xfId="1" applyFont="1" applyFill="1" applyBorder="1" applyAlignment="1" applyProtection="1">
      <alignment horizontal="right"/>
      <protection locked="0"/>
    </xf>
    <xf numFmtId="9" fontId="23" fillId="0" borderId="59" xfId="1" applyFont="1" applyBorder="1" applyAlignment="1">
      <alignment horizontal="right"/>
    </xf>
    <xf numFmtId="9" fontId="28" fillId="3" borderId="65" xfId="1" applyFont="1" applyFill="1" applyBorder="1" applyAlignment="1" applyProtection="1">
      <alignment horizontal="right"/>
      <protection locked="0"/>
    </xf>
    <xf numFmtId="3" fontId="28" fillId="4" borderId="0" xfId="2" applyNumberFormat="1" applyFont="1" applyFill="1" applyBorder="1"/>
    <xf numFmtId="9" fontId="28" fillId="0" borderId="58" xfId="1" applyFont="1" applyFill="1" applyBorder="1" applyAlignment="1" applyProtection="1">
      <alignment horizontal="right"/>
      <protection locked="0"/>
    </xf>
    <xf numFmtId="9" fontId="23" fillId="0" borderId="58" xfId="1" applyFont="1" applyBorder="1" applyAlignment="1">
      <alignment horizontal="right"/>
    </xf>
    <xf numFmtId="9" fontId="28" fillId="3" borderId="60" xfId="1" applyFont="1" applyFill="1" applyBorder="1" applyAlignment="1" applyProtection="1">
      <alignment horizontal="right"/>
      <protection locked="0"/>
    </xf>
    <xf numFmtId="3" fontId="28" fillId="4" borderId="6" xfId="2" applyNumberFormat="1" applyFont="1" applyFill="1" applyBorder="1"/>
    <xf numFmtId="9" fontId="28" fillId="0" borderId="61" xfId="1" applyFont="1" applyFill="1" applyBorder="1" applyAlignment="1" applyProtection="1">
      <alignment horizontal="right"/>
      <protection locked="0"/>
    </xf>
    <xf numFmtId="9" fontId="23" fillId="0" borderId="61" xfId="1" applyFont="1" applyBorder="1" applyAlignment="1">
      <alignment horizontal="right"/>
    </xf>
    <xf numFmtId="9" fontId="28" fillId="3" borderId="63" xfId="1" applyFont="1" applyFill="1" applyBorder="1" applyAlignment="1" applyProtection="1">
      <alignment horizontal="right"/>
      <protection locked="0"/>
    </xf>
    <xf numFmtId="0" fontId="0" fillId="0" borderId="0" xfId="2" applyFont="1" applyFill="1" applyBorder="1" applyAlignment="1" applyProtection="1">
      <alignment horizontal="left"/>
    </xf>
    <xf numFmtId="0" fontId="7" fillId="0" borderId="0" xfId="2" applyFont="1" applyFill="1" applyBorder="1" applyAlignment="1">
      <alignment horizontal="left"/>
    </xf>
    <xf numFmtId="0" fontId="7" fillId="0" borderId="0" xfId="2" applyFont="1" applyFill="1" applyBorder="1" applyAlignment="1">
      <alignment horizontal="left" vertical="top"/>
    </xf>
    <xf numFmtId="0" fontId="7" fillId="0" borderId="6" xfId="2" applyFont="1" applyFill="1" applyBorder="1" applyAlignment="1" applyProtection="1">
      <alignment wrapText="1"/>
    </xf>
    <xf numFmtId="0" fontId="41" fillId="0" borderId="1" xfId="2" applyFont="1" applyFill="1" applyBorder="1" applyAlignment="1" applyProtection="1">
      <alignment vertical="top"/>
    </xf>
    <xf numFmtId="0" fontId="41" fillId="0" borderId="29" xfId="2" applyFont="1" applyFill="1" applyBorder="1" applyAlignment="1">
      <alignment horizontal="right"/>
    </xf>
    <xf numFmtId="0" fontId="7" fillId="0" borderId="29" xfId="2" applyFont="1" applyFill="1" applyBorder="1" applyAlignment="1">
      <alignment horizontal="right"/>
    </xf>
    <xf numFmtId="3" fontId="28" fillId="0" borderId="18" xfId="2" applyNumberFormat="1" applyFont="1" applyFill="1" applyBorder="1"/>
    <xf numFmtId="0" fontId="8" fillId="0" borderId="59" xfId="2" applyFont="1" applyFill="1" applyBorder="1" applyAlignment="1" applyProtection="1">
      <alignment horizontal="center"/>
      <protection locked="0"/>
    </xf>
    <xf numFmtId="0" fontId="8" fillId="0" borderId="65" xfId="2" applyFont="1" applyFill="1" applyBorder="1" applyAlignment="1" applyProtection="1">
      <alignment horizontal="center"/>
      <protection locked="0"/>
    </xf>
    <xf numFmtId="0" fontId="8" fillId="0" borderId="58" xfId="2" applyFont="1" applyFill="1" applyBorder="1" applyAlignment="1" applyProtection="1">
      <alignment horizontal="center"/>
      <protection locked="0"/>
    </xf>
    <xf numFmtId="0" fontId="8" fillId="0" borderId="60" xfId="2" applyFont="1" applyFill="1" applyBorder="1" applyAlignment="1" applyProtection="1">
      <alignment horizontal="center"/>
      <protection locked="0"/>
    </xf>
    <xf numFmtId="0" fontId="41" fillId="0" borderId="1" xfId="2" applyFont="1" applyFill="1" applyBorder="1"/>
    <xf numFmtId="0" fontId="7" fillId="0" borderId="55" xfId="2" applyFont="1" applyFill="1" applyBorder="1" applyAlignment="1" applyProtection="1">
      <alignment horizontal="center"/>
      <protection locked="0"/>
    </xf>
    <xf numFmtId="0" fontId="7" fillId="0" borderId="57" xfId="2" applyFont="1" applyFill="1" applyBorder="1" applyAlignment="1" applyProtection="1">
      <alignment horizontal="center"/>
      <protection locked="0"/>
    </xf>
    <xf numFmtId="0" fontId="11" fillId="0" borderId="0" xfId="0" applyFont="1" applyFill="1" applyBorder="1" applyAlignment="1">
      <alignment horizontal="right"/>
    </xf>
    <xf numFmtId="10" fontId="14" fillId="0" borderId="0" xfId="1" applyNumberFormat="1" applyFont="1" applyFill="1" applyBorder="1" applyAlignment="1"/>
    <xf numFmtId="10" fontId="11" fillId="0" borderId="0" xfId="1" applyNumberFormat="1" applyFont="1" applyFill="1" applyBorder="1" applyAlignment="1"/>
    <xf numFmtId="3" fontId="14" fillId="0" borderId="0" xfId="0" applyNumberFormat="1" applyFont="1" applyFill="1" applyBorder="1" applyAlignment="1">
      <alignment horizontal="right"/>
    </xf>
    <xf numFmtId="10" fontId="14" fillId="0" borderId="0" xfId="1" applyNumberFormat="1" applyFont="1" applyFill="1" applyBorder="1" applyAlignment="1">
      <alignment horizontal="right"/>
    </xf>
    <xf numFmtId="10" fontId="8" fillId="0" borderId="0" xfId="1" applyNumberFormat="1" applyFont="1" applyFill="1" applyBorder="1" applyAlignment="1"/>
    <xf numFmtId="10" fontId="59" fillId="0" borderId="0" xfId="1" applyNumberFormat="1" applyFont="1" applyFill="1" applyBorder="1" applyAlignment="1"/>
    <xf numFmtId="3" fontId="11" fillId="0" borderId="0" xfId="0" applyNumberFormat="1" applyFont="1" applyFill="1" applyBorder="1" applyAlignment="1">
      <alignment horizontal="right"/>
    </xf>
    <xf numFmtId="10" fontId="11" fillId="0" borderId="0" xfId="1" applyNumberFormat="1" applyFont="1" applyFill="1" applyBorder="1" applyAlignment="1">
      <alignment horizontal="right"/>
    </xf>
    <xf numFmtId="0" fontId="15" fillId="0" borderId="0" xfId="2" applyFont="1" applyFill="1" applyBorder="1" applyAlignment="1" applyProtection="1">
      <alignment vertical="top"/>
    </xf>
    <xf numFmtId="0" fontId="0" fillId="0" borderId="0" xfId="2" applyFont="1" applyFill="1" applyBorder="1" applyAlignment="1" applyProtection="1">
      <protection locked="0"/>
    </xf>
    <xf numFmtId="0" fontId="1" fillId="0" borderId="0" xfId="2" applyFont="1" applyFill="1" applyAlignment="1">
      <alignment vertical="top"/>
    </xf>
    <xf numFmtId="0" fontId="4" fillId="0" borderId="0" xfId="15" applyFill="1"/>
    <xf numFmtId="0" fontId="1" fillId="0" borderId="0" xfId="2" applyFont="1" applyFill="1" applyBorder="1" applyAlignment="1"/>
    <xf numFmtId="0" fontId="1" fillId="0" borderId="0" xfId="2" applyFont="1" applyFill="1" applyBorder="1"/>
    <xf numFmtId="0" fontId="4" fillId="0" borderId="0" xfId="2" applyFont="1" applyFill="1" applyBorder="1" applyAlignment="1">
      <alignment horizontal="left" vertical="top" wrapText="1"/>
    </xf>
    <xf numFmtId="0" fontId="7" fillId="0" borderId="6" xfId="2" applyFont="1" applyFill="1" applyBorder="1"/>
    <xf numFmtId="0" fontId="7" fillId="0" borderId="6" xfId="2" applyFont="1" applyFill="1" applyBorder="1" applyAlignment="1">
      <alignment horizontal="left"/>
    </xf>
    <xf numFmtId="0" fontId="4" fillId="0" borderId="6" xfId="2" applyFont="1" applyFill="1" applyBorder="1" applyAlignment="1">
      <alignment horizontal="right"/>
    </xf>
    <xf numFmtId="0" fontId="15" fillId="0" borderId="0" xfId="2" applyFont="1" applyFill="1" applyBorder="1" applyAlignment="1">
      <alignment vertical="top"/>
    </xf>
    <xf numFmtId="0" fontId="7" fillId="0" borderId="4" xfId="2" applyFont="1" applyFill="1" applyBorder="1"/>
    <xf numFmtId="0" fontId="7" fillId="0" borderId="26" xfId="2" applyFont="1" applyFill="1" applyBorder="1" applyAlignment="1">
      <alignment horizontal="right"/>
    </xf>
    <xf numFmtId="17" fontId="7" fillId="0" borderId="26" xfId="2" quotePrefix="1" applyNumberFormat="1" applyFont="1" applyFill="1" applyBorder="1" applyAlignment="1">
      <alignment horizontal="right"/>
    </xf>
    <xf numFmtId="17" fontId="7" fillId="0" borderId="27" xfId="2" quotePrefix="1" applyNumberFormat="1" applyFont="1" applyFill="1" applyBorder="1" applyAlignment="1">
      <alignment horizontal="right"/>
    </xf>
    <xf numFmtId="0" fontId="8" fillId="0" borderId="0" xfId="2" applyFont="1" applyFill="1" applyBorder="1" applyAlignment="1">
      <alignment vertical="top"/>
    </xf>
    <xf numFmtId="172" fontId="8" fillId="0" borderId="0" xfId="14" applyNumberFormat="1" applyFont="1" applyFill="1" applyBorder="1" applyAlignment="1" applyProtection="1">
      <alignment horizontal="right"/>
    </xf>
    <xf numFmtId="172" fontId="8" fillId="0" borderId="0" xfId="24" applyNumberFormat="1" applyFont="1" applyFill="1" applyBorder="1" applyAlignment="1" applyProtection="1">
      <alignment horizontal="right"/>
    </xf>
    <xf numFmtId="172" fontId="8" fillId="0" borderId="19" xfId="24" applyNumberFormat="1" applyFont="1" applyFill="1" applyBorder="1" applyAlignment="1" applyProtection="1">
      <alignment horizontal="right"/>
    </xf>
    <xf numFmtId="184" fontId="5" fillId="0" borderId="0" xfId="2" applyNumberFormat="1" applyFont="1" applyFill="1" applyAlignment="1">
      <alignment vertical="top"/>
    </xf>
    <xf numFmtId="184" fontId="1" fillId="0" borderId="0" xfId="2" applyNumberFormat="1" applyFont="1" applyFill="1" applyBorder="1" applyAlignment="1"/>
    <xf numFmtId="184" fontId="1" fillId="0" borderId="0" xfId="2" applyNumberFormat="1" applyFont="1" applyFill="1" applyBorder="1"/>
    <xf numFmtId="184" fontId="1" fillId="0" borderId="0" xfId="2" applyNumberFormat="1" applyFont="1" applyFill="1"/>
    <xf numFmtId="184" fontId="5" fillId="0" borderId="0" xfId="2" applyNumberFormat="1" applyFont="1" applyFill="1" applyBorder="1" applyAlignment="1">
      <alignment vertical="top"/>
    </xf>
    <xf numFmtId="0" fontId="7" fillId="0" borderId="37" xfId="2" applyFont="1" applyFill="1" applyBorder="1"/>
    <xf numFmtId="3" fontId="7" fillId="0" borderId="16" xfId="2" applyNumberFormat="1" applyFont="1" applyFill="1" applyBorder="1" applyAlignment="1">
      <alignment horizontal="right"/>
    </xf>
    <xf numFmtId="3" fontId="7" fillId="0" borderId="44" xfId="2" applyNumberFormat="1" applyFont="1" applyFill="1" applyBorder="1" applyAlignment="1">
      <alignment horizontal="right"/>
    </xf>
    <xf numFmtId="184" fontId="1" fillId="0" borderId="25" xfId="2" applyNumberFormat="1" applyFont="1" applyFill="1" applyBorder="1"/>
    <xf numFmtId="9" fontId="22" fillId="0" borderId="0" xfId="25" applyFont="1" applyFill="1" applyBorder="1" applyAlignment="1">
      <alignment vertical="top"/>
    </xf>
    <xf numFmtId="9" fontId="8" fillId="0" borderId="0" xfId="25" applyFont="1" applyFill="1" applyBorder="1" applyAlignment="1">
      <alignment vertical="top"/>
    </xf>
    <xf numFmtId="9" fontId="8" fillId="0" borderId="18" xfId="25" applyFont="1" applyFill="1" applyBorder="1"/>
    <xf numFmtId="169" fontId="8" fillId="0" borderId="0" xfId="25" applyNumberFormat="1" applyFont="1" applyFill="1" applyBorder="1" applyAlignment="1">
      <alignment horizontal="right"/>
    </xf>
    <xf numFmtId="169" fontId="8" fillId="0" borderId="19" xfId="25" applyNumberFormat="1" applyFont="1" applyFill="1" applyBorder="1" applyAlignment="1">
      <alignment horizontal="right"/>
    </xf>
    <xf numFmtId="9" fontId="4" fillId="0" borderId="0" xfId="25" applyFont="1" applyFill="1" applyBorder="1" applyAlignment="1"/>
    <xf numFmtId="9" fontId="4" fillId="0" borderId="0" xfId="25" applyFont="1" applyFill="1" applyBorder="1"/>
    <xf numFmtId="172" fontId="8" fillId="0" borderId="6" xfId="14" applyNumberFormat="1" applyFont="1" applyFill="1" applyBorder="1" applyAlignment="1" applyProtection="1">
      <alignment horizontal="right"/>
    </xf>
    <xf numFmtId="172" fontId="8" fillId="0" borderId="20" xfId="14" applyNumberFormat="1" applyFont="1" applyFill="1" applyBorder="1" applyAlignment="1" applyProtection="1">
      <alignment horizontal="right"/>
    </xf>
    <xf numFmtId="193" fontId="8" fillId="0" borderId="0" xfId="2" applyNumberFormat="1" applyFont="1" applyFill="1" applyBorder="1" applyAlignment="1">
      <alignment horizontal="right"/>
    </xf>
    <xf numFmtId="193" fontId="8" fillId="0" borderId="0" xfId="2" applyNumberFormat="1" applyFont="1" applyFill="1" applyBorder="1" applyAlignment="1"/>
    <xf numFmtId="184" fontId="8" fillId="0" borderId="0" xfId="2" applyNumberFormat="1" applyFont="1" applyFill="1" applyBorder="1" applyAlignment="1">
      <alignment vertical="top"/>
    </xf>
    <xf numFmtId="0" fontId="12" fillId="0" borderId="0" xfId="2" applyFont="1" applyFill="1" applyBorder="1" applyAlignment="1">
      <alignment horizontal="center"/>
    </xf>
    <xf numFmtId="172" fontId="12" fillId="0" borderId="0" xfId="2" applyNumberFormat="1" applyFont="1" applyFill="1" applyBorder="1" applyAlignment="1">
      <alignment horizontal="center"/>
    </xf>
    <xf numFmtId="0" fontId="7" fillId="0" borderId="6" xfId="2" applyFont="1" applyFill="1" applyBorder="1" applyAlignment="1">
      <alignment horizontal="right"/>
    </xf>
    <xf numFmtId="184" fontId="1" fillId="0" borderId="6" xfId="2" applyNumberFormat="1" applyFont="1" applyFill="1" applyBorder="1" applyAlignment="1">
      <alignment horizontal="right"/>
    </xf>
    <xf numFmtId="0" fontId="7" fillId="0" borderId="5" xfId="2" applyFont="1" applyFill="1" applyBorder="1"/>
    <xf numFmtId="184" fontId="0" fillId="0" borderId="6" xfId="2" applyNumberFormat="1" applyFont="1" applyFill="1" applyBorder="1" applyAlignment="1">
      <alignment horizontal="right"/>
    </xf>
    <xf numFmtId="184" fontId="0" fillId="0" borderId="0" xfId="2" applyNumberFormat="1" applyFont="1" applyFill="1" applyBorder="1" applyAlignment="1"/>
    <xf numFmtId="184" fontId="0" fillId="0" borderId="0" xfId="2" applyNumberFormat="1" applyFont="1" applyFill="1" applyBorder="1" applyAlignment="1">
      <alignment horizontal="right"/>
    </xf>
    <xf numFmtId="184" fontId="0" fillId="0" borderId="6" xfId="2" applyNumberFormat="1" applyFont="1" applyFill="1" applyBorder="1" applyAlignment="1"/>
    <xf numFmtId="184" fontId="5" fillId="0" borderId="0" xfId="2" applyNumberFormat="1" applyFont="1" applyFill="1" applyAlignment="1">
      <alignment vertical="top" wrapText="1"/>
    </xf>
    <xf numFmtId="184" fontId="7" fillId="0" borderId="0" xfId="2" applyNumberFormat="1" applyFont="1" applyFill="1" applyBorder="1" applyAlignment="1">
      <alignment vertical="top" wrapText="1"/>
    </xf>
    <xf numFmtId="0" fontId="7" fillId="0" borderId="4" xfId="2" applyFont="1" applyFill="1" applyBorder="1" applyAlignment="1">
      <alignment vertical="top" wrapText="1"/>
    </xf>
    <xf numFmtId="0" fontId="7" fillId="0" borderId="64" xfId="2" applyFont="1" applyFill="1" applyBorder="1" applyAlignment="1">
      <alignment horizontal="center" vertical="top" wrapText="1"/>
    </xf>
    <xf numFmtId="0" fontId="7" fillId="0" borderId="0" xfId="2" applyFont="1" applyFill="1" applyBorder="1" applyAlignment="1">
      <alignment horizontal="center" vertical="top" wrapText="1"/>
    </xf>
    <xf numFmtId="0" fontId="7" fillId="0" borderId="21" xfId="2" applyFont="1" applyFill="1" applyBorder="1" applyAlignment="1">
      <alignment horizontal="center" vertical="top" wrapText="1"/>
    </xf>
    <xf numFmtId="0" fontId="7" fillId="0" borderId="26" xfId="2" applyFont="1" applyFill="1" applyBorder="1" applyAlignment="1">
      <alignment horizontal="center" vertical="top" wrapText="1"/>
    </xf>
    <xf numFmtId="0" fontId="7" fillId="0" borderId="59" xfId="2" applyFont="1" applyFill="1" applyBorder="1" applyAlignment="1">
      <alignment horizontal="center" vertical="top" wrapText="1"/>
    </xf>
    <xf numFmtId="0" fontId="7" fillId="0" borderId="67" xfId="2" applyFont="1" applyFill="1" applyBorder="1" applyAlignment="1">
      <alignment horizontal="center" vertical="top" wrapText="1"/>
    </xf>
    <xf numFmtId="0" fontId="7" fillId="0" borderId="58" xfId="2" applyFont="1" applyFill="1" applyBorder="1" applyAlignment="1">
      <alignment horizontal="center" vertical="top" wrapText="1"/>
    </xf>
    <xf numFmtId="0" fontId="7" fillId="0" borderId="65" xfId="2" applyFont="1" applyFill="1" applyBorder="1" applyAlignment="1">
      <alignment horizontal="center" vertical="top" wrapText="1"/>
    </xf>
    <xf numFmtId="0" fontId="7" fillId="0" borderId="4" xfId="2" applyFont="1" applyFill="1" applyBorder="1" applyAlignment="1">
      <alignment horizontal="center" vertical="top" wrapText="1"/>
    </xf>
    <xf numFmtId="184" fontId="15" fillId="0" borderId="0" xfId="2" applyNumberFormat="1" applyFont="1" applyFill="1" applyAlignment="1">
      <alignment vertical="top" wrapText="1"/>
    </xf>
    <xf numFmtId="185" fontId="8" fillId="0" borderId="21" xfId="2" applyNumberFormat="1" applyFont="1" applyFill="1" applyBorder="1" applyAlignment="1">
      <alignment horizontal="right"/>
    </xf>
    <xf numFmtId="185" fontId="8" fillId="0" borderId="58" xfId="2" applyNumberFormat="1" applyFont="1" applyFill="1" applyBorder="1" applyAlignment="1">
      <alignment horizontal="right"/>
    </xf>
    <xf numFmtId="185" fontId="8" fillId="0" borderId="0" xfId="2" applyNumberFormat="1" applyFont="1" applyFill="1" applyBorder="1" applyAlignment="1">
      <alignment horizontal="right"/>
    </xf>
    <xf numFmtId="185" fontId="8" fillId="0" borderId="28" xfId="2" applyNumberFormat="1" applyFont="1" applyFill="1" applyBorder="1" applyAlignment="1">
      <alignment horizontal="right"/>
    </xf>
    <xf numFmtId="172" fontId="8" fillId="0" borderId="60" xfId="14" applyNumberFormat="1" applyFont="1" applyFill="1" applyBorder="1" applyAlignment="1" applyProtection="1">
      <alignment horizontal="right"/>
    </xf>
    <xf numFmtId="185" fontId="8" fillId="0" borderId="6" xfId="2" applyNumberFormat="1" applyFont="1" applyFill="1" applyBorder="1" applyAlignment="1">
      <alignment horizontal="right"/>
    </xf>
    <xf numFmtId="172" fontId="8" fillId="0" borderId="63" xfId="14" applyNumberFormat="1" applyFont="1" applyFill="1" applyBorder="1" applyAlignment="1" applyProtection="1">
      <alignment horizontal="right"/>
    </xf>
    <xf numFmtId="185" fontId="8" fillId="0" borderId="68" xfId="2" applyNumberFormat="1" applyFont="1" applyFill="1" applyBorder="1" applyAlignment="1">
      <alignment horizontal="right"/>
    </xf>
    <xf numFmtId="0" fontId="52" fillId="0" borderId="4" xfId="2" applyFont="1" applyFill="1" applyBorder="1"/>
    <xf numFmtId="185" fontId="52" fillId="0" borderId="26" xfId="2" applyNumberFormat="1" applyFont="1" applyFill="1" applyBorder="1" applyAlignment="1">
      <alignment horizontal="right"/>
    </xf>
    <xf numFmtId="172" fontId="52" fillId="0" borderId="26" xfId="14" applyNumberFormat="1" applyFont="1" applyFill="1" applyBorder="1" applyAlignment="1" applyProtection="1">
      <alignment horizontal="right"/>
    </xf>
    <xf numFmtId="185" fontId="8" fillId="0" borderId="26" xfId="2" applyNumberFormat="1" applyFont="1" applyFill="1" applyBorder="1" applyAlignment="1">
      <alignment horizontal="right"/>
    </xf>
    <xf numFmtId="185" fontId="8" fillId="0" borderId="59" xfId="2" applyNumberFormat="1" applyFont="1" applyFill="1" applyBorder="1" applyAlignment="1">
      <alignment horizontal="right"/>
    </xf>
    <xf numFmtId="185" fontId="8" fillId="0" borderId="67" xfId="2" applyNumberFormat="1" applyFont="1" applyFill="1" applyBorder="1" applyAlignment="1">
      <alignment horizontal="right"/>
    </xf>
    <xf numFmtId="172" fontId="52" fillId="0" borderId="0" xfId="14" applyNumberFormat="1" applyFont="1" applyFill="1" applyBorder="1" applyAlignment="1" applyProtection="1">
      <alignment horizontal="right"/>
    </xf>
    <xf numFmtId="185" fontId="8" fillId="0" borderId="27" xfId="2" applyNumberFormat="1" applyFont="1" applyFill="1" applyBorder="1" applyAlignment="1">
      <alignment horizontal="right"/>
    </xf>
    <xf numFmtId="0" fontId="52" fillId="0" borderId="5" xfId="2" applyFont="1" applyFill="1" applyBorder="1"/>
    <xf numFmtId="185" fontId="52" fillId="0" borderId="6" xfId="2" applyNumberFormat="1" applyFont="1" applyFill="1" applyBorder="1" applyAlignment="1">
      <alignment horizontal="right"/>
    </xf>
    <xf numFmtId="172" fontId="52" fillId="0" borderId="6" xfId="14" applyNumberFormat="1" applyFont="1" applyFill="1" applyBorder="1" applyAlignment="1" applyProtection="1">
      <alignment horizontal="right"/>
    </xf>
    <xf numFmtId="185" fontId="8" fillId="0" borderId="20" xfId="2" applyNumberFormat="1" applyFont="1" applyFill="1" applyBorder="1" applyAlignment="1">
      <alignment horizontal="right"/>
    </xf>
    <xf numFmtId="172" fontId="8" fillId="0" borderId="5" xfId="14" applyNumberFormat="1" applyFont="1" applyFill="1" applyBorder="1" applyAlignment="1" applyProtection="1">
      <alignment horizontal="right"/>
    </xf>
    <xf numFmtId="185" fontId="8" fillId="0" borderId="60" xfId="2" applyNumberFormat="1" applyFont="1" applyFill="1" applyBorder="1" applyAlignment="1">
      <alignment horizontal="right"/>
    </xf>
    <xf numFmtId="184" fontId="8" fillId="0" borderId="21" xfId="2" applyNumberFormat="1" applyFont="1" applyFill="1" applyBorder="1" applyAlignment="1">
      <alignment horizontal="right"/>
    </xf>
    <xf numFmtId="184" fontId="8" fillId="0" borderId="0" xfId="2" applyNumberFormat="1" applyFont="1" applyFill="1" applyBorder="1" applyAlignment="1">
      <alignment horizontal="right"/>
    </xf>
    <xf numFmtId="185" fontId="8" fillId="0" borderId="62" xfId="2" applyNumberFormat="1" applyFont="1" applyFill="1" applyBorder="1" applyAlignment="1">
      <alignment horizontal="right"/>
    </xf>
    <xf numFmtId="185" fontId="8" fillId="0" borderId="61" xfId="2" applyNumberFormat="1" applyFont="1" applyFill="1" applyBorder="1" applyAlignment="1">
      <alignment horizontal="right"/>
    </xf>
    <xf numFmtId="185" fontId="8" fillId="0" borderId="63" xfId="2" applyNumberFormat="1" applyFont="1" applyFill="1" applyBorder="1" applyAlignment="1">
      <alignment horizontal="right"/>
    </xf>
    <xf numFmtId="172" fontId="8" fillId="0" borderId="90" xfId="14" applyNumberFormat="1" applyFont="1" applyFill="1" applyBorder="1" applyAlignment="1" applyProtection="1">
      <alignment horizontal="right"/>
    </xf>
    <xf numFmtId="185" fontId="8" fillId="0" borderId="56" xfId="2" applyNumberFormat="1" applyFont="1" applyFill="1" applyBorder="1" applyAlignment="1">
      <alignment horizontal="right"/>
    </xf>
    <xf numFmtId="185" fontId="8" fillId="0" borderId="2" xfId="2" applyNumberFormat="1" applyFont="1" applyFill="1" applyBorder="1" applyAlignment="1">
      <alignment horizontal="right"/>
    </xf>
    <xf numFmtId="0" fontId="1" fillId="0" borderId="18" xfId="2" applyFont="1" applyFill="1" applyBorder="1" applyAlignment="1"/>
    <xf numFmtId="169" fontId="8" fillId="0" borderId="0" xfId="25" applyNumberFormat="1" applyFont="1" applyFill="1" applyBorder="1" applyAlignment="1"/>
    <xf numFmtId="0" fontId="4" fillId="0" borderId="26" xfId="15" applyFill="1" applyBorder="1"/>
    <xf numFmtId="185" fontId="4" fillId="0" borderId="0" xfId="15" applyNumberFormat="1" applyFill="1"/>
    <xf numFmtId="172" fontId="4" fillId="0" borderId="0" xfId="15" applyNumberFormat="1" applyFill="1"/>
    <xf numFmtId="3" fontId="4" fillId="0" borderId="0" xfId="15" applyNumberFormat="1" applyFill="1"/>
    <xf numFmtId="185" fontId="8" fillId="0" borderId="64" xfId="2" applyNumberFormat="1" applyFont="1" applyFill="1" applyBorder="1" applyAlignment="1">
      <alignment horizontal="right"/>
    </xf>
    <xf numFmtId="185" fontId="8" fillId="0" borderId="57" xfId="2" applyNumberFormat="1" applyFont="1" applyFill="1" applyBorder="1" applyAlignment="1">
      <alignment horizontal="right"/>
    </xf>
    <xf numFmtId="172" fontId="8" fillId="0" borderId="2" xfId="14" applyNumberFormat="1" applyFont="1" applyFill="1" applyBorder="1" applyAlignment="1" applyProtection="1">
      <alignment horizontal="right"/>
    </xf>
    <xf numFmtId="185" fontId="8" fillId="0" borderId="55" xfId="2" applyNumberFormat="1" applyFont="1" applyFill="1" applyBorder="1" applyAlignment="1">
      <alignment horizontal="right"/>
    </xf>
    <xf numFmtId="185" fontId="7" fillId="0" borderId="0" xfId="2" applyNumberFormat="1" applyFont="1" applyFill="1" applyBorder="1" applyAlignment="1">
      <alignment horizontal="right"/>
    </xf>
    <xf numFmtId="0" fontId="1" fillId="0" borderId="0" xfId="2" applyFont="1" applyFill="1" applyBorder="1" applyAlignment="1">
      <alignment vertical="top"/>
    </xf>
    <xf numFmtId="0" fontId="4" fillId="0" borderId="0" xfId="2" applyFont="1" applyFill="1" applyBorder="1"/>
    <xf numFmtId="0" fontId="1" fillId="0" borderId="4" xfId="2" applyFont="1" applyFill="1" applyBorder="1"/>
    <xf numFmtId="0" fontId="1" fillId="0" borderId="26" xfId="2" applyFont="1" applyFill="1" applyBorder="1"/>
    <xf numFmtId="17" fontId="7" fillId="0" borderId="26" xfId="2" quotePrefix="1" applyNumberFormat="1" applyFont="1" applyFill="1" applyBorder="1" applyAlignment="1">
      <alignment horizontal="right" wrapText="1"/>
    </xf>
    <xf numFmtId="0" fontId="8" fillId="0" borderId="18" xfId="2" applyFont="1" applyFill="1" applyBorder="1" applyAlignment="1">
      <alignment wrapText="1"/>
    </xf>
    <xf numFmtId="3" fontId="11" fillId="0" borderId="0" xfId="2" applyNumberFormat="1" applyFont="1" applyFill="1" applyBorder="1" applyAlignment="1"/>
    <xf numFmtId="0" fontId="8" fillId="0" borderId="5" xfId="2" applyFont="1" applyFill="1" applyBorder="1" applyAlignment="1">
      <alignment wrapText="1"/>
    </xf>
    <xf numFmtId="0" fontId="1" fillId="0" borderId="6" xfId="2" applyFont="1" applyFill="1" applyBorder="1"/>
    <xf numFmtId="169" fontId="8" fillId="0" borderId="6" xfId="2" applyNumberFormat="1" applyFont="1" applyFill="1" applyBorder="1" applyAlignment="1">
      <alignment horizontal="right"/>
    </xf>
    <xf numFmtId="169" fontId="11" fillId="0" borderId="6" xfId="2" applyNumberFormat="1" applyFont="1" applyFill="1" applyBorder="1" applyAlignment="1"/>
    <xf numFmtId="0" fontId="4" fillId="0" borderId="0" xfId="2" applyFont="1" applyFill="1" applyBorder="1" applyAlignment="1">
      <alignment horizontal="right"/>
    </xf>
    <xf numFmtId="0" fontId="7" fillId="0" borderId="0" xfId="2" applyFont="1" applyFill="1" applyBorder="1" applyAlignment="1">
      <alignment horizontal="right"/>
    </xf>
    <xf numFmtId="184" fontId="1" fillId="0" borderId="0" xfId="2" applyNumberFormat="1" applyFont="1" applyFill="1" applyBorder="1" applyAlignment="1">
      <alignment horizontal="right"/>
    </xf>
    <xf numFmtId="187" fontId="8" fillId="0" borderId="0" xfId="26" applyNumberFormat="1" applyFont="1" applyFill="1" applyBorder="1" applyAlignment="1" applyProtection="1">
      <alignment horizontal="right" vertical="center" shrinkToFit="1"/>
      <protection hidden="1"/>
    </xf>
    <xf numFmtId="0" fontId="7" fillId="0" borderId="0" xfId="2" applyFont="1" applyFill="1" applyBorder="1" applyAlignment="1">
      <alignment vertical="top" wrapText="1"/>
    </xf>
    <xf numFmtId="0" fontId="7" fillId="0" borderId="0" xfId="2" quotePrefix="1" applyFont="1" applyFill="1" applyBorder="1" applyAlignment="1">
      <alignment horizontal="center" vertical="top" wrapText="1"/>
    </xf>
    <xf numFmtId="184" fontId="8" fillId="0" borderId="0" xfId="2" applyNumberFormat="1" applyFont="1" applyFill="1" applyBorder="1"/>
    <xf numFmtId="0" fontId="7" fillId="0" borderId="0" xfId="2" applyFont="1" applyFill="1" applyBorder="1" applyAlignment="1">
      <alignment vertical="top"/>
    </xf>
    <xf numFmtId="0" fontId="7" fillId="0" borderId="0" xfId="2" applyFont="1" applyFill="1" applyBorder="1" applyAlignment="1"/>
    <xf numFmtId="193" fontId="8" fillId="0" borderId="0" xfId="25" applyNumberFormat="1" applyFont="1" applyFill="1" applyBorder="1"/>
    <xf numFmtId="193" fontId="8" fillId="0" borderId="0" xfId="2" applyNumberFormat="1" applyFont="1" applyFill="1" applyBorder="1"/>
    <xf numFmtId="0" fontId="8" fillId="0" borderId="0" xfId="2" applyFont="1" applyFill="1" applyBorder="1" applyAlignment="1"/>
    <xf numFmtId="193" fontId="8" fillId="0" borderId="0" xfId="25" applyNumberFormat="1" applyFont="1" applyFill="1" applyBorder="1" applyAlignment="1"/>
    <xf numFmtId="184" fontId="8" fillId="0" borderId="0" xfId="2" applyNumberFormat="1" applyFont="1" applyFill="1" applyBorder="1" applyAlignment="1">
      <alignment vertical="top" wrapText="1"/>
    </xf>
    <xf numFmtId="169" fontId="8" fillId="0" borderId="0" xfId="25" applyNumberFormat="1" applyFont="1" applyFill="1" applyBorder="1"/>
    <xf numFmtId="184" fontId="8" fillId="0" borderId="0" xfId="2" applyNumberFormat="1" applyFont="1" applyFill="1" applyBorder="1" applyAlignment="1"/>
    <xf numFmtId="17" fontId="7" fillId="0" borderId="0" xfId="2" applyNumberFormat="1" applyFont="1" applyFill="1" applyBorder="1"/>
    <xf numFmtId="0" fontId="7" fillId="0" borderId="0" xfId="2" applyNumberFormat="1" applyFont="1" applyFill="1" applyBorder="1" applyAlignment="1">
      <alignment horizontal="center"/>
    </xf>
    <xf numFmtId="0" fontId="8" fillId="0" borderId="0" xfId="2" applyFont="1" applyFill="1" applyBorder="1" applyAlignment="1">
      <alignment horizontal="center"/>
    </xf>
    <xf numFmtId="3" fontId="8" fillId="0" borderId="0" xfId="2" applyNumberFormat="1" applyFont="1" applyFill="1" applyBorder="1" applyAlignment="1">
      <alignment horizontal="center"/>
    </xf>
    <xf numFmtId="169" fontId="8" fillId="0" borderId="0" xfId="25" applyNumberFormat="1" applyFont="1" applyFill="1" applyBorder="1" applyAlignment="1">
      <alignment horizontal="center"/>
    </xf>
    <xf numFmtId="184" fontId="8" fillId="0" borderId="0" xfId="2" applyNumberFormat="1" applyFont="1" applyFill="1" applyBorder="1" applyAlignment="1">
      <alignment wrapText="1"/>
    </xf>
    <xf numFmtId="0" fontId="20" fillId="0" borderId="0" xfId="15" applyFont="1" applyFill="1"/>
    <xf numFmtId="0" fontId="6" fillId="0" borderId="0" xfId="15" applyFont="1" applyFill="1"/>
    <xf numFmtId="0" fontId="5" fillId="0" borderId="0" xfId="15" applyFont="1" applyFill="1"/>
    <xf numFmtId="0" fontId="5" fillId="0" borderId="0" xfId="15" applyFont="1" applyFill="1" applyBorder="1"/>
    <xf numFmtId="0" fontId="7" fillId="0" borderId="0" xfId="15" applyFont="1" applyFill="1" applyBorder="1" applyAlignment="1">
      <alignment horizontal="left"/>
    </xf>
    <xf numFmtId="0" fontId="7" fillId="0" borderId="0" xfId="15" applyFont="1" applyFill="1" applyBorder="1" applyAlignment="1"/>
    <xf numFmtId="0" fontId="15" fillId="0" borderId="0" xfId="15" applyFont="1" applyFill="1" applyBorder="1" applyAlignment="1"/>
    <xf numFmtId="0" fontId="8" fillId="0" borderId="0" xfId="15" applyFont="1" applyFill="1" applyBorder="1"/>
    <xf numFmtId="0" fontId="13" fillId="0" borderId="0" xfId="15" applyFont="1" applyFill="1"/>
    <xf numFmtId="0" fontId="7" fillId="0" borderId="4" xfId="15" applyFont="1" applyFill="1" applyBorder="1" applyAlignment="1">
      <alignment horizontal="left"/>
    </xf>
    <xf numFmtId="0" fontId="7" fillId="0" borderId="26" xfId="15" applyFont="1" applyFill="1" applyBorder="1" applyAlignment="1">
      <alignment horizontal="right"/>
    </xf>
    <xf numFmtId="0" fontId="7" fillId="0" borderId="27" xfId="15" applyFont="1" applyFill="1" applyBorder="1" applyAlignment="1">
      <alignment horizontal="right"/>
    </xf>
    <xf numFmtId="0" fontId="7" fillId="0" borderId="0" xfId="15" applyFont="1" applyFill="1" applyBorder="1" applyAlignment="1">
      <alignment horizontal="right"/>
    </xf>
    <xf numFmtId="0" fontId="8" fillId="0" borderId="18" xfId="15" applyFont="1" applyFill="1" applyBorder="1" applyAlignment="1">
      <alignment horizontal="left"/>
    </xf>
    <xf numFmtId="194" fontId="8" fillId="0" borderId="0" xfId="15" applyNumberFormat="1" applyFont="1" applyFill="1" applyBorder="1" applyAlignment="1">
      <alignment horizontal="right"/>
    </xf>
    <xf numFmtId="194" fontId="8" fillId="0" borderId="19" xfId="15" applyNumberFormat="1" applyFont="1" applyFill="1" applyBorder="1" applyAlignment="1">
      <alignment horizontal="right"/>
    </xf>
    <xf numFmtId="0" fontId="34" fillId="0" borderId="0" xfId="15" applyFont="1" applyFill="1"/>
    <xf numFmtId="0" fontId="12" fillId="0" borderId="0" xfId="15" applyFont="1" applyFill="1"/>
    <xf numFmtId="0" fontId="7" fillId="0" borderId="18" xfId="15" applyFont="1" applyFill="1" applyBorder="1" applyAlignment="1">
      <alignment horizontal="left"/>
    </xf>
    <xf numFmtId="194" fontId="7" fillId="0" borderId="0" xfId="15" applyNumberFormat="1" applyFont="1" applyFill="1" applyBorder="1" applyAlignment="1">
      <alignment horizontal="right"/>
    </xf>
    <xf numFmtId="194" fontId="7" fillId="0" borderId="19" xfId="15" applyNumberFormat="1" applyFont="1" applyFill="1" applyBorder="1" applyAlignment="1">
      <alignment horizontal="right"/>
    </xf>
    <xf numFmtId="0" fontId="12" fillId="0" borderId="0" xfId="15" applyFont="1" applyFill="1" applyBorder="1"/>
    <xf numFmtId="0" fontId="8" fillId="0" borderId="5" xfId="15" applyFont="1" applyFill="1" applyBorder="1" applyAlignment="1">
      <alignment horizontal="left"/>
    </xf>
    <xf numFmtId="0" fontId="8" fillId="0" borderId="6" xfId="1" applyNumberFormat="1" applyFont="1" applyFill="1" applyBorder="1" applyAlignment="1">
      <alignment horizontal="right"/>
    </xf>
    <xf numFmtId="0" fontId="8" fillId="0" borderId="6" xfId="15" applyNumberFormat="1" applyFont="1" applyFill="1" applyBorder="1" applyAlignment="1">
      <alignment horizontal="right"/>
    </xf>
    <xf numFmtId="164" fontId="8" fillId="0" borderId="6" xfId="1" applyNumberFormat="1" applyFont="1" applyFill="1" applyBorder="1" applyAlignment="1">
      <alignment horizontal="right"/>
    </xf>
    <xf numFmtId="0" fontId="8" fillId="0" borderId="20" xfId="1" applyNumberFormat="1" applyFont="1" applyFill="1" applyBorder="1" applyAlignment="1">
      <alignment horizontal="right"/>
    </xf>
    <xf numFmtId="0" fontId="8" fillId="0" borderId="0" xfId="1" applyNumberFormat="1" applyFont="1" applyFill="1" applyBorder="1" applyAlignment="1">
      <alignment horizontal="right"/>
    </xf>
    <xf numFmtId="0" fontId="8" fillId="0" borderId="0" xfId="15" applyFont="1" applyFill="1" applyBorder="1" applyAlignment="1">
      <alignment horizontal="left"/>
    </xf>
    <xf numFmtId="0" fontId="12" fillId="0" borderId="0" xfId="15" applyFont="1" applyFill="1" applyBorder="1" applyAlignment="1">
      <alignment horizontal="left"/>
    </xf>
    <xf numFmtId="0" fontId="7" fillId="0" borderId="4" xfId="15" applyFont="1" applyFill="1" applyBorder="1"/>
    <xf numFmtId="0" fontId="7" fillId="0" borderId="55" xfId="15" applyFont="1" applyFill="1" applyBorder="1" applyAlignment="1">
      <alignment horizontal="right"/>
    </xf>
    <xf numFmtId="0" fontId="7" fillId="0" borderId="55" xfId="15" quotePrefix="1" applyFont="1" applyFill="1" applyBorder="1" applyAlignment="1">
      <alignment horizontal="right"/>
    </xf>
    <xf numFmtId="0" fontId="7" fillId="0" borderId="57" xfId="15" quotePrefix="1" applyFont="1" applyFill="1" applyBorder="1" applyAlignment="1">
      <alignment horizontal="right"/>
    </xf>
    <xf numFmtId="0" fontId="8" fillId="0" borderId="18" xfId="15" applyFont="1" applyFill="1" applyBorder="1"/>
    <xf numFmtId="187" fontId="8" fillId="0" borderId="58" xfId="19" applyNumberFormat="1" applyFont="1" applyFill="1" applyBorder="1" applyAlignment="1">
      <alignment horizontal="right"/>
    </xf>
    <xf numFmtId="187" fontId="8" fillId="0" borderId="58" xfId="19" applyNumberFormat="1" applyFont="1" applyFill="1" applyBorder="1"/>
    <xf numFmtId="187" fontId="8" fillId="0" borderId="60" xfId="19" applyNumberFormat="1" applyFont="1" applyFill="1" applyBorder="1"/>
    <xf numFmtId="187" fontId="8" fillId="0" borderId="91" xfId="19" applyNumberFormat="1" applyFont="1" applyFill="1" applyBorder="1"/>
    <xf numFmtId="0" fontId="8" fillId="0" borderId="33" xfId="15" applyFont="1" applyFill="1" applyBorder="1"/>
    <xf numFmtId="172" fontId="8" fillId="0" borderId="84" xfId="14" applyNumberFormat="1" applyFont="1" applyFill="1" applyBorder="1" applyAlignment="1" applyProtection="1">
      <alignment horizontal="right"/>
    </xf>
    <xf numFmtId="3" fontId="8" fillId="0" borderId="84" xfId="14" applyNumberFormat="1" applyFont="1" applyFill="1" applyBorder="1" applyAlignment="1" applyProtection="1">
      <alignment horizontal="right"/>
    </xf>
    <xf numFmtId="3" fontId="8" fillId="0" borderId="58" xfId="15" applyNumberFormat="1" applyFont="1" applyFill="1" applyBorder="1"/>
    <xf numFmtId="3" fontId="8" fillId="0" borderId="85" xfId="15" applyNumberFormat="1" applyFont="1" applyFill="1" applyBorder="1"/>
    <xf numFmtId="187" fontId="8" fillId="0" borderId="85" xfId="19" applyNumberFormat="1" applyFont="1" applyFill="1" applyBorder="1"/>
    <xf numFmtId="187" fontId="8" fillId="0" borderId="84" xfId="19" applyNumberFormat="1" applyFont="1" applyFill="1" applyBorder="1"/>
    <xf numFmtId="0" fontId="7" fillId="0" borderId="33" xfId="15" applyFont="1" applyFill="1" applyBorder="1"/>
    <xf numFmtId="3" fontId="8" fillId="0" borderId="78" xfId="14" applyNumberFormat="1" applyFont="1" applyFill="1" applyBorder="1" applyAlignment="1" applyProtection="1">
      <alignment horizontal="right"/>
    </xf>
    <xf numFmtId="3" fontId="8" fillId="0" borderId="79" xfId="14" applyNumberFormat="1" applyFont="1" applyFill="1" applyBorder="1" applyAlignment="1" applyProtection="1">
      <alignment horizontal="right"/>
    </xf>
    <xf numFmtId="187" fontId="8" fillId="0" borderId="79" xfId="19" applyNumberFormat="1" applyFont="1" applyFill="1" applyBorder="1"/>
    <xf numFmtId="187" fontId="8" fillId="0" borderId="92" xfId="19" applyNumberFormat="1" applyFont="1" applyFill="1" applyBorder="1"/>
    <xf numFmtId="0" fontId="8" fillId="0" borderId="37" xfId="15" applyFont="1" applyFill="1" applyBorder="1" applyAlignment="1">
      <alignment wrapText="1"/>
    </xf>
    <xf numFmtId="169" fontId="8" fillId="0" borderId="60" xfId="15" applyNumberFormat="1" applyFont="1" applyFill="1" applyBorder="1"/>
    <xf numFmtId="164" fontId="8" fillId="0" borderId="60" xfId="15" applyNumberFormat="1" applyFont="1" applyFill="1" applyBorder="1"/>
    <xf numFmtId="0" fontId="7" fillId="0" borderId="1" xfId="15" applyFont="1" applyFill="1" applyBorder="1"/>
    <xf numFmtId="3" fontId="7" fillId="0" borderId="55" xfId="15" applyNumberFormat="1" applyFont="1" applyFill="1" applyBorder="1" applyAlignment="1">
      <alignment horizontal="right"/>
    </xf>
    <xf numFmtId="3" fontId="7" fillId="0" borderId="57" xfId="15" applyNumberFormat="1" applyFont="1" applyFill="1" applyBorder="1" applyAlignment="1">
      <alignment horizontal="right"/>
    </xf>
    <xf numFmtId="0" fontId="7" fillId="0" borderId="0" xfId="15" applyFont="1" applyFill="1" applyBorder="1"/>
    <xf numFmtId="3" fontId="7" fillId="0" borderId="0" xfId="15" applyNumberFormat="1" applyFont="1" applyFill="1" applyBorder="1" applyAlignment="1">
      <alignment horizontal="right"/>
    </xf>
    <xf numFmtId="0" fontId="8" fillId="0" borderId="0" xfId="15" applyFont="1" applyFill="1" applyBorder="1" applyAlignment="1">
      <alignment horizontal="left" wrapText="1"/>
    </xf>
    <xf numFmtId="0" fontId="7" fillId="0" borderId="5" xfId="15" applyFont="1" applyFill="1" applyBorder="1" applyAlignment="1">
      <alignment horizontal="left"/>
    </xf>
    <xf numFmtId="0" fontId="7" fillId="0" borderId="6" xfId="15" applyFont="1" applyFill="1" applyBorder="1" applyAlignment="1"/>
    <xf numFmtId="0" fontId="15" fillId="0" borderId="6" xfId="15" applyFont="1" applyFill="1" applyBorder="1" applyAlignment="1"/>
    <xf numFmtId="0" fontId="0" fillId="0" borderId="0" xfId="0" applyFill="1"/>
    <xf numFmtId="0" fontId="12" fillId="0" borderId="0" xfId="15" applyFont="1" applyFill="1" applyAlignment="1">
      <alignment horizontal="left"/>
    </xf>
    <xf numFmtId="0" fontId="85" fillId="0" borderId="0" xfId="15" applyFont="1" applyFill="1"/>
    <xf numFmtId="0" fontId="7" fillId="0" borderId="57" xfId="15" applyFont="1" applyFill="1" applyBorder="1" applyAlignment="1">
      <alignment horizontal="right"/>
    </xf>
    <xf numFmtId="0" fontId="8" fillId="0" borderId="18" xfId="15" applyFont="1" applyFill="1" applyBorder="1" applyAlignment="1"/>
    <xf numFmtId="0" fontId="8" fillId="0" borderId="0" xfId="15" applyFont="1" applyFill="1" applyBorder="1" applyAlignment="1"/>
    <xf numFmtId="0" fontId="8" fillId="0" borderId="0" xfId="15" applyFont="1" applyFill="1" applyBorder="1" applyAlignment="1">
      <alignment horizontal="right"/>
    </xf>
    <xf numFmtId="0" fontId="8" fillId="0" borderId="58" xfId="15" applyFont="1" applyFill="1" applyBorder="1" applyAlignment="1">
      <alignment horizontal="right"/>
    </xf>
    <xf numFmtId="3" fontId="8" fillId="0" borderId="58" xfId="15" applyNumberFormat="1" applyFont="1" applyFill="1" applyBorder="1" applyAlignment="1">
      <alignment horizontal="right"/>
    </xf>
    <xf numFmtId="3" fontId="8" fillId="0" borderId="60" xfId="15" applyNumberFormat="1" applyFont="1" applyFill="1" applyBorder="1" applyAlignment="1">
      <alignment horizontal="right"/>
    </xf>
    <xf numFmtId="0" fontId="8" fillId="0" borderId="25" xfId="15" applyFont="1" applyFill="1" applyBorder="1" applyAlignment="1">
      <alignment wrapText="1"/>
    </xf>
    <xf numFmtId="1" fontId="8" fillId="0" borderId="89" xfId="15" applyNumberFormat="1" applyFont="1" applyFill="1" applyBorder="1" applyAlignment="1">
      <alignment horizontal="right"/>
    </xf>
    <xf numFmtId="1" fontId="8" fillId="0" borderId="93" xfId="15" applyNumberFormat="1" applyFont="1" applyFill="1" applyBorder="1" applyAlignment="1">
      <alignment horizontal="right"/>
    </xf>
    <xf numFmtId="1" fontId="8" fillId="0" borderId="0" xfId="15" applyNumberFormat="1" applyFont="1" applyFill="1" applyBorder="1" applyAlignment="1">
      <alignment horizontal="right"/>
    </xf>
    <xf numFmtId="1" fontId="8" fillId="0" borderId="58" xfId="15" applyNumberFormat="1" applyFont="1" applyFill="1" applyBorder="1" applyAlignment="1">
      <alignment horizontal="right"/>
    </xf>
    <xf numFmtId="1" fontId="8" fillId="0" borderId="60" xfId="15" applyNumberFormat="1" applyFont="1" applyFill="1" applyBorder="1" applyAlignment="1">
      <alignment horizontal="right"/>
    </xf>
    <xf numFmtId="1" fontId="8" fillId="0" borderId="23" xfId="15" applyNumberFormat="1" applyFont="1" applyFill="1" applyBorder="1" applyAlignment="1">
      <alignment horizontal="right"/>
    </xf>
    <xf numFmtId="1" fontId="8" fillId="0" borderId="84" xfId="15" applyNumberFormat="1" applyFont="1" applyFill="1" applyBorder="1" applyAlignment="1">
      <alignment horizontal="right"/>
    </xf>
    <xf numFmtId="1" fontId="8" fillId="0" borderId="85" xfId="15" applyNumberFormat="1" applyFont="1" applyFill="1" applyBorder="1" applyAlignment="1">
      <alignment horizontal="right"/>
    </xf>
    <xf numFmtId="0" fontId="7" fillId="0" borderId="39" xfId="15" applyFont="1" applyFill="1" applyBorder="1" applyAlignment="1">
      <alignment horizontal="left"/>
    </xf>
    <xf numFmtId="1" fontId="7" fillId="0" borderId="42" xfId="15" applyNumberFormat="1" applyFont="1" applyFill="1" applyBorder="1" applyAlignment="1">
      <alignment horizontal="right"/>
    </xf>
    <xf numFmtId="1" fontId="7" fillId="0" borderId="81" xfId="15" applyNumberFormat="1" applyFont="1" applyFill="1" applyBorder="1" applyAlignment="1">
      <alignment horizontal="right"/>
    </xf>
    <xf numFmtId="1" fontId="7" fillId="0" borderId="94" xfId="15" applyNumberFormat="1" applyFont="1" applyFill="1" applyBorder="1" applyAlignment="1">
      <alignment horizontal="right"/>
    </xf>
    <xf numFmtId="3" fontId="7" fillId="0" borderId="94" xfId="15" applyNumberFormat="1" applyFont="1" applyFill="1" applyBorder="1" applyAlignment="1">
      <alignment horizontal="right"/>
    </xf>
    <xf numFmtId="169" fontId="8" fillId="0" borderId="0" xfId="17" applyNumberFormat="1" applyFont="1" applyFill="1" applyBorder="1" applyAlignment="1">
      <alignment horizontal="right"/>
    </xf>
    <xf numFmtId="169" fontId="8" fillId="0" borderId="84" xfId="17" applyNumberFormat="1" applyFont="1" applyFill="1" applyBorder="1" applyAlignment="1">
      <alignment horizontal="right"/>
    </xf>
    <xf numFmtId="169" fontId="8" fillId="0" borderId="85" xfId="17" applyNumberFormat="1" applyFont="1" applyFill="1" applyBorder="1" applyAlignment="1">
      <alignment horizontal="right"/>
    </xf>
    <xf numFmtId="169" fontId="7" fillId="0" borderId="0" xfId="17" applyNumberFormat="1" applyFont="1" applyFill="1" applyBorder="1" applyAlignment="1">
      <alignment horizontal="left"/>
    </xf>
    <xf numFmtId="169" fontId="7" fillId="0" borderId="0" xfId="17" applyNumberFormat="1" applyFont="1" applyFill="1" applyBorder="1" applyAlignment="1">
      <alignment horizontal="right"/>
    </xf>
    <xf numFmtId="169" fontId="86" fillId="0" borderId="0" xfId="17" applyNumberFormat="1" applyFont="1" applyFill="1" applyBorder="1" applyAlignment="1">
      <alignment horizontal="right"/>
    </xf>
    <xf numFmtId="0" fontId="8" fillId="0" borderId="91" xfId="15" applyFont="1" applyFill="1" applyBorder="1" applyAlignment="1">
      <alignment horizontal="left"/>
    </xf>
    <xf numFmtId="0" fontId="8" fillId="0" borderId="95" xfId="15" applyFont="1" applyFill="1" applyBorder="1" applyAlignment="1">
      <alignment horizontal="left"/>
    </xf>
    <xf numFmtId="0" fontId="7" fillId="0" borderId="23" xfId="17" applyNumberFormat="1" applyFont="1" applyFill="1" applyBorder="1" applyAlignment="1">
      <alignment horizontal="right"/>
    </xf>
    <xf numFmtId="0" fontId="7" fillId="0" borderId="41" xfId="17" applyNumberFormat="1" applyFont="1" applyFill="1" applyBorder="1" applyAlignment="1">
      <alignment horizontal="right"/>
    </xf>
    <xf numFmtId="0" fontId="7" fillId="0" borderId="22" xfId="17" applyNumberFormat="1" applyFont="1" applyFill="1" applyBorder="1" applyAlignment="1">
      <alignment horizontal="right"/>
    </xf>
    <xf numFmtId="0" fontId="7" fillId="0" borderId="95" xfId="15" applyFont="1" applyFill="1" applyBorder="1" applyAlignment="1">
      <alignment horizontal="left"/>
    </xf>
    <xf numFmtId="0" fontId="8" fillId="0" borderId="0" xfId="17" applyNumberFormat="1" applyFont="1" applyFill="1" applyBorder="1" applyAlignment="1">
      <alignment horizontal="right"/>
    </xf>
    <xf numFmtId="0" fontId="8" fillId="0" borderId="19" xfId="17" applyNumberFormat="1" applyFont="1" applyFill="1" applyBorder="1" applyAlignment="1">
      <alignment horizontal="right"/>
    </xf>
    <xf numFmtId="0" fontId="8" fillId="0" borderId="21" xfId="17" applyNumberFormat="1" applyFont="1" applyFill="1" applyBorder="1" applyAlignment="1">
      <alignment horizontal="right"/>
    </xf>
    <xf numFmtId="0" fontId="7" fillId="0" borderId="30" xfId="15" applyFont="1" applyFill="1" applyBorder="1" applyAlignment="1">
      <alignment horizontal="left"/>
    </xf>
    <xf numFmtId="0" fontId="8" fillId="0" borderId="6" xfId="17" applyNumberFormat="1" applyFont="1" applyFill="1" applyBorder="1" applyAlignment="1">
      <alignment horizontal="right"/>
    </xf>
    <xf numFmtId="0" fontId="8" fillId="0" borderId="20" xfId="17" applyNumberFormat="1" applyFont="1" applyFill="1" applyBorder="1" applyAlignment="1">
      <alignment horizontal="right"/>
    </xf>
    <xf numFmtId="0" fontId="8" fillId="0" borderId="62" xfId="17" applyNumberFormat="1" applyFont="1" applyFill="1" applyBorder="1" applyAlignment="1">
      <alignment horizontal="right"/>
    </xf>
    <xf numFmtId="0" fontId="8" fillId="0" borderId="5" xfId="17" applyNumberFormat="1" applyFont="1" applyFill="1" applyBorder="1" applyAlignment="1">
      <alignment horizontal="right"/>
    </xf>
    <xf numFmtId="0" fontId="5" fillId="0" borderId="0" xfId="15" applyFont="1" applyFill="1" applyAlignment="1">
      <alignment vertical="top" wrapText="1"/>
    </xf>
    <xf numFmtId="0" fontId="5" fillId="0" borderId="0" xfId="15" applyFont="1" applyFill="1" applyAlignment="1">
      <alignment vertical="top"/>
    </xf>
    <xf numFmtId="0" fontId="5" fillId="0" borderId="0" xfId="15" applyFont="1" applyFill="1" applyAlignment="1"/>
    <xf numFmtId="0" fontId="32" fillId="0" borderId="0" xfId="15" applyFont="1" applyFill="1" applyBorder="1"/>
    <xf numFmtId="0" fontId="32" fillId="0" borderId="0" xfId="17" applyNumberFormat="1" applyFont="1" applyFill="1" applyBorder="1"/>
    <xf numFmtId="166" fontId="12" fillId="0" borderId="0" xfId="15" applyNumberFormat="1" applyFont="1" applyFill="1" applyBorder="1"/>
    <xf numFmtId="0" fontId="12" fillId="0" borderId="0" xfId="15" applyFont="1" applyFill="1" applyBorder="1" applyAlignment="1">
      <alignment wrapText="1"/>
    </xf>
    <xf numFmtId="184" fontId="12" fillId="0" borderId="0" xfId="15" applyNumberFormat="1" applyFont="1" applyFill="1" applyBorder="1"/>
    <xf numFmtId="2" fontId="12" fillId="0" borderId="0" xfId="17" applyNumberFormat="1" applyFont="1" applyFill="1" applyBorder="1"/>
    <xf numFmtId="0" fontId="79" fillId="0" borderId="76" xfId="2" applyFont="1" applyFill="1" applyBorder="1" applyAlignment="1" applyProtection="1">
      <alignment horizontal="right"/>
    </xf>
    <xf numFmtId="2" fontId="41" fillId="0" borderId="93" xfId="2" applyNumberFormat="1" applyFont="1" applyFill="1" applyBorder="1" applyAlignment="1" applyProtection="1">
      <alignment horizontal="right"/>
    </xf>
    <xf numFmtId="0" fontId="23" fillId="0" borderId="60" xfId="0" applyFont="1" applyBorder="1" applyAlignment="1">
      <alignment horizontal="right"/>
    </xf>
    <xf numFmtId="0" fontId="23" fillId="0" borderId="63" xfId="0" applyFont="1" applyBorder="1" applyAlignment="1">
      <alignment horizontal="right"/>
    </xf>
    <xf numFmtId="0" fontId="5" fillId="0" borderId="0" xfId="2" applyFont="1" applyFill="1" applyBorder="1" applyAlignment="1">
      <alignment horizontal="center" vertical="top"/>
    </xf>
    <xf numFmtId="0" fontId="6" fillId="0" borderId="0" xfId="2" applyFont="1" applyFill="1"/>
    <xf numFmtId="0" fontId="6" fillId="0" borderId="0" xfId="2" applyFont="1" applyFill="1" applyBorder="1"/>
    <xf numFmtId="0" fontId="4" fillId="0" borderId="0" xfId="2" applyFont="1" applyFill="1" applyBorder="1" applyAlignment="1"/>
    <xf numFmtId="0" fontId="5" fillId="0" borderId="0" xfId="2" applyFont="1" applyFill="1" applyBorder="1" applyAlignment="1">
      <alignment horizontal="center" vertical="top" wrapText="1"/>
    </xf>
    <xf numFmtId="0" fontId="6" fillId="0" borderId="0" xfId="2" applyFont="1" applyFill="1" applyAlignment="1">
      <alignment vertical="top"/>
    </xf>
    <xf numFmtId="0" fontId="8" fillId="0" borderId="0" xfId="2" applyFont="1" applyFill="1" applyBorder="1" applyAlignment="1">
      <alignment horizontal="center" vertical="top" wrapText="1"/>
    </xf>
    <xf numFmtId="0" fontId="7" fillId="0" borderId="6" xfId="2" applyFont="1" applyFill="1" applyBorder="1" applyAlignment="1"/>
    <xf numFmtId="0" fontId="7" fillId="0" borderId="6" xfId="2" applyFont="1" applyFill="1" applyBorder="1" applyAlignment="1">
      <alignment wrapText="1"/>
    </xf>
    <xf numFmtId="0" fontId="7" fillId="0" borderId="0" xfId="2" applyFont="1" applyFill="1" applyBorder="1" applyAlignment="1">
      <alignment wrapText="1"/>
    </xf>
    <xf numFmtId="0" fontId="8" fillId="0" borderId="6" xfId="2" applyFont="1" applyFill="1" applyBorder="1" applyAlignment="1"/>
    <xf numFmtId="0" fontId="7" fillId="0" borderId="4" xfId="2" applyFont="1" applyFill="1" applyBorder="1" applyAlignment="1">
      <alignment wrapText="1"/>
    </xf>
    <xf numFmtId="0" fontId="7" fillId="0" borderId="56" xfId="2" applyFont="1" applyFill="1" applyBorder="1" applyAlignment="1">
      <alignment horizontal="right" wrapText="1"/>
    </xf>
    <xf numFmtId="0" fontId="7" fillId="0" borderId="2" xfId="2" applyFont="1" applyFill="1" applyBorder="1" applyAlignment="1">
      <alignment horizontal="right" wrapText="1"/>
    </xf>
    <xf numFmtId="0" fontId="7" fillId="0" borderId="55" xfId="2" applyFont="1" applyFill="1" applyBorder="1" applyAlignment="1">
      <alignment horizontal="right" wrapText="1"/>
    </xf>
    <xf numFmtId="0" fontId="7" fillId="0" borderId="55" xfId="2" quotePrefix="1" applyNumberFormat="1" applyFont="1" applyFill="1" applyBorder="1" applyAlignment="1">
      <alignment horizontal="right" wrapText="1"/>
    </xf>
    <xf numFmtId="0" fontId="14" fillId="0" borderId="55" xfId="0" quotePrefix="1" applyFont="1" applyFill="1" applyBorder="1"/>
    <xf numFmtId="0" fontId="14" fillId="0" borderId="3" xfId="0" quotePrefix="1" applyFont="1" applyFill="1" applyBorder="1"/>
    <xf numFmtId="0" fontId="87" fillId="0" borderId="0" xfId="2" applyFont="1" applyFill="1" applyBorder="1" applyAlignment="1">
      <alignment horizontal="right" vertical="top"/>
    </xf>
    <xf numFmtId="0" fontId="88" fillId="0" borderId="0" xfId="2" applyFont="1" applyFill="1" applyBorder="1" applyAlignment="1">
      <alignment horizontal="right"/>
    </xf>
    <xf numFmtId="0" fontId="8" fillId="0" borderId="18" xfId="2" applyFont="1" applyFill="1" applyBorder="1" applyAlignment="1">
      <alignment horizontal="left" wrapText="1"/>
    </xf>
    <xf numFmtId="184" fontId="28" fillId="0" borderId="0" xfId="2" applyNumberFormat="1" applyFont="1" applyFill="1" applyBorder="1" applyAlignment="1">
      <alignment horizontal="right"/>
    </xf>
    <xf numFmtId="3" fontId="11" fillId="2" borderId="58" xfId="0" applyNumberFormat="1" applyFont="1" applyFill="1" applyBorder="1"/>
    <xf numFmtId="3" fontId="11" fillId="2" borderId="59" xfId="0" applyNumberFormat="1" applyFont="1" applyFill="1" applyBorder="1"/>
    <xf numFmtId="3" fontId="11" fillId="0" borderId="59" xfId="0" applyNumberFormat="1" applyFont="1" applyFill="1" applyBorder="1"/>
    <xf numFmtId="3" fontId="11" fillId="0" borderId="27" xfId="0" applyNumberFormat="1" applyFont="1" applyFill="1" applyBorder="1"/>
    <xf numFmtId="0" fontId="31" fillId="0" borderId="0" xfId="2" applyFont="1" applyFill="1" applyBorder="1" applyAlignment="1">
      <alignment horizontal="center" vertical="center" wrapText="1"/>
    </xf>
    <xf numFmtId="0" fontId="13" fillId="0" borderId="0" xfId="2" applyFont="1" applyFill="1" applyBorder="1" applyAlignment="1">
      <alignment horizontal="right" vertical="top"/>
    </xf>
    <xf numFmtId="184" fontId="8" fillId="0" borderId="21" xfId="2" applyNumberFormat="1" applyFont="1" applyFill="1" applyBorder="1" applyAlignment="1">
      <alignment wrapText="1"/>
    </xf>
    <xf numFmtId="184" fontId="28" fillId="0" borderId="0" xfId="2" applyNumberFormat="1" applyFont="1" applyFill="1" applyBorder="1" applyAlignment="1"/>
    <xf numFmtId="3" fontId="11" fillId="2" borderId="19" xfId="0" applyNumberFormat="1" applyFont="1" applyFill="1" applyBorder="1"/>
    <xf numFmtId="0" fontId="31" fillId="0" borderId="0" xfId="2" applyFont="1" applyFill="1" applyBorder="1" applyAlignment="1">
      <alignment horizontal="right" vertical="top"/>
    </xf>
    <xf numFmtId="0" fontId="8" fillId="0" borderId="33" xfId="2" applyFont="1" applyFill="1" applyBorder="1" applyAlignment="1">
      <alignment horizontal="left" wrapText="1"/>
    </xf>
    <xf numFmtId="184" fontId="8" fillId="0" borderId="22" xfId="2" applyNumberFormat="1" applyFont="1" applyFill="1" applyBorder="1" applyAlignment="1">
      <alignment wrapText="1"/>
    </xf>
    <xf numFmtId="184" fontId="8" fillId="0" borderId="23" xfId="2" applyNumberFormat="1" applyFont="1" applyFill="1" applyBorder="1" applyAlignment="1">
      <alignment wrapText="1"/>
    </xf>
    <xf numFmtId="169" fontId="52" fillId="0" borderId="23" xfId="17" applyNumberFormat="1" applyFont="1" applyFill="1" applyBorder="1" applyAlignment="1">
      <alignment wrapText="1"/>
    </xf>
    <xf numFmtId="169" fontId="89" fillId="0" borderId="23" xfId="17" applyNumberFormat="1" applyFont="1" applyFill="1" applyBorder="1" applyAlignment="1">
      <alignment wrapText="1"/>
    </xf>
    <xf numFmtId="164" fontId="11" fillId="2" borderId="84" xfId="0" applyNumberFormat="1" applyFont="1" applyFill="1" applyBorder="1"/>
    <xf numFmtId="164" fontId="11" fillId="0" borderId="84" xfId="0" applyNumberFormat="1" applyFont="1" applyFill="1" applyBorder="1"/>
    <xf numFmtId="164" fontId="11" fillId="0" borderId="41" xfId="0" applyNumberFormat="1" applyFont="1" applyFill="1" applyBorder="1"/>
    <xf numFmtId="0" fontId="8" fillId="0" borderId="21" xfId="2" applyFont="1" applyFill="1" applyBorder="1" applyAlignment="1">
      <alignment wrapText="1"/>
    </xf>
    <xf numFmtId="0" fontId="8" fillId="0" borderId="0" xfId="2" applyFont="1" applyFill="1" applyBorder="1" applyAlignment="1">
      <alignment wrapText="1"/>
    </xf>
    <xf numFmtId="169" fontId="52" fillId="0" borderId="0" xfId="17" applyNumberFormat="1" applyFont="1" applyFill="1" applyBorder="1" applyAlignment="1">
      <alignment wrapText="1"/>
    </xf>
    <xf numFmtId="0" fontId="11" fillId="2" borderId="58" xfId="0" applyFont="1" applyFill="1" applyBorder="1"/>
    <xf numFmtId="0" fontId="11" fillId="0" borderId="58" xfId="0" applyFont="1" applyFill="1" applyBorder="1"/>
    <xf numFmtId="0" fontId="11" fillId="0" borderId="19" xfId="0" applyFont="1" applyFill="1" applyBorder="1"/>
    <xf numFmtId="0" fontId="8" fillId="0" borderId="18" xfId="2" applyFont="1" applyFill="1" applyBorder="1" applyAlignment="1">
      <alignment horizontal="right" wrapText="1"/>
    </xf>
    <xf numFmtId="164" fontId="11" fillId="2" borderId="58" xfId="0" applyNumberFormat="1" applyFont="1" applyFill="1" applyBorder="1"/>
    <xf numFmtId="164" fontId="11" fillId="0" borderId="58" xfId="0" applyNumberFormat="1" applyFont="1" applyFill="1" applyBorder="1"/>
    <xf numFmtId="0" fontId="0" fillId="0" borderId="21" xfId="2" applyFont="1" applyFill="1" applyBorder="1" applyAlignment="1"/>
    <xf numFmtId="195" fontId="8" fillId="0" borderId="0" xfId="2" applyNumberFormat="1" applyFont="1" applyFill="1" applyBorder="1"/>
    <xf numFmtId="184" fontId="8" fillId="0" borderId="21" xfId="2" applyNumberFormat="1" applyFont="1" applyFill="1" applyBorder="1" applyAlignment="1">
      <alignment horizontal="right" wrapText="1"/>
    </xf>
    <xf numFmtId="0" fontId="8" fillId="0" borderId="33" xfId="2" applyFont="1" applyFill="1" applyBorder="1" applyAlignment="1">
      <alignment horizontal="right" wrapText="1"/>
    </xf>
    <xf numFmtId="184" fontId="8" fillId="0" borderId="22" xfId="2" applyNumberFormat="1" applyFont="1" applyFill="1" applyBorder="1" applyAlignment="1">
      <alignment horizontal="right"/>
    </xf>
    <xf numFmtId="184" fontId="8" fillId="0" borderId="23" xfId="2" applyNumberFormat="1" applyFont="1" applyFill="1" applyBorder="1" applyAlignment="1">
      <alignment horizontal="right"/>
    </xf>
    <xf numFmtId="0" fontId="8" fillId="0" borderId="46" xfId="2" applyFont="1" applyFill="1" applyBorder="1" applyAlignment="1">
      <alignment wrapText="1"/>
    </xf>
    <xf numFmtId="0" fontId="0" fillId="0" borderId="96" xfId="2" applyFont="1" applyFill="1" applyBorder="1" applyAlignment="1"/>
    <xf numFmtId="195" fontId="8" fillId="0" borderId="0" xfId="2" applyNumberFormat="1" applyFont="1" applyFill="1"/>
    <xf numFmtId="3" fontId="45" fillId="2" borderId="58" xfId="0" applyNumberFormat="1" applyFont="1" applyFill="1" applyBorder="1" applyAlignment="1">
      <alignment horizontal="right"/>
    </xf>
    <xf numFmtId="3" fontId="45" fillId="0" borderId="58" xfId="0" applyNumberFormat="1" applyFont="1" applyFill="1" applyBorder="1" applyAlignment="1">
      <alignment horizontal="right"/>
    </xf>
    <xf numFmtId="3" fontId="45" fillId="0" borderId="19" xfId="0" applyNumberFormat="1" applyFont="1" applyFill="1" applyBorder="1" applyAlignment="1">
      <alignment horizontal="right"/>
    </xf>
    <xf numFmtId="0" fontId="8" fillId="0" borderId="18" xfId="2" applyFont="1" applyFill="1" applyBorder="1" applyAlignment="1">
      <alignment horizontal="left" vertical="top" wrapText="1"/>
    </xf>
    <xf numFmtId="169" fontId="52" fillId="0" borderId="0" xfId="17" applyNumberFormat="1" applyFont="1" applyFill="1" applyBorder="1" applyAlignment="1">
      <alignment horizontal="right"/>
    </xf>
    <xf numFmtId="184" fontId="52" fillId="0" borderId="0" xfId="2" applyNumberFormat="1" applyFont="1" applyFill="1" applyBorder="1" applyAlignment="1">
      <alignment horizontal="right"/>
    </xf>
    <xf numFmtId="169" fontId="89" fillId="0" borderId="0" xfId="17" applyNumberFormat="1" applyFont="1" applyFill="1" applyBorder="1" applyAlignment="1">
      <alignment horizontal="right"/>
    </xf>
    <xf numFmtId="0" fontId="8" fillId="0" borderId="18" xfId="2" applyFont="1" applyFill="1" applyBorder="1" applyAlignment="1">
      <alignment vertical="top" wrapText="1"/>
    </xf>
    <xf numFmtId="0" fontId="0" fillId="0" borderId="21" xfId="2" applyFont="1" applyFill="1" applyBorder="1" applyAlignment="1">
      <alignment wrapText="1"/>
    </xf>
    <xf numFmtId="0" fontId="0" fillId="0" borderId="5" xfId="2" applyFont="1" applyFill="1" applyBorder="1" applyAlignment="1">
      <alignment wrapText="1"/>
    </xf>
    <xf numFmtId="0" fontId="0" fillId="0" borderId="62" xfId="2" applyFont="1" applyFill="1" applyBorder="1" applyAlignment="1">
      <alignment wrapText="1"/>
    </xf>
    <xf numFmtId="184" fontId="8" fillId="0" borderId="6" xfId="2" applyNumberFormat="1" applyFont="1" applyFill="1" applyBorder="1" applyAlignment="1">
      <alignment horizontal="right"/>
    </xf>
    <xf numFmtId="169" fontId="52" fillId="0" borderId="6" xfId="17" applyNumberFormat="1" applyFont="1" applyFill="1" applyBorder="1" applyAlignment="1">
      <alignment horizontal="right"/>
    </xf>
    <xf numFmtId="169" fontId="89" fillId="0" borderId="6" xfId="17" applyNumberFormat="1" applyFont="1" applyFill="1" applyBorder="1" applyAlignment="1">
      <alignment horizontal="right"/>
    </xf>
    <xf numFmtId="164" fontId="45" fillId="2" borderId="61" xfId="0" applyNumberFormat="1" applyFont="1" applyFill="1" applyBorder="1" applyAlignment="1">
      <alignment horizontal="right"/>
    </xf>
    <xf numFmtId="164" fontId="45" fillId="0" borderId="61" xfId="0" applyNumberFormat="1" applyFont="1" applyFill="1" applyBorder="1" applyAlignment="1">
      <alignment horizontal="right"/>
    </xf>
    <xf numFmtId="164" fontId="45" fillId="0" borderId="20" xfId="0" applyNumberFormat="1" applyFont="1" applyFill="1" applyBorder="1" applyAlignment="1">
      <alignment horizontal="right"/>
    </xf>
    <xf numFmtId="0" fontId="0" fillId="0" borderId="0" xfId="2" applyFont="1" applyFill="1" applyBorder="1" applyAlignment="1">
      <alignment wrapText="1"/>
    </xf>
    <xf numFmtId="0" fontId="8" fillId="0" borderId="0" xfId="2" applyFont="1" applyFill="1" applyBorder="1" applyAlignment="1">
      <alignment horizontal="center" wrapText="1"/>
    </xf>
    <xf numFmtId="17" fontId="7" fillId="0" borderId="55" xfId="2" quotePrefix="1" applyNumberFormat="1" applyFont="1" applyFill="1" applyBorder="1" applyAlignment="1">
      <alignment horizontal="right" wrapText="1"/>
    </xf>
    <xf numFmtId="17" fontId="7" fillId="0" borderId="57" xfId="2" quotePrefix="1" applyNumberFormat="1" applyFont="1" applyFill="1" applyBorder="1" applyAlignment="1">
      <alignment horizontal="right" wrapText="1"/>
    </xf>
    <xf numFmtId="0" fontId="88" fillId="0" borderId="0" xfId="2" applyFont="1" applyFill="1" applyBorder="1" applyAlignment="1"/>
    <xf numFmtId="0" fontId="8" fillId="0" borderId="5" xfId="2" applyFont="1" applyFill="1" applyBorder="1" applyAlignment="1">
      <alignment horizontal="right" wrapText="1"/>
    </xf>
    <xf numFmtId="0" fontId="6" fillId="0" borderId="0" xfId="2" applyFont="1" applyFill="1" applyBorder="1" applyAlignment="1">
      <alignment vertical="top"/>
    </xf>
    <xf numFmtId="0" fontId="8" fillId="0" borderId="0" xfId="2" applyFont="1" applyFill="1" applyBorder="1" applyAlignment="1">
      <alignment horizontal="right" wrapText="1"/>
    </xf>
    <xf numFmtId="0" fontId="6" fillId="0" borderId="0" xfId="2" applyFont="1" applyFill="1" applyBorder="1" applyAlignment="1"/>
    <xf numFmtId="184" fontId="6" fillId="0" borderId="0" xfId="2" applyNumberFormat="1" applyFont="1" applyFill="1"/>
    <xf numFmtId="0" fontId="6" fillId="0" borderId="97" xfId="2" applyFont="1" applyFill="1" applyBorder="1"/>
    <xf numFmtId="0" fontId="7" fillId="0" borderId="0" xfId="2" quotePrefix="1" applyFont="1" applyBorder="1" applyAlignment="1">
      <alignment horizontal="center" wrapText="1"/>
    </xf>
    <xf numFmtId="0" fontId="90" fillId="0" borderId="0" xfId="2" applyFont="1" applyFill="1" applyAlignment="1">
      <alignment horizontal="left" vertical="top"/>
    </xf>
    <xf numFmtId="0" fontId="8" fillId="0" borderId="98" xfId="2" applyFont="1" applyFill="1" applyBorder="1"/>
    <xf numFmtId="184" fontId="8" fillId="0" borderId="64" xfId="2" applyNumberFormat="1" applyFont="1" applyFill="1" applyBorder="1" applyAlignment="1"/>
    <xf numFmtId="184" fontId="8" fillId="0" borderId="26" xfId="2" applyNumberFormat="1" applyFont="1" applyFill="1" applyBorder="1" applyAlignment="1"/>
    <xf numFmtId="184" fontId="8" fillId="0" borderId="59" xfId="2" applyNumberFormat="1" applyFont="1" applyFill="1" applyBorder="1" applyAlignment="1"/>
    <xf numFmtId="184" fontId="8" fillId="0" borderId="28" xfId="2" applyNumberFormat="1" applyFont="1" applyFill="1" applyBorder="1" applyAlignment="1"/>
    <xf numFmtId="0" fontId="8" fillId="0" borderId="82" xfId="2" applyFont="1" applyFill="1" applyBorder="1"/>
    <xf numFmtId="184" fontId="8" fillId="0" borderId="21" xfId="2" applyNumberFormat="1" applyFont="1" applyFill="1" applyBorder="1" applyAlignment="1"/>
    <xf numFmtId="184" fontId="8" fillId="0" borderId="58" xfId="2" applyNumberFormat="1" applyFont="1" applyFill="1" applyBorder="1" applyAlignment="1"/>
    <xf numFmtId="0" fontId="6" fillId="0" borderId="0" xfId="2" applyFont="1" applyFill="1" applyAlignment="1">
      <alignment horizontal="left" vertical="top"/>
    </xf>
    <xf numFmtId="0" fontId="6" fillId="0" borderId="0" xfId="2" applyFont="1" applyFill="1" applyAlignment="1">
      <alignment horizontal="center" vertical="top"/>
    </xf>
    <xf numFmtId="0" fontId="8" fillId="0" borderId="83" xfId="2" applyFont="1" applyFill="1" applyBorder="1"/>
    <xf numFmtId="0" fontId="7" fillId="0" borderId="80" xfId="2" applyFont="1" applyFill="1" applyBorder="1"/>
    <xf numFmtId="184" fontId="7" fillId="0" borderId="99" xfId="2" applyNumberFormat="1" applyFont="1" applyFill="1" applyBorder="1" applyAlignment="1"/>
    <xf numFmtId="0" fontId="6" fillId="0" borderId="0" xfId="2" applyFont="1" applyFill="1" applyBorder="1" applyAlignment="1">
      <alignment horizontal="center"/>
    </xf>
    <xf numFmtId="0" fontId="91" fillId="0" borderId="0" xfId="2" applyFont="1" applyFill="1" applyBorder="1" applyAlignment="1">
      <alignment horizontal="center"/>
    </xf>
    <xf numFmtId="3" fontId="8" fillId="0" borderId="0" xfId="27" applyNumberFormat="1" applyFont="1" applyFill="1" applyBorder="1"/>
    <xf numFmtId="0" fontId="20" fillId="0" borderId="0" xfId="2" applyFont="1" applyAlignment="1" applyProtection="1">
      <alignment vertical="top"/>
      <protection locked="0"/>
    </xf>
    <xf numFmtId="0" fontId="6" fillId="0" borderId="0" xfId="2" applyFont="1" applyFill="1" applyAlignment="1" applyProtection="1">
      <alignment vertical="top"/>
    </xf>
    <xf numFmtId="0" fontId="6" fillId="0" borderId="0" xfId="2" applyFont="1" applyFill="1" applyProtection="1"/>
    <xf numFmtId="0" fontId="90" fillId="0" borderId="0" xfId="2" applyFont="1" applyFill="1" applyBorder="1" applyAlignment="1" applyProtection="1"/>
    <xf numFmtId="0" fontId="1" fillId="0" borderId="0" xfId="2" applyFont="1" applyAlignment="1" applyProtection="1"/>
    <xf numFmtId="0" fontId="6" fillId="0" borderId="0" xfId="2" applyFont="1" applyProtection="1"/>
    <xf numFmtId="0" fontId="6" fillId="0" borderId="0" xfId="2" applyFont="1" applyProtection="1">
      <protection locked="0"/>
    </xf>
    <xf numFmtId="0" fontId="6" fillId="0" borderId="0" xfId="2" applyFont="1" applyBorder="1" applyProtection="1">
      <protection locked="0"/>
    </xf>
    <xf numFmtId="0" fontId="5" fillId="0" borderId="0" xfId="2" applyFont="1" applyAlignment="1" applyProtection="1">
      <alignment vertical="top"/>
      <protection locked="0"/>
    </xf>
    <xf numFmtId="0" fontId="40" fillId="0" borderId="0" xfId="2" applyFont="1" applyFill="1" applyBorder="1" applyAlignment="1" applyProtection="1">
      <alignment vertical="top" wrapText="1"/>
    </xf>
    <xf numFmtId="0" fontId="90" fillId="0" borderId="0" xfId="2" applyFont="1" applyFill="1" applyBorder="1" applyProtection="1">
      <protection locked="0"/>
    </xf>
    <xf numFmtId="0" fontId="8" fillId="0" borderId="0" xfId="2" applyFont="1" applyAlignment="1" applyProtection="1">
      <alignment vertical="top"/>
      <protection locked="0"/>
    </xf>
    <xf numFmtId="0" fontId="20" fillId="0" borderId="0" xfId="2" applyFont="1" applyAlignment="1" applyProtection="1">
      <alignment vertical="top"/>
    </xf>
    <xf numFmtId="184" fontId="8" fillId="0" borderId="0" xfId="2" applyNumberFormat="1" applyFont="1" applyFill="1" applyBorder="1" applyAlignment="1" applyProtection="1"/>
    <xf numFmtId="0" fontId="8" fillId="0" borderId="0" xfId="2" applyFont="1" applyBorder="1" applyProtection="1">
      <protection locked="0"/>
    </xf>
    <xf numFmtId="0" fontId="90" fillId="0" borderId="0" xfId="2" applyFont="1" applyFill="1" applyBorder="1" applyAlignment="1" applyProtection="1">
      <alignment vertical="top" wrapText="1"/>
    </xf>
    <xf numFmtId="0" fontId="7" fillId="2" borderId="26" xfId="2" applyFont="1" applyFill="1" applyBorder="1" applyAlignment="1" applyProtection="1"/>
    <xf numFmtId="0" fontId="7" fillId="2" borderId="55" xfId="2" applyFont="1" applyFill="1" applyBorder="1" applyAlignment="1" applyProtection="1"/>
    <xf numFmtId="0" fontId="20" fillId="0" borderId="0" xfId="2" applyFont="1" applyBorder="1" applyAlignment="1" applyProtection="1">
      <protection locked="0"/>
    </xf>
    <xf numFmtId="0" fontId="90" fillId="0" borderId="0" xfId="2" applyFont="1" applyFill="1" applyBorder="1" applyAlignment="1" applyProtection="1">
      <alignment wrapText="1"/>
    </xf>
    <xf numFmtId="0" fontId="88" fillId="0" borderId="0" xfId="2" applyFont="1" applyBorder="1" applyAlignment="1" applyProtection="1"/>
    <xf numFmtId="0" fontId="11" fillId="0" borderId="0" xfId="0" applyFont="1" applyBorder="1" applyAlignment="1">
      <alignment wrapText="1"/>
    </xf>
    <xf numFmtId="3" fontId="8" fillId="0" borderId="0" xfId="2" applyNumberFormat="1" applyFont="1" applyFill="1" applyBorder="1" applyAlignment="1" applyProtection="1">
      <protection locked="0"/>
    </xf>
    <xf numFmtId="0" fontId="6" fillId="0" borderId="0" xfId="2" applyFont="1" applyBorder="1" applyAlignment="1" applyProtection="1">
      <protection locked="0"/>
    </xf>
    <xf numFmtId="0" fontId="20" fillId="0" borderId="0" xfId="2" applyFont="1" applyFill="1" applyBorder="1" applyAlignment="1" applyProtection="1">
      <alignment wrapText="1"/>
    </xf>
    <xf numFmtId="0" fontId="14" fillId="0" borderId="42" xfId="0" applyFont="1" applyBorder="1" applyAlignment="1">
      <alignment wrapText="1"/>
    </xf>
    <xf numFmtId="184" fontId="7" fillId="0" borderId="99" xfId="2" applyNumberFormat="1" applyFont="1" applyFill="1" applyBorder="1" applyAlignment="1" applyProtection="1"/>
    <xf numFmtId="184" fontId="7" fillId="0" borderId="81" xfId="2" applyNumberFormat="1" applyFont="1" applyFill="1" applyBorder="1" applyAlignment="1"/>
    <xf numFmtId="0" fontId="92" fillId="0" borderId="0" xfId="2" applyFont="1" applyBorder="1" applyAlignment="1" applyProtection="1">
      <protection locked="0"/>
    </xf>
    <xf numFmtId="0" fontId="90" fillId="0" borderId="0" xfId="2" applyFont="1" applyBorder="1" applyAlignment="1" applyProtection="1">
      <alignment wrapText="1"/>
    </xf>
    <xf numFmtId="184" fontId="90" fillId="0" borderId="0" xfId="2" applyNumberFormat="1" applyFont="1" applyBorder="1" applyAlignment="1" applyProtection="1">
      <alignment wrapText="1"/>
    </xf>
    <xf numFmtId="0" fontId="22" fillId="0" borderId="0" xfId="2" applyFont="1" applyBorder="1" applyAlignment="1" applyProtection="1">
      <alignment wrapText="1"/>
    </xf>
    <xf numFmtId="0" fontId="6" fillId="0" borderId="0" xfId="2" applyFont="1" applyBorder="1" applyProtection="1"/>
    <xf numFmtId="0" fontId="92" fillId="0" borderId="6" xfId="2" applyFont="1" applyBorder="1" applyAlignment="1" applyProtection="1">
      <protection locked="0"/>
    </xf>
    <xf numFmtId="0" fontId="14" fillId="0" borderId="0" xfId="0" applyFont="1" applyBorder="1" applyAlignment="1">
      <alignment wrapText="1"/>
    </xf>
    <xf numFmtId="184" fontId="7" fillId="0" borderId="0" xfId="2" applyNumberFormat="1" applyFont="1" applyFill="1" applyBorder="1" applyAlignment="1" applyProtection="1"/>
    <xf numFmtId="3" fontId="14" fillId="0" borderId="0" xfId="0" applyNumberFormat="1" applyFont="1" applyBorder="1" applyAlignment="1">
      <alignment wrapText="1"/>
    </xf>
    <xf numFmtId="3" fontId="7" fillId="0" borderId="0" xfId="2" applyNumberFormat="1" applyFont="1" applyFill="1" applyBorder="1" applyAlignment="1" applyProtection="1">
      <protection locked="0"/>
    </xf>
    <xf numFmtId="3" fontId="7" fillId="0" borderId="0" xfId="2" applyNumberFormat="1" applyFont="1" applyBorder="1" applyAlignment="1" applyProtection="1">
      <protection locked="0"/>
    </xf>
    <xf numFmtId="184" fontId="7" fillId="2" borderId="0" xfId="2" applyNumberFormat="1" applyFont="1" applyFill="1" applyBorder="1" applyAlignment="1" applyProtection="1"/>
    <xf numFmtId="3" fontId="7" fillId="2" borderId="0" xfId="2" applyNumberFormat="1" applyFont="1" applyFill="1" applyBorder="1" applyAlignment="1" applyProtection="1">
      <protection locked="0"/>
    </xf>
    <xf numFmtId="0" fontId="5" fillId="0" borderId="0" xfId="2" applyFont="1" applyAlignment="1" applyProtection="1">
      <alignment vertical="top" wrapText="1"/>
      <protection locked="0"/>
    </xf>
    <xf numFmtId="0" fontId="5" fillId="0" borderId="0" xfId="2" applyFont="1" applyAlignment="1">
      <alignment horizontal="center" vertical="top"/>
    </xf>
    <xf numFmtId="0" fontId="6" fillId="0" borderId="0" xfId="2" applyFont="1" applyFill="1" applyAlignment="1" applyProtection="1">
      <alignment vertical="top"/>
      <protection locked="0"/>
    </xf>
    <xf numFmtId="0" fontId="93" fillId="17" borderId="0" xfId="2" applyFont="1" applyFill="1" applyBorder="1" applyAlignment="1" applyProtection="1">
      <protection locked="0"/>
    </xf>
    <xf numFmtId="0" fontId="6" fillId="0" borderId="0" xfId="2" applyFont="1" applyFill="1" applyProtection="1">
      <protection locked="0"/>
    </xf>
    <xf numFmtId="0" fontId="7" fillId="0" borderId="55" xfId="2" applyFont="1" applyFill="1" applyBorder="1" applyAlignment="1" applyProtection="1"/>
    <xf numFmtId="0" fontId="6" fillId="0" borderId="0" xfId="2" applyFont="1" applyFill="1" applyBorder="1" applyProtection="1">
      <protection locked="0"/>
    </xf>
    <xf numFmtId="184" fontId="7" fillId="0" borderId="0" xfId="2" applyNumberFormat="1" applyFont="1" applyFill="1" applyBorder="1" applyAlignment="1"/>
    <xf numFmtId="9" fontId="14" fillId="0" borderId="0" xfId="1" applyFont="1" applyBorder="1" applyAlignment="1">
      <alignment wrapText="1"/>
    </xf>
    <xf numFmtId="0" fontId="14" fillId="0" borderId="0" xfId="0" applyFont="1" applyBorder="1" applyAlignment="1"/>
    <xf numFmtId="0" fontId="94" fillId="0" borderId="0" xfId="2" applyFont="1" applyFill="1" applyProtection="1">
      <protection locked="0"/>
    </xf>
    <xf numFmtId="0" fontId="0" fillId="0" borderId="0" xfId="2" applyFont="1" applyFill="1" applyBorder="1"/>
    <xf numFmtId="0" fontId="0" fillId="0" borderId="0" xfId="2" applyFont="1" applyFill="1"/>
    <xf numFmtId="0" fontId="0" fillId="0" borderId="0" xfId="2" applyFont="1" applyFill="1" applyBorder="1" applyAlignment="1">
      <alignment vertical="top"/>
    </xf>
    <xf numFmtId="49" fontId="5" fillId="0" borderId="0" xfId="2" applyNumberFormat="1" applyFont="1" applyFill="1" applyAlignment="1">
      <alignment vertical="top"/>
    </xf>
    <xf numFmtId="49" fontId="0" fillId="0" borderId="0" xfId="2" applyNumberFormat="1" applyFont="1" applyFill="1" applyAlignment="1">
      <alignment vertical="top" wrapText="1"/>
    </xf>
    <xf numFmtId="49" fontId="0" fillId="0" borderId="0" xfId="2" applyNumberFormat="1" applyFont="1" applyFill="1" applyBorder="1" applyAlignment="1">
      <alignment vertical="top"/>
    </xf>
    <xf numFmtId="49" fontId="7" fillId="0" borderId="2" xfId="2" applyNumberFormat="1" applyFont="1" applyFill="1" applyBorder="1" applyAlignment="1">
      <alignment horizontal="right"/>
    </xf>
    <xf numFmtId="49" fontId="0" fillId="0" borderId="0" xfId="2" applyNumberFormat="1" applyFont="1" applyFill="1" applyBorder="1"/>
    <xf numFmtId="49" fontId="0" fillId="0" borderId="0" xfId="2" applyNumberFormat="1" applyFont="1" applyFill="1"/>
    <xf numFmtId="0" fontId="0" fillId="0" borderId="0" xfId="2" applyFont="1" applyFill="1" applyAlignment="1">
      <alignment vertical="top" wrapText="1"/>
    </xf>
    <xf numFmtId="0" fontId="88" fillId="0" borderId="0" xfId="2" applyFont="1" applyAlignment="1" applyProtection="1">
      <alignment vertical="top"/>
    </xf>
    <xf numFmtId="0" fontId="8" fillId="0" borderId="0" xfId="2" applyFont="1" applyFill="1" applyBorder="1" applyAlignment="1">
      <alignment vertical="top" wrapText="1"/>
    </xf>
    <xf numFmtId="3" fontId="11" fillId="0" borderId="58" xfId="0" applyNumberFormat="1" applyFont="1" applyFill="1" applyBorder="1"/>
    <xf numFmtId="0" fontId="52" fillId="0" borderId="0" xfId="2" applyFont="1" applyFill="1" applyBorder="1" applyAlignment="1">
      <alignment vertical="top" wrapText="1"/>
    </xf>
    <xf numFmtId="184" fontId="8" fillId="0" borderId="58" xfId="2" applyNumberFormat="1" applyFont="1" applyFill="1" applyBorder="1" applyAlignment="1">
      <alignment horizontal="right"/>
    </xf>
    <xf numFmtId="0" fontId="95" fillId="0" borderId="0" xfId="2" applyFont="1" applyFill="1" applyAlignment="1">
      <alignment vertical="top"/>
    </xf>
    <xf numFmtId="0" fontId="96" fillId="0" borderId="0" xfId="2" applyFont="1" applyFill="1" applyAlignment="1">
      <alignment vertical="top" wrapText="1"/>
    </xf>
    <xf numFmtId="0" fontId="97" fillId="0" borderId="0" xfId="2" applyFont="1" applyAlignment="1" applyProtection="1">
      <alignment vertical="top"/>
    </xf>
    <xf numFmtId="0" fontId="52" fillId="0" borderId="0" xfId="2" applyFont="1" applyFill="1" applyBorder="1" applyAlignment="1">
      <alignment horizontal="right" vertical="top" wrapText="1"/>
    </xf>
    <xf numFmtId="166" fontId="46" fillId="0" borderId="58" xfId="0" applyNumberFormat="1" applyFont="1" applyFill="1" applyBorder="1"/>
    <xf numFmtId="0" fontId="96" fillId="0" borderId="0" xfId="2" applyFont="1" applyFill="1" applyBorder="1"/>
    <xf numFmtId="0" fontId="96" fillId="0" borderId="0" xfId="2" applyFont="1" applyFill="1"/>
    <xf numFmtId="0" fontId="5" fillId="0" borderId="0" xfId="2" applyFont="1" applyFill="1" applyAlignment="1">
      <alignment vertical="center"/>
    </xf>
    <xf numFmtId="0" fontId="0" fillId="0" borderId="0" xfId="2" applyFont="1" applyFill="1" applyAlignment="1">
      <alignment vertical="center" wrapText="1"/>
    </xf>
    <xf numFmtId="0" fontId="88" fillId="0" borderId="0" xfId="2" applyFont="1" applyAlignment="1" applyProtection="1">
      <alignment vertical="center"/>
    </xf>
    <xf numFmtId="0" fontId="8" fillId="0" borderId="6" xfId="2" applyFont="1" applyFill="1" applyBorder="1" applyAlignment="1">
      <alignment vertical="center" wrapText="1"/>
    </xf>
    <xf numFmtId="184" fontId="8" fillId="0" borderId="61" xfId="2" applyNumberFormat="1" applyFont="1" applyFill="1" applyBorder="1" applyAlignment="1">
      <alignment horizontal="right" vertical="center"/>
    </xf>
    <xf numFmtId="0" fontId="0" fillId="0" borderId="0" xfId="2" applyFont="1" applyFill="1" applyBorder="1" applyAlignment="1">
      <alignment vertical="center"/>
    </xf>
    <xf numFmtId="0" fontId="0" fillId="0" borderId="0" xfId="2" applyFont="1" applyFill="1" applyAlignment="1">
      <alignment vertical="center"/>
    </xf>
    <xf numFmtId="184" fontId="8" fillId="0" borderId="0" xfId="2" applyNumberFormat="1" applyFont="1" applyFill="1" applyBorder="1" applyAlignment="1">
      <alignment horizontal="right" wrapText="1"/>
    </xf>
    <xf numFmtId="166" fontId="8" fillId="0" borderId="0" xfId="3" applyNumberFormat="1" applyFont="1" applyFill="1" applyBorder="1" applyAlignment="1">
      <alignment horizontal="right"/>
    </xf>
    <xf numFmtId="0" fontId="13" fillId="0" borderId="0" xfId="2" applyFont="1" applyAlignment="1" applyProtection="1">
      <alignment vertical="top"/>
      <protection locked="0"/>
    </xf>
    <xf numFmtId="0" fontId="31" fillId="0" borderId="0" xfId="2" applyFont="1" applyFill="1" applyBorder="1" applyAlignment="1" applyProtection="1">
      <alignment vertical="top" wrapText="1"/>
    </xf>
    <xf numFmtId="0" fontId="22" fillId="0" borderId="0" xfId="2" applyFont="1" applyFill="1" applyBorder="1" applyAlignment="1" applyProtection="1">
      <alignment wrapText="1"/>
    </xf>
    <xf numFmtId="0" fontId="6" fillId="0" borderId="0" xfId="2" applyFont="1" applyFill="1" applyBorder="1" applyProtection="1"/>
    <xf numFmtId="0" fontId="7" fillId="2" borderId="21" xfId="2" applyFont="1" applyFill="1" applyBorder="1" applyAlignment="1" applyProtection="1"/>
    <xf numFmtId="0" fontId="13" fillId="0" borderId="0" xfId="2" applyFont="1" applyBorder="1" applyAlignment="1" applyProtection="1">
      <alignment vertical="top"/>
      <protection locked="0"/>
    </xf>
    <xf numFmtId="0" fontId="8" fillId="0" borderId="0" xfId="2" applyFont="1" applyBorder="1"/>
    <xf numFmtId="0" fontId="11" fillId="0" borderId="0" xfId="0" applyFont="1" applyFill="1" applyBorder="1" applyAlignment="1">
      <alignment wrapText="1"/>
    </xf>
    <xf numFmtId="166" fontId="11" fillId="3" borderId="0" xfId="0" applyNumberFormat="1" applyFont="1" applyFill="1" applyBorder="1" applyAlignment="1">
      <alignment vertical="top" wrapText="1"/>
    </xf>
    <xf numFmtId="0" fontId="13" fillId="0" borderId="0" xfId="2" applyFont="1" applyFill="1" applyBorder="1" applyAlignment="1">
      <alignment vertical="top"/>
    </xf>
    <xf numFmtId="0" fontId="11" fillId="0" borderId="0" xfId="2" applyFont="1" applyFill="1" applyBorder="1"/>
    <xf numFmtId="0" fontId="14" fillId="0" borderId="42" xfId="0" applyFont="1" applyFill="1" applyBorder="1" applyAlignment="1">
      <alignment wrapText="1"/>
    </xf>
    <xf numFmtId="169" fontId="0" fillId="0" borderId="0" xfId="2" applyNumberFormat="1" applyFont="1" applyFill="1"/>
    <xf numFmtId="9" fontId="8" fillId="0" borderId="0" xfId="28" applyFont="1" applyFill="1" applyBorder="1" applyAlignment="1">
      <alignment horizontal="right"/>
    </xf>
    <xf numFmtId="0" fontId="11" fillId="0" borderId="26" xfId="2" applyFont="1" applyFill="1" applyBorder="1"/>
    <xf numFmtId="17" fontId="14" fillId="0" borderId="26" xfId="2" quotePrefix="1" applyNumberFormat="1" applyFont="1" applyFill="1" applyBorder="1" applyAlignment="1">
      <alignment horizontal="right"/>
    </xf>
    <xf numFmtId="0" fontId="14" fillId="0" borderId="26" xfId="2" quotePrefix="1" applyFont="1" applyFill="1" applyBorder="1" applyAlignment="1">
      <alignment horizontal="right"/>
    </xf>
    <xf numFmtId="169" fontId="14" fillId="0" borderId="26" xfId="2" quotePrefix="1" applyNumberFormat="1" applyFont="1" applyFill="1" applyBorder="1" applyAlignment="1">
      <alignment horizontal="right"/>
    </xf>
    <xf numFmtId="0" fontId="14" fillId="0" borderId="26" xfId="2" applyFont="1" applyFill="1" applyBorder="1" applyAlignment="1">
      <alignment horizontal="right"/>
    </xf>
    <xf numFmtId="0" fontId="7" fillId="0" borderId="26" xfId="2" applyNumberFormat="1" applyFont="1" applyFill="1" applyBorder="1" applyAlignment="1">
      <alignment horizontal="right"/>
    </xf>
    <xf numFmtId="164" fontId="0" fillId="0" borderId="0" xfId="2" applyNumberFormat="1" applyFont="1" applyFill="1" applyBorder="1"/>
    <xf numFmtId="3" fontId="11" fillId="0" borderId="0" xfId="2" applyNumberFormat="1" applyFont="1" applyFill="1" applyBorder="1" applyAlignment="1">
      <alignment horizontal="right"/>
    </xf>
    <xf numFmtId="0" fontId="11" fillId="0" borderId="6" xfId="2" applyFont="1" applyFill="1" applyBorder="1"/>
    <xf numFmtId="3" fontId="11" fillId="0" borderId="6" xfId="2" applyNumberFormat="1" applyFont="1" applyFill="1" applyBorder="1" applyAlignment="1">
      <alignment horizontal="right"/>
    </xf>
    <xf numFmtId="3" fontId="0" fillId="0" borderId="0" xfId="2" applyNumberFormat="1" applyFont="1" applyFill="1"/>
    <xf numFmtId="3" fontId="8" fillId="0" borderId="0" xfId="28" applyNumberFormat="1" applyFont="1" applyFill="1" applyBorder="1" applyAlignment="1">
      <alignment horizontal="right"/>
    </xf>
    <xf numFmtId="0" fontId="8" fillId="0" borderId="0" xfId="28" applyNumberFormat="1" applyFont="1" applyFill="1" applyBorder="1" applyAlignment="1">
      <alignment horizontal="right"/>
    </xf>
    <xf numFmtId="0" fontId="5" fillId="0" borderId="0" xfId="2" applyFont="1" applyBorder="1" applyAlignment="1">
      <alignment vertical="top"/>
    </xf>
    <xf numFmtId="0" fontId="43" fillId="0" borderId="0" xfId="2" applyFont="1" applyFill="1" applyBorder="1"/>
    <xf numFmtId="0" fontId="43" fillId="0" borderId="0" xfId="2" applyFont="1" applyFill="1"/>
    <xf numFmtId="0" fontId="0" fillId="0" borderId="0" xfId="2" applyFont="1" applyAlignment="1">
      <alignment vertical="top"/>
    </xf>
    <xf numFmtId="0" fontId="0" fillId="0" borderId="0" xfId="2" applyFont="1" applyBorder="1"/>
    <xf numFmtId="0" fontId="4" fillId="0" borderId="0" xfId="29"/>
    <xf numFmtId="0" fontId="6" fillId="0" borderId="0" xfId="2" applyFont="1" applyAlignment="1" applyProtection="1">
      <alignment vertical="top"/>
    </xf>
    <xf numFmtId="0" fontId="0" fillId="0" borderId="0" xfId="2" applyFont="1" applyFill="1" applyBorder="1" applyAlignment="1" applyProtection="1">
      <alignment wrapText="1"/>
      <protection locked="0"/>
    </xf>
    <xf numFmtId="184" fontId="7" fillId="0" borderId="0" xfId="2" applyNumberFormat="1" applyFont="1" applyBorder="1" applyAlignment="1" applyProtection="1">
      <alignment horizontal="left"/>
    </xf>
    <xf numFmtId="184" fontId="8" fillId="0" borderId="0" xfId="2" applyNumberFormat="1" applyFont="1" applyBorder="1" applyAlignment="1" applyProtection="1">
      <alignment horizontal="right"/>
    </xf>
    <xf numFmtId="184" fontId="4" fillId="0" borderId="0" xfId="2" applyNumberFormat="1" applyFont="1" applyProtection="1">
      <protection locked="0"/>
    </xf>
    <xf numFmtId="184" fontId="0" fillId="0" borderId="0" xfId="2" applyNumberFormat="1" applyFont="1" applyBorder="1" applyProtection="1">
      <protection locked="0"/>
    </xf>
    <xf numFmtId="184" fontId="0" fillId="0" borderId="0" xfId="2" applyNumberFormat="1" applyFont="1" applyProtection="1">
      <protection locked="0"/>
    </xf>
    <xf numFmtId="0" fontId="6" fillId="0" borderId="26" xfId="2" applyFont="1" applyFill="1" applyBorder="1" applyProtection="1">
      <protection locked="0"/>
    </xf>
    <xf numFmtId="165" fontId="7" fillId="0" borderId="26" xfId="4" applyFont="1" applyFill="1" applyBorder="1" applyAlignment="1" applyProtection="1">
      <alignment horizontal="right"/>
    </xf>
    <xf numFmtId="184" fontId="45" fillId="0" borderId="0" xfId="15" applyNumberFormat="1" applyFont="1" applyBorder="1" applyAlignment="1">
      <alignment horizontal="right"/>
    </xf>
    <xf numFmtId="175" fontId="45" fillId="0" borderId="0" xfId="15" applyNumberFormat="1" applyFont="1" applyBorder="1" applyAlignment="1">
      <alignment horizontal="right"/>
    </xf>
    <xf numFmtId="175" fontId="45" fillId="0" borderId="0" xfId="15" applyNumberFormat="1" applyFont="1" applyFill="1" applyBorder="1" applyAlignment="1">
      <alignment horizontal="right"/>
    </xf>
    <xf numFmtId="175" fontId="8" fillId="0" borderId="0" xfId="15" applyNumberFormat="1" applyFont="1" applyFill="1" applyBorder="1" applyAlignment="1">
      <alignment horizontal="right"/>
    </xf>
    <xf numFmtId="0" fontId="8" fillId="0" borderId="6" xfId="2" applyFont="1" applyFill="1" applyBorder="1" applyAlignment="1">
      <alignment wrapText="1"/>
    </xf>
    <xf numFmtId="184" fontId="45" fillId="0" borderId="6" xfId="15" applyNumberFormat="1" applyFont="1" applyBorder="1" applyAlignment="1">
      <alignment horizontal="right"/>
    </xf>
    <xf numFmtId="175" fontId="45" fillId="0" borderId="6" xfId="15" applyNumberFormat="1" applyFont="1" applyBorder="1" applyAlignment="1">
      <alignment horizontal="right"/>
    </xf>
    <xf numFmtId="175" fontId="45" fillId="0" borderId="6" xfId="15" applyNumberFormat="1" applyFont="1" applyFill="1" applyBorder="1" applyAlignment="1">
      <alignment horizontal="right"/>
    </xf>
    <xf numFmtId="175" fontId="8" fillId="0" borderId="6" xfId="15" applyNumberFormat="1" applyFont="1" applyFill="1" applyBorder="1" applyAlignment="1">
      <alignment horizontal="right"/>
    </xf>
    <xf numFmtId="3" fontId="8" fillId="0" borderId="0" xfId="2" applyNumberFormat="1" applyFont="1" applyFill="1" applyBorder="1" applyAlignment="1">
      <alignment horizontal="center" wrapText="1"/>
    </xf>
    <xf numFmtId="175" fontId="6" fillId="0" borderId="0" xfId="2" applyNumberFormat="1" applyFont="1" applyFill="1" applyProtection="1">
      <protection locked="0"/>
    </xf>
    <xf numFmtId="0" fontId="13" fillId="0" borderId="0" xfId="2" applyFont="1" applyFill="1" applyBorder="1" applyAlignment="1" applyProtection="1">
      <alignment horizontal="right" vertical="top"/>
    </xf>
    <xf numFmtId="196" fontId="7" fillId="0" borderId="0" xfId="30" applyFont="1" applyFill="1" applyAlignment="1" applyProtection="1">
      <alignment horizontal="left"/>
    </xf>
    <xf numFmtId="196" fontId="7" fillId="0" borderId="0" xfId="30" applyFont="1" applyFill="1" applyAlignment="1" applyProtection="1"/>
    <xf numFmtId="196" fontId="8" fillId="0" borderId="0" xfId="30" applyFont="1" applyFill="1" applyProtection="1"/>
    <xf numFmtId="196" fontId="8" fillId="0" borderId="0" xfId="30" applyFont="1" applyFill="1" applyAlignment="1" applyProtection="1">
      <alignment horizontal="right"/>
    </xf>
    <xf numFmtId="184" fontId="8" fillId="0" borderId="0" xfId="2" applyNumberFormat="1" applyFont="1" applyBorder="1" applyProtection="1"/>
    <xf numFmtId="184" fontId="8" fillId="0" borderId="0" xfId="2" applyNumberFormat="1" applyFont="1" applyBorder="1" applyProtection="1">
      <protection locked="0"/>
    </xf>
    <xf numFmtId="0" fontId="7" fillId="0" borderId="0" xfId="2" applyFont="1" applyFill="1" applyAlignment="1" applyProtection="1">
      <alignment horizontal="right" vertical="top"/>
    </xf>
    <xf numFmtId="196" fontId="7" fillId="0" borderId="26" xfId="30" applyFont="1" applyFill="1" applyBorder="1" applyAlignment="1" applyProtection="1">
      <alignment horizontal="right" vertical="top"/>
    </xf>
    <xf numFmtId="196" fontId="8" fillId="0" borderId="26" xfId="30" applyFont="1" applyFill="1" applyBorder="1" applyProtection="1">
      <protection locked="0"/>
    </xf>
    <xf numFmtId="196" fontId="8" fillId="0" borderId="4" xfId="30" applyFont="1" applyFill="1" applyBorder="1" applyProtection="1">
      <protection locked="0"/>
    </xf>
    <xf numFmtId="165" fontId="10" fillId="0" borderId="0" xfId="4" quotePrefix="1" applyFont="1" applyBorder="1" applyAlignment="1" applyProtection="1">
      <alignment horizontal="right"/>
    </xf>
    <xf numFmtId="170" fontId="7" fillId="0" borderId="0" xfId="2" quotePrefix="1" applyNumberFormat="1" applyFont="1" applyFill="1" applyBorder="1" applyAlignment="1" applyProtection="1">
      <alignment horizontal="right"/>
      <protection locked="0"/>
    </xf>
    <xf numFmtId="184" fontId="8" fillId="0" borderId="0" xfId="2" applyNumberFormat="1" applyFont="1" applyAlignment="1" applyProtection="1">
      <alignment horizontal="right" vertical="top"/>
    </xf>
    <xf numFmtId="196" fontId="7" fillId="0" borderId="29" xfId="30" applyFont="1" applyFill="1" applyBorder="1" applyAlignment="1" applyProtection="1">
      <alignment horizontal="right" vertical="top"/>
    </xf>
    <xf numFmtId="196" fontId="7" fillId="0" borderId="29" xfId="30" applyFont="1" applyFill="1" applyBorder="1" applyAlignment="1" applyProtection="1">
      <alignment horizontal="right" vertical="top" wrapText="1"/>
    </xf>
    <xf numFmtId="196" fontId="8" fillId="0" borderId="29" xfId="30" applyFont="1" applyFill="1" applyBorder="1"/>
    <xf numFmtId="37" fontId="8" fillId="0" borderId="29" xfId="31" applyNumberFormat="1" applyFont="1" applyFill="1" applyBorder="1" applyAlignment="1">
      <alignment horizontal="right"/>
    </xf>
    <xf numFmtId="3" fontId="8" fillId="0" borderId="29" xfId="15" applyNumberFormat="1" applyFont="1" applyFill="1" applyBorder="1"/>
    <xf numFmtId="4" fontId="8" fillId="0" borderId="29" xfId="15" applyNumberFormat="1" applyFont="1" applyFill="1" applyBorder="1"/>
    <xf numFmtId="0" fontId="8" fillId="0" borderId="0" xfId="2" applyFont="1" applyAlignment="1" applyProtection="1">
      <alignment vertical="top"/>
    </xf>
    <xf numFmtId="0" fontId="7" fillId="0" borderId="0" xfId="2" applyFont="1" applyAlignment="1" applyProtection="1">
      <alignment vertical="top"/>
    </xf>
    <xf numFmtId="0" fontId="8" fillId="0" borderId="0" xfId="2" applyFont="1" applyAlignment="1" applyProtection="1">
      <alignment horizontal="right"/>
    </xf>
    <xf numFmtId="0" fontId="8" fillId="0" borderId="0" xfId="2" applyFont="1" applyBorder="1" applyAlignment="1" applyProtection="1">
      <alignment horizontal="right"/>
    </xf>
    <xf numFmtId="198" fontId="8" fillId="0" borderId="0" xfId="2" applyNumberFormat="1" applyFont="1" applyAlignment="1" applyProtection="1">
      <alignment horizontal="right"/>
    </xf>
    <xf numFmtId="196" fontId="7" fillId="0" borderId="29" xfId="30" applyFont="1" applyFill="1" applyBorder="1" applyAlignment="1" applyProtection="1">
      <alignment horizontal="left"/>
    </xf>
    <xf numFmtId="186" fontId="7" fillId="0" borderId="29" xfId="31" applyNumberFormat="1" applyFont="1" applyFill="1" applyBorder="1" applyAlignment="1">
      <alignment horizontal="right"/>
    </xf>
    <xf numFmtId="197" fontId="7" fillId="0" borderId="29" xfId="31" applyFont="1" applyFill="1" applyBorder="1" applyAlignment="1">
      <alignment horizontal="center"/>
    </xf>
    <xf numFmtId="3" fontId="8" fillId="0" borderId="0" xfId="2" applyNumberFormat="1" applyFont="1" applyAlignment="1" applyProtection="1">
      <alignment horizontal="right"/>
    </xf>
    <xf numFmtId="172" fontId="7" fillId="0" borderId="0" xfId="14" applyNumberFormat="1" applyFont="1" applyFill="1" applyBorder="1" applyAlignment="1">
      <alignment horizontal="center"/>
    </xf>
    <xf numFmtId="3" fontId="7" fillId="0" borderId="0" xfId="14" applyNumberFormat="1" applyFont="1" applyFill="1" applyBorder="1" applyAlignment="1">
      <alignment horizontal="center"/>
    </xf>
    <xf numFmtId="3" fontId="7" fillId="0" borderId="0" xfId="14" applyNumberFormat="1" applyFont="1" applyFill="1" applyBorder="1" applyAlignment="1">
      <alignment horizontal="right"/>
    </xf>
    <xf numFmtId="0" fontId="7" fillId="0" borderId="0" xfId="2" applyFont="1" applyBorder="1" applyAlignment="1" applyProtection="1">
      <alignment horizontal="left"/>
    </xf>
    <xf numFmtId="0" fontId="7" fillId="0" borderId="0" xfId="2" applyFont="1" applyBorder="1" applyAlignment="1" applyProtection="1">
      <alignment horizontal="right"/>
    </xf>
    <xf numFmtId="3" fontId="7" fillId="0" borderId="0" xfId="2" applyNumberFormat="1" applyFont="1" applyFill="1" applyBorder="1" applyAlignment="1" applyProtection="1">
      <alignment horizontal="right"/>
    </xf>
    <xf numFmtId="198" fontId="7" fillId="0" borderId="0" xfId="2" applyNumberFormat="1" applyFont="1" applyFill="1" applyBorder="1" applyAlignment="1" applyProtection="1">
      <alignment horizontal="right"/>
    </xf>
    <xf numFmtId="198" fontId="7" fillId="0" borderId="0" xfId="2" applyNumberFormat="1" applyFont="1" applyBorder="1" applyAlignment="1" applyProtection="1">
      <alignment horizontal="right"/>
    </xf>
    <xf numFmtId="0" fontId="4" fillId="0" borderId="0" xfId="15"/>
    <xf numFmtId="165" fontId="10" fillId="0" borderId="0" xfId="4" applyFont="1" applyAlignment="1" applyProtection="1">
      <alignment horizontal="right"/>
      <protection locked="0"/>
    </xf>
    <xf numFmtId="0" fontId="6" fillId="0" borderId="0" xfId="2" applyFont="1" applyAlignment="1" applyProtection="1">
      <alignment vertical="top"/>
      <protection locked="0"/>
    </xf>
    <xf numFmtId="0" fontId="4" fillId="0" borderId="0" xfId="3" applyFont="1" applyFill="1" applyBorder="1" applyAlignment="1">
      <alignment horizontal="left" vertical="top" wrapText="1"/>
    </xf>
    <xf numFmtId="0" fontId="8" fillId="0" borderId="0" xfId="2" applyFont="1" applyFill="1" applyBorder="1" applyAlignment="1">
      <alignment horizontal="left"/>
    </xf>
    <xf numFmtId="0" fontId="7" fillId="0" borderId="26" xfId="2" applyFont="1" applyFill="1" applyBorder="1" applyAlignment="1">
      <alignment horizontal="center" wrapText="1"/>
    </xf>
    <xf numFmtId="17" fontId="7" fillId="0" borderId="26" xfId="2" quotePrefix="1" applyNumberFormat="1" applyFont="1" applyFill="1" applyBorder="1" applyAlignment="1">
      <alignment horizontal="center" wrapText="1"/>
    </xf>
    <xf numFmtId="0" fontId="4" fillId="0" borderId="0" xfId="2" applyFont="1" applyAlignment="1">
      <alignment vertical="top"/>
    </xf>
    <xf numFmtId="185" fontId="4" fillId="0" borderId="0" xfId="2" applyNumberFormat="1" applyFont="1" applyFill="1" applyAlignment="1">
      <alignment horizontal="right"/>
    </xf>
    <xf numFmtId="0" fontId="4" fillId="0" borderId="0" xfId="2" applyFont="1" applyAlignment="1">
      <alignment horizontal="right"/>
    </xf>
    <xf numFmtId="185" fontId="8" fillId="2" borderId="0" xfId="2" applyNumberFormat="1" applyFont="1" applyFill="1" applyBorder="1" applyAlignment="1">
      <alignment horizontal="right"/>
    </xf>
    <xf numFmtId="0" fontId="4" fillId="0" borderId="0" xfId="2" applyFont="1"/>
    <xf numFmtId="0" fontId="7" fillId="0" borderId="25" xfId="2" applyFont="1" applyFill="1" applyBorder="1" applyAlignment="1">
      <alignment horizontal="left" wrapText="1"/>
    </xf>
    <xf numFmtId="172" fontId="8" fillId="0" borderId="25" xfId="14" applyNumberFormat="1" applyFont="1" applyFill="1" applyBorder="1" applyAlignment="1">
      <alignment horizontal="center" wrapText="1"/>
    </xf>
    <xf numFmtId="172" fontId="8" fillId="0" borderId="25" xfId="14" applyNumberFormat="1" applyFont="1" applyFill="1" applyBorder="1" applyAlignment="1">
      <alignment horizontal="right" wrapText="1"/>
    </xf>
    <xf numFmtId="172" fontId="8" fillId="2" borderId="25" xfId="14" applyNumberFormat="1" applyFont="1" applyFill="1" applyBorder="1" applyAlignment="1">
      <alignment horizontal="right" wrapText="1"/>
    </xf>
    <xf numFmtId="172" fontId="8" fillId="0" borderId="6" xfId="14" applyNumberFormat="1" applyFont="1" applyFill="1" applyBorder="1" applyAlignment="1">
      <alignment horizontal="center" wrapText="1"/>
    </xf>
    <xf numFmtId="172" fontId="8" fillId="0" borderId="6" xfId="14" applyNumberFormat="1" applyFont="1" applyFill="1" applyBorder="1" applyAlignment="1">
      <alignment horizontal="right" wrapText="1"/>
    </xf>
    <xf numFmtId="172" fontId="8" fillId="2" borderId="6" xfId="14" applyNumberFormat="1" applyFont="1" applyFill="1" applyBorder="1" applyAlignment="1">
      <alignment horizontal="right" wrapText="1"/>
    </xf>
    <xf numFmtId="184" fontId="0" fillId="0" borderId="0" xfId="2" applyNumberFormat="1" applyFont="1"/>
    <xf numFmtId="172" fontId="0" fillId="0" borderId="0" xfId="2" applyNumberFormat="1" applyFont="1"/>
    <xf numFmtId="184" fontId="4" fillId="0" borderId="0" xfId="15" applyNumberFormat="1"/>
    <xf numFmtId="172" fontId="4" fillId="0" borderId="0" xfId="15" applyNumberFormat="1"/>
    <xf numFmtId="184" fontId="7" fillId="0" borderId="0" xfId="2" applyNumberFormat="1" applyFont="1" applyFill="1" applyBorder="1"/>
    <xf numFmtId="0" fontId="8" fillId="2" borderId="0" xfId="2" applyFont="1" applyFill="1" applyBorder="1" applyAlignment="1">
      <alignment horizontal="center" wrapText="1"/>
    </xf>
    <xf numFmtId="0" fontId="4" fillId="2" borderId="0" xfId="15" applyFill="1"/>
    <xf numFmtId="0" fontId="7" fillId="0" borderId="86" xfId="2" applyFont="1" applyFill="1" applyBorder="1" applyAlignment="1">
      <alignment horizontal="center" wrapText="1"/>
    </xf>
    <xf numFmtId="0" fontId="7" fillId="0" borderId="86" xfId="2" applyFont="1" applyFill="1" applyBorder="1" applyAlignment="1">
      <alignment horizontal="right" wrapText="1"/>
    </xf>
    <xf numFmtId="0" fontId="7" fillId="0" borderId="86" xfId="2" quotePrefix="1" applyFont="1" applyFill="1" applyBorder="1" applyAlignment="1">
      <alignment horizontal="right" wrapText="1"/>
    </xf>
    <xf numFmtId="172" fontId="8" fillId="0" borderId="0" xfId="14" applyNumberFormat="1" applyFont="1" applyFill="1" applyBorder="1" applyAlignment="1">
      <alignment horizontal="right" wrapText="1"/>
    </xf>
    <xf numFmtId="0" fontId="20" fillId="0" borderId="0" xfId="2" applyFont="1" applyFill="1" applyAlignment="1">
      <alignment vertical="top"/>
    </xf>
    <xf numFmtId="0" fontId="20" fillId="0" borderId="0" xfId="2" applyFont="1" applyFill="1" applyBorder="1" applyAlignment="1">
      <alignment vertical="top"/>
    </xf>
    <xf numFmtId="184" fontId="0" fillId="0" borderId="0" xfId="2" applyNumberFormat="1" applyFont="1" applyAlignment="1">
      <alignment vertical="top"/>
    </xf>
    <xf numFmtId="0" fontId="7" fillId="0" borderId="42" xfId="2" applyFont="1" applyFill="1" applyBorder="1" applyAlignment="1">
      <alignment wrapText="1"/>
    </xf>
    <xf numFmtId="172" fontId="7" fillId="0" borderId="42" xfId="14" applyNumberFormat="1" applyFont="1" applyFill="1" applyBorder="1" applyAlignment="1">
      <alignment horizontal="right" wrapText="1"/>
    </xf>
    <xf numFmtId="172" fontId="8" fillId="0" borderId="0" xfId="14" applyNumberFormat="1" applyFont="1" applyFill="1" applyBorder="1" applyAlignment="1">
      <alignment horizontal="center" wrapText="1"/>
    </xf>
    <xf numFmtId="0" fontId="4" fillId="0" borderId="0" xfId="2" applyNumberFormat="1" applyFont="1" applyFill="1" applyBorder="1" applyAlignment="1">
      <alignment vertical="top" wrapText="1"/>
    </xf>
    <xf numFmtId="0" fontId="0" fillId="0" borderId="0" xfId="2" applyFont="1" applyFill="1" applyAlignment="1" applyProtection="1">
      <alignment vertical="top"/>
    </xf>
    <xf numFmtId="0" fontId="0" fillId="0" borderId="0" xfId="2" applyFont="1" applyFill="1" applyProtection="1"/>
    <xf numFmtId="0" fontId="0" fillId="0" borderId="0" xfId="2" applyFont="1" applyFill="1" applyBorder="1" applyProtection="1"/>
    <xf numFmtId="0" fontId="7" fillId="0" borderId="55" xfId="2" applyFont="1" applyFill="1" applyBorder="1"/>
    <xf numFmtId="0" fontId="7" fillId="0" borderId="57" xfId="2" applyFont="1" applyFill="1" applyBorder="1"/>
    <xf numFmtId="0" fontId="60" fillId="0" borderId="0" xfId="2" applyFont="1" applyFill="1" applyAlignment="1" applyProtection="1">
      <alignment vertical="top"/>
    </xf>
    <xf numFmtId="0" fontId="8" fillId="0" borderId="18" xfId="2" applyFont="1" applyFill="1" applyBorder="1" applyAlignment="1" applyProtection="1">
      <alignment wrapText="1"/>
      <protection locked="0"/>
    </xf>
    <xf numFmtId="164" fontId="8" fillId="0" borderId="58" xfId="2" applyNumberFormat="1" applyFont="1" applyFill="1" applyBorder="1" applyAlignment="1">
      <alignment horizontal="right"/>
    </xf>
    <xf numFmtId="164" fontId="8" fillId="0" borderId="60" xfId="2" applyNumberFormat="1" applyFont="1" applyFill="1" applyBorder="1" applyAlignment="1">
      <alignment horizontal="right"/>
    </xf>
    <xf numFmtId="164" fontId="0" fillId="0" borderId="0" xfId="2" applyNumberFormat="1" applyFont="1" applyFill="1" applyProtection="1">
      <protection locked="0"/>
    </xf>
    <xf numFmtId="169" fontId="4" fillId="0" borderId="0" xfId="17" applyNumberFormat="1" applyFill="1" applyProtection="1">
      <protection locked="0"/>
    </xf>
    <xf numFmtId="164" fontId="8" fillId="0" borderId="0" xfId="2" applyNumberFormat="1" applyFont="1" applyFill="1" applyAlignment="1">
      <alignment horizontal="right"/>
    </xf>
    <xf numFmtId="164" fontId="8" fillId="0" borderId="0" xfId="2" applyNumberFormat="1" applyFont="1" applyFill="1" applyBorder="1" applyAlignment="1">
      <alignment horizontal="right"/>
    </xf>
    <xf numFmtId="0" fontId="22" fillId="0" borderId="0" xfId="2" applyFont="1" applyFill="1" applyAlignment="1" applyProtection="1">
      <alignment vertical="top" wrapText="1"/>
    </xf>
    <xf numFmtId="0" fontId="8" fillId="0" borderId="46" xfId="2" applyFont="1" applyFill="1" applyBorder="1" applyAlignment="1" applyProtection="1">
      <alignment wrapText="1"/>
      <protection locked="0"/>
    </xf>
    <xf numFmtId="164" fontId="8" fillId="0" borderId="25" xfId="2" applyNumberFormat="1" applyFont="1" applyFill="1" applyBorder="1"/>
    <xf numFmtId="164" fontId="8" fillId="0" borderId="89" xfId="2" applyNumberFormat="1" applyFont="1" applyFill="1" applyBorder="1"/>
    <xf numFmtId="164" fontId="8" fillId="0" borderId="89" xfId="2" applyNumberFormat="1" applyFont="1" applyFill="1" applyBorder="1" applyAlignment="1">
      <alignment horizontal="right"/>
    </xf>
    <xf numFmtId="164" fontId="8" fillId="0" borderId="93" xfId="2" applyNumberFormat="1" applyFont="1" applyFill="1" applyBorder="1" applyAlignment="1">
      <alignment horizontal="right"/>
    </xf>
    <xf numFmtId="164" fontId="8" fillId="0" borderId="58" xfId="2" applyNumberFormat="1" applyFont="1" applyFill="1" applyBorder="1"/>
    <xf numFmtId="0" fontId="8" fillId="0" borderId="5" xfId="2" applyFont="1" applyFill="1" applyBorder="1" applyAlignment="1" applyProtection="1">
      <alignment wrapText="1"/>
      <protection locked="0"/>
    </xf>
    <xf numFmtId="164" fontId="8" fillId="0" borderId="6" xfId="2" applyNumberFormat="1" applyFont="1" applyFill="1" applyBorder="1"/>
    <xf numFmtId="164" fontId="8" fillId="0" borderId="61" xfId="2" applyNumberFormat="1" applyFont="1" applyFill="1" applyBorder="1"/>
    <xf numFmtId="164" fontId="8" fillId="0" borderId="61" xfId="2" applyNumberFormat="1" applyFont="1" applyFill="1" applyBorder="1" applyAlignment="1">
      <alignment horizontal="right"/>
    </xf>
    <xf numFmtId="164" fontId="8" fillId="0" borderId="63" xfId="2" applyNumberFormat="1" applyFont="1" applyFill="1" applyBorder="1" applyAlignment="1">
      <alignment horizontal="right"/>
    </xf>
    <xf numFmtId="0" fontId="8" fillId="2" borderId="0" xfId="2" applyFont="1" applyFill="1" applyBorder="1" applyAlignment="1" applyProtection="1">
      <alignment wrapText="1"/>
      <protection locked="0"/>
    </xf>
    <xf numFmtId="164" fontId="8" fillId="2" borderId="0" xfId="2" applyNumberFormat="1" applyFont="1" applyFill="1" applyBorder="1" applyAlignment="1">
      <alignment horizontal="right"/>
    </xf>
    <xf numFmtId="0" fontId="0" fillId="2" borderId="0" xfId="2" applyFont="1" applyFill="1" applyBorder="1" applyProtection="1"/>
    <xf numFmtId="0" fontId="60" fillId="0" borderId="0" xfId="2" applyFont="1" applyFill="1" applyBorder="1" applyAlignment="1" applyProtection="1">
      <alignment vertical="top"/>
    </xf>
    <xf numFmtId="0" fontId="0" fillId="0" borderId="6" xfId="2" applyFont="1" applyFill="1" applyBorder="1" applyProtection="1">
      <protection locked="0"/>
    </xf>
    <xf numFmtId="0" fontId="7" fillId="0" borderId="29" xfId="2" applyFont="1" applyFill="1" applyBorder="1"/>
    <xf numFmtId="0" fontId="7" fillId="2" borderId="0" xfId="2" applyFont="1" applyFill="1" applyBorder="1"/>
    <xf numFmtId="0" fontId="8" fillId="0" borderId="18" xfId="2" applyFont="1" applyFill="1" applyBorder="1" applyAlignment="1">
      <alignment horizontal="left"/>
    </xf>
    <xf numFmtId="164" fontId="8" fillId="2" borderId="18" xfId="2" applyNumberFormat="1" applyFont="1" applyFill="1" applyBorder="1" applyAlignment="1">
      <alignment horizontal="center"/>
    </xf>
    <xf numFmtId="164" fontId="8" fillId="2" borderId="19" xfId="2" applyNumberFormat="1" applyFont="1" applyFill="1" applyBorder="1"/>
    <xf numFmtId="164" fontId="36" fillId="2" borderId="18" xfId="2" applyNumberFormat="1" applyFont="1" applyFill="1" applyBorder="1" applyProtection="1"/>
    <xf numFmtId="164" fontId="36" fillId="2" borderId="0" xfId="2" applyNumberFormat="1" applyFont="1" applyFill="1" applyBorder="1" applyProtection="1"/>
    <xf numFmtId="164" fontId="36" fillId="2" borderId="19" xfId="2" applyNumberFormat="1" applyFont="1" applyFill="1" applyBorder="1" applyProtection="1"/>
    <xf numFmtId="164" fontId="8" fillId="2" borderId="0" xfId="2" applyNumberFormat="1" applyFont="1" applyFill="1" applyBorder="1" applyAlignment="1">
      <alignment horizontal="center"/>
    </xf>
    <xf numFmtId="164" fontId="8" fillId="2" borderId="19" xfId="2" applyNumberFormat="1" applyFont="1" applyFill="1" applyBorder="1" applyProtection="1"/>
    <xf numFmtId="164" fontId="12" fillId="2" borderId="18" xfId="2" applyNumberFormat="1" applyFont="1" applyFill="1" applyBorder="1" applyProtection="1"/>
    <xf numFmtId="164" fontId="12" fillId="2" borderId="0" xfId="2" applyNumberFormat="1" applyFont="1" applyFill="1" applyBorder="1" applyProtection="1"/>
    <xf numFmtId="164" fontId="12" fillId="2" borderId="19" xfId="2" applyNumberFormat="1" applyFont="1" applyFill="1" applyBorder="1" applyProtection="1"/>
    <xf numFmtId="0" fontId="8" fillId="0" borderId="5" xfId="2" applyFont="1" applyFill="1" applyBorder="1" applyAlignment="1">
      <alignment horizontal="left"/>
    </xf>
    <xf numFmtId="164" fontId="8" fillId="0" borderId="90" xfId="2" applyNumberFormat="1" applyFont="1" applyFill="1" applyBorder="1" applyAlignment="1">
      <alignment horizontal="center"/>
    </xf>
    <xf numFmtId="164" fontId="8" fillId="0" borderId="61" xfId="2" applyNumberFormat="1" applyFont="1" applyFill="1" applyBorder="1" applyAlignment="1">
      <alignment horizontal="center"/>
    </xf>
    <xf numFmtId="164" fontId="8" fillId="0" borderId="62" xfId="2" applyNumberFormat="1" applyFont="1" applyFill="1" applyBorder="1" applyAlignment="1">
      <alignment horizontal="center"/>
    </xf>
    <xf numFmtId="164" fontId="8" fillId="0" borderId="5" xfId="2" applyNumberFormat="1" applyFont="1" applyFill="1" applyBorder="1" applyAlignment="1">
      <alignment horizontal="center"/>
    </xf>
    <xf numFmtId="0" fontId="0" fillId="0" borderId="0" xfId="2" applyNumberFormat="1" applyFont="1" applyFill="1" applyAlignment="1" applyProtection="1">
      <alignment vertical="top"/>
    </xf>
    <xf numFmtId="0" fontId="22" fillId="0" borderId="0" xfId="2" applyFont="1" applyFill="1"/>
    <xf numFmtId="0" fontId="15" fillId="0" borderId="0" xfId="2" applyFont="1" applyFill="1" applyBorder="1" applyAlignment="1">
      <alignment wrapText="1"/>
    </xf>
    <xf numFmtId="0" fontId="15" fillId="0" borderId="0" xfId="2" applyFont="1" applyFill="1" applyBorder="1"/>
    <xf numFmtId="0" fontId="11" fillId="0" borderId="4" xfId="2" applyFont="1" applyFill="1" applyBorder="1"/>
    <xf numFmtId="0" fontId="15" fillId="0" borderId="26" xfId="2" applyFont="1" applyFill="1" applyBorder="1"/>
    <xf numFmtId="0" fontId="8" fillId="0" borderId="26" xfId="2" applyFont="1" applyFill="1" applyBorder="1"/>
    <xf numFmtId="0" fontId="7" fillId="0" borderId="56" xfId="2" applyFont="1" applyFill="1" applyBorder="1"/>
    <xf numFmtId="0" fontId="60" fillId="0" borderId="0" xfId="2" applyFont="1" applyFill="1" applyBorder="1" applyAlignment="1">
      <alignment horizontal="right" vertical="top" wrapText="1"/>
    </xf>
    <xf numFmtId="164" fontId="8" fillId="0" borderId="91" xfId="2" applyNumberFormat="1" applyFont="1" applyFill="1" applyBorder="1"/>
    <xf numFmtId="0" fontId="8" fillId="0" borderId="5" xfId="15" applyFont="1" applyFill="1" applyBorder="1"/>
    <xf numFmtId="0" fontId="8" fillId="0" borderId="68" xfId="2" applyFont="1" applyFill="1" applyBorder="1"/>
    <xf numFmtId="164" fontId="8" fillId="0" borderId="30" xfId="2" applyNumberFormat="1" applyFont="1" applyFill="1" applyBorder="1"/>
    <xf numFmtId="164" fontId="8" fillId="0" borderId="95" xfId="2" applyNumberFormat="1" applyFont="1" applyFill="1" applyBorder="1"/>
    <xf numFmtId="0" fontId="7" fillId="0" borderId="19" xfId="2" applyFont="1" applyFill="1" applyBorder="1" applyAlignment="1">
      <alignment horizontal="right"/>
    </xf>
    <xf numFmtId="0" fontId="6" fillId="0" borderId="95" xfId="2" applyFont="1" applyFill="1" applyBorder="1"/>
    <xf numFmtId="0" fontId="7" fillId="0" borderId="18" xfId="2" applyFont="1" applyFill="1" applyBorder="1" applyAlignment="1">
      <alignment horizontal="left" wrapText="1"/>
    </xf>
    <xf numFmtId="0" fontId="6" fillId="0" borderId="19" xfId="2" applyFont="1" applyFill="1" applyBorder="1"/>
    <xf numFmtId="0" fontId="22" fillId="0" borderId="0" xfId="2" applyFont="1" applyFill="1" applyAlignment="1">
      <alignment vertical="top" wrapText="1"/>
    </xf>
    <xf numFmtId="0" fontId="60" fillId="0" borderId="0" xfId="2" applyFont="1" applyFill="1" applyAlignment="1">
      <alignment vertical="top"/>
    </xf>
    <xf numFmtId="0" fontId="8" fillId="0" borderId="33" xfId="2" applyFont="1" applyFill="1" applyBorder="1" applyAlignment="1">
      <alignment wrapText="1"/>
    </xf>
    <xf numFmtId="0" fontId="6" fillId="0" borderId="23" xfId="2" applyFont="1" applyFill="1" applyBorder="1"/>
    <xf numFmtId="0" fontId="6" fillId="0" borderId="41" xfId="2" applyFont="1" applyFill="1" applyBorder="1"/>
    <xf numFmtId="0" fontId="7" fillId="0" borderId="18" xfId="2" applyFont="1" applyFill="1" applyBorder="1" applyAlignment="1">
      <alignment wrapText="1"/>
    </xf>
    <xf numFmtId="0" fontId="8" fillId="0" borderId="25" xfId="2" applyFont="1" applyFill="1" applyBorder="1"/>
    <xf numFmtId="0" fontId="6" fillId="0" borderId="25" xfId="2" applyFont="1" applyFill="1" applyBorder="1"/>
    <xf numFmtId="0" fontId="8" fillId="0" borderId="23" xfId="2" applyFont="1" applyFill="1" applyBorder="1"/>
    <xf numFmtId="0" fontId="6" fillId="0" borderId="45" xfId="2" applyFont="1" applyFill="1" applyBorder="1"/>
    <xf numFmtId="1" fontId="8" fillId="0" borderId="0" xfId="2" applyNumberFormat="1" applyFont="1" applyFill="1" applyBorder="1"/>
    <xf numFmtId="0" fontId="15" fillId="0" borderId="4" xfId="2" applyFont="1" applyFill="1" applyBorder="1" applyAlignment="1">
      <alignment wrapText="1"/>
    </xf>
    <xf numFmtId="0" fontId="78" fillId="0" borderId="26" xfId="2" applyFont="1" applyFill="1" applyBorder="1"/>
    <xf numFmtId="0" fontId="98" fillId="0" borderId="26" xfId="2" applyFont="1" applyFill="1" applyBorder="1"/>
    <xf numFmtId="0" fontId="98" fillId="0" borderId="64" xfId="2" applyFont="1" applyFill="1" applyBorder="1"/>
    <xf numFmtId="0" fontId="98" fillId="0" borderId="95" xfId="2" applyFont="1" applyFill="1" applyBorder="1"/>
    <xf numFmtId="1" fontId="8" fillId="0" borderId="21" xfId="2" applyNumberFormat="1" applyFont="1" applyFill="1" applyBorder="1"/>
    <xf numFmtId="1" fontId="8" fillId="0" borderId="6" xfId="2" applyNumberFormat="1" applyFont="1" applyFill="1" applyBorder="1"/>
    <xf numFmtId="1" fontId="8" fillId="0" borderId="62" xfId="2" applyNumberFormat="1" applyFont="1" applyFill="1" applyBorder="1"/>
    <xf numFmtId="0" fontId="90" fillId="0" borderId="0" xfId="2" applyFont="1" applyFill="1" applyAlignment="1">
      <alignment vertical="top"/>
    </xf>
    <xf numFmtId="0" fontId="90" fillId="0" borderId="0" xfId="2" applyFont="1" applyFill="1"/>
    <xf numFmtId="0" fontId="6" fillId="0" borderId="30" xfId="2" applyFont="1" applyFill="1" applyBorder="1"/>
    <xf numFmtId="0" fontId="4" fillId="0" borderId="0" xfId="2" applyNumberFormat="1" applyFont="1" applyFill="1" applyBorder="1" applyAlignment="1">
      <alignment horizontal="left" vertical="top" wrapText="1"/>
    </xf>
    <xf numFmtId="0" fontId="4" fillId="0" borderId="0" xfId="2" applyFont="1" applyFill="1" applyBorder="1" applyAlignment="1">
      <alignment horizontal="left" wrapText="1"/>
    </xf>
    <xf numFmtId="0" fontId="4" fillId="2" borderId="15" xfId="2" applyFont="1" applyFill="1" applyBorder="1" applyAlignment="1">
      <alignment horizontal="left" vertical="top" wrapText="1"/>
    </xf>
    <xf numFmtId="0" fontId="4" fillId="2" borderId="16" xfId="2" applyFont="1" applyFill="1" applyBorder="1" applyAlignment="1">
      <alignment horizontal="left" vertical="top" wrapText="1"/>
    </xf>
    <xf numFmtId="0" fontId="4" fillId="2" borderId="17" xfId="2" applyFont="1" applyFill="1" applyBorder="1" applyAlignment="1">
      <alignment horizontal="left" vertical="top" wrapText="1"/>
    </xf>
    <xf numFmtId="0" fontId="99" fillId="0" borderId="26" xfId="2" applyFont="1" applyFill="1" applyBorder="1"/>
    <xf numFmtId="0" fontId="7" fillId="0" borderId="26" xfId="2" applyFont="1" applyFill="1" applyBorder="1"/>
    <xf numFmtId="0" fontId="8" fillId="0" borderId="6" xfId="15" applyFont="1" applyFill="1" applyBorder="1"/>
    <xf numFmtId="0" fontId="15" fillId="0" borderId="0" xfId="2" applyFont="1" applyFill="1" applyBorder="1" applyAlignment="1"/>
    <xf numFmtId="0" fontId="15" fillId="0" borderId="0" xfId="2" applyFont="1" applyFill="1" applyBorder="1" applyAlignment="1">
      <alignment horizontal="left"/>
    </xf>
    <xf numFmtId="0" fontId="15" fillId="0" borderId="0" xfId="2" applyFont="1" applyFill="1" applyBorder="1" applyAlignment="1">
      <alignment horizontal="right"/>
    </xf>
    <xf numFmtId="0" fontId="8" fillId="0" borderId="26" xfId="2" applyFont="1" applyFill="1" applyBorder="1" applyAlignment="1">
      <alignment horizontal="right"/>
    </xf>
    <xf numFmtId="0" fontId="7" fillId="0" borderId="55" xfId="2" applyFont="1" applyFill="1" applyBorder="1" applyAlignment="1">
      <alignment horizontal="right"/>
    </xf>
    <xf numFmtId="0" fontId="7" fillId="0" borderId="56" xfId="2" applyFont="1" applyFill="1" applyBorder="1" applyAlignment="1">
      <alignment horizontal="right"/>
    </xf>
    <xf numFmtId="0" fontId="7" fillId="2" borderId="56" xfId="2" applyFont="1" applyFill="1" applyBorder="1" applyAlignment="1">
      <alignment horizontal="right"/>
    </xf>
    <xf numFmtId="0" fontId="7" fillId="2" borderId="57" xfId="2" applyFont="1" applyFill="1" applyBorder="1" applyAlignment="1">
      <alignment horizontal="right"/>
    </xf>
    <xf numFmtId="0" fontId="31" fillId="0" borderId="0" xfId="2" applyFont="1" applyFill="1" applyAlignment="1">
      <alignment vertical="top"/>
    </xf>
    <xf numFmtId="0" fontId="100" fillId="0" borderId="0" xfId="2" applyFont="1" applyFill="1" applyAlignment="1">
      <alignment horizontal="right"/>
    </xf>
    <xf numFmtId="0" fontId="8" fillId="0" borderId="6" xfId="2" applyFont="1" applyFill="1" applyBorder="1" applyAlignment="1">
      <alignment horizontal="right" wrapText="1"/>
    </xf>
    <xf numFmtId="2" fontId="8" fillId="2" borderId="55" xfId="2" applyNumberFormat="1" applyFont="1" applyFill="1" applyBorder="1" applyAlignment="1">
      <alignment horizontal="right"/>
    </xf>
    <xf numFmtId="2" fontId="8" fillId="2" borderId="57" xfId="2" applyNumberFormat="1" applyFont="1" applyFill="1" applyBorder="1" applyAlignment="1">
      <alignment horizontal="right"/>
    </xf>
    <xf numFmtId="2" fontId="8" fillId="2" borderId="56" xfId="2" applyNumberFormat="1" applyFont="1" applyFill="1" applyBorder="1" applyAlignment="1">
      <alignment horizontal="right"/>
    </xf>
    <xf numFmtId="172" fontId="8" fillId="2" borderId="55" xfId="7" applyNumberFormat="1" applyFont="1" applyFill="1" applyBorder="1" applyAlignment="1">
      <alignment horizontal="right"/>
    </xf>
    <xf numFmtId="2" fontId="8" fillId="0" borderId="0" xfId="14" applyNumberFormat="1" applyFont="1" applyFill="1" applyBorder="1" applyAlignment="1">
      <alignment horizontal="right"/>
    </xf>
    <xf numFmtId="2" fontId="8" fillId="0" borderId="0" xfId="2" applyNumberFormat="1" applyFont="1" applyFill="1" applyBorder="1" applyAlignment="1">
      <alignment horizontal="right"/>
    </xf>
    <xf numFmtId="0" fontId="6" fillId="0" borderId="86" xfId="2" applyFont="1" applyFill="1" applyBorder="1"/>
    <xf numFmtId="0" fontId="7" fillId="0" borderId="87" xfId="2" applyFont="1" applyFill="1" applyBorder="1" applyAlignment="1">
      <alignment horizontal="right" wrapText="1"/>
    </xf>
    <xf numFmtId="0" fontId="7" fillId="0" borderId="74" xfId="2" applyFont="1" applyFill="1" applyBorder="1" applyAlignment="1">
      <alignment horizontal="right" wrapText="1"/>
    </xf>
    <xf numFmtId="0" fontId="7" fillId="0" borderId="75" xfId="2" applyFont="1" applyFill="1" applyBorder="1" applyAlignment="1">
      <alignment horizontal="right" wrapText="1"/>
    </xf>
    <xf numFmtId="0" fontId="7" fillId="0" borderId="88" xfId="2" applyFont="1" applyFill="1" applyBorder="1" applyAlignment="1">
      <alignment horizontal="right" wrapText="1"/>
    </xf>
    <xf numFmtId="0" fontId="8" fillId="0" borderId="0" xfId="2" applyFont="1" applyFill="1" applyBorder="1" applyAlignment="1">
      <alignment horizontal="justify"/>
    </xf>
    <xf numFmtId="0" fontId="8" fillId="0" borderId="28" xfId="13" applyFont="1" applyFill="1" applyBorder="1" applyAlignment="1">
      <alignment horizontal="right"/>
    </xf>
    <xf numFmtId="0" fontId="8" fillId="0" borderId="0" xfId="13" applyFont="1" applyFill="1" applyBorder="1" applyAlignment="1">
      <alignment horizontal="right"/>
    </xf>
    <xf numFmtId="0" fontId="8" fillId="0" borderId="70" xfId="13" applyFont="1" applyFill="1" applyBorder="1" applyAlignment="1">
      <alignment horizontal="right"/>
    </xf>
    <xf numFmtId="0" fontId="8" fillId="0" borderId="89" xfId="13" applyFont="1" applyFill="1" applyBorder="1" applyAlignment="1">
      <alignment horizontal="right"/>
    </xf>
    <xf numFmtId="0" fontId="8" fillId="0" borderId="96" xfId="13" applyFont="1" applyFill="1" applyBorder="1" applyAlignment="1">
      <alignment horizontal="right"/>
    </xf>
    <xf numFmtId="0" fontId="8" fillId="0" borderId="25" xfId="13" applyFont="1" applyFill="1" applyBorder="1" applyAlignment="1">
      <alignment horizontal="right"/>
    </xf>
    <xf numFmtId="184" fontId="8" fillId="0" borderId="25" xfId="2" applyNumberFormat="1" applyFont="1" applyFill="1" applyBorder="1" applyAlignment="1">
      <alignment horizontal="right"/>
    </xf>
    <xf numFmtId="184" fontId="8" fillId="0" borderId="45" xfId="2" applyNumberFormat="1" applyFont="1" applyFill="1" applyBorder="1" applyAlignment="1">
      <alignment horizontal="right"/>
    </xf>
    <xf numFmtId="0" fontId="8" fillId="0" borderId="58" xfId="13" applyFont="1" applyFill="1" applyBorder="1" applyAlignment="1">
      <alignment horizontal="right"/>
    </xf>
    <xf numFmtId="0" fontId="8" fillId="0" borderId="21" xfId="13" applyFont="1" applyFill="1" applyBorder="1" applyAlignment="1">
      <alignment horizontal="right"/>
    </xf>
    <xf numFmtId="184" fontId="8" fillId="0" borderId="19" xfId="2" applyNumberFormat="1" applyFont="1" applyFill="1" applyBorder="1" applyAlignment="1">
      <alignment horizontal="right"/>
    </xf>
    <xf numFmtId="0" fontId="8" fillId="0" borderId="24" xfId="13" applyFont="1" applyFill="1" applyBorder="1" applyAlignment="1">
      <alignment horizontal="right"/>
    </xf>
    <xf numFmtId="0" fontId="8" fillId="0" borderId="84" xfId="13" applyFont="1" applyFill="1" applyBorder="1" applyAlignment="1">
      <alignment horizontal="right"/>
    </xf>
    <xf numFmtId="0" fontId="8" fillId="0" borderId="22" xfId="13" applyFont="1" applyFill="1" applyBorder="1" applyAlignment="1">
      <alignment horizontal="right"/>
    </xf>
    <xf numFmtId="0" fontId="8" fillId="0" borderId="23" xfId="13" applyFont="1" applyFill="1" applyBorder="1" applyAlignment="1">
      <alignment horizontal="right"/>
    </xf>
    <xf numFmtId="184" fontId="8" fillId="0" borderId="41" xfId="2" applyNumberFormat="1" applyFont="1" applyFill="1" applyBorder="1" applyAlignment="1">
      <alignment horizontal="right"/>
    </xf>
    <xf numFmtId="0" fontId="8" fillId="0" borderId="42" xfId="2" applyFont="1" applyFill="1" applyBorder="1" applyAlignment="1">
      <alignment wrapText="1"/>
    </xf>
    <xf numFmtId="2" fontId="8" fillId="0" borderId="99" xfId="14" applyNumberFormat="1" applyFont="1" applyFill="1" applyBorder="1" applyAlignment="1">
      <alignment horizontal="right"/>
    </xf>
    <xf numFmtId="2" fontId="8" fillId="0" borderId="42" xfId="14" applyNumberFormat="1" applyFont="1" applyFill="1" applyBorder="1" applyAlignment="1">
      <alignment horizontal="right"/>
    </xf>
    <xf numFmtId="2" fontId="8" fillId="0" borderId="81" xfId="14" applyNumberFormat="1" applyFont="1" applyFill="1" applyBorder="1" applyAlignment="1">
      <alignment horizontal="right"/>
    </xf>
    <xf numFmtId="2" fontId="8" fillId="0" borderId="100" xfId="14" applyNumberFormat="1" applyFont="1" applyFill="1" applyBorder="1" applyAlignment="1">
      <alignment horizontal="right"/>
    </xf>
    <xf numFmtId="2" fontId="8" fillId="0" borderId="43" xfId="14" applyNumberFormat="1" applyFont="1" applyFill="1" applyBorder="1" applyAlignment="1">
      <alignment horizontal="right"/>
    </xf>
    <xf numFmtId="0" fontId="15" fillId="0" borderId="0" xfId="2" applyFont="1" applyFill="1"/>
    <xf numFmtId="0" fontId="15" fillId="0" borderId="0" xfId="2" applyFont="1" applyFill="1" applyAlignment="1">
      <alignment horizontal="right"/>
    </xf>
    <xf numFmtId="0" fontId="6" fillId="0" borderId="0" xfId="2" applyFont="1" applyFill="1" applyAlignment="1">
      <alignment horizontal="right"/>
    </xf>
    <xf numFmtId="0" fontId="6" fillId="0" borderId="0" xfId="2" applyFont="1" applyFill="1" applyBorder="1" applyAlignment="1">
      <alignment horizontal="right"/>
    </xf>
    <xf numFmtId="0" fontId="101" fillId="0" borderId="0" xfId="2" applyFont="1" applyFill="1" applyBorder="1" applyAlignment="1">
      <alignment horizontal="left"/>
    </xf>
    <xf numFmtId="0" fontId="8" fillId="0" borderId="86" xfId="2" applyFont="1" applyFill="1" applyBorder="1" applyAlignment="1">
      <alignment horizontal="right" wrapText="1"/>
    </xf>
    <xf numFmtId="0" fontId="8" fillId="0" borderId="88" xfId="2" applyFont="1" applyFill="1" applyBorder="1" applyAlignment="1">
      <alignment horizontal="right" wrapText="1"/>
    </xf>
    <xf numFmtId="0" fontId="8" fillId="0" borderId="19" xfId="13" applyFont="1" applyFill="1" applyBorder="1" applyAlignment="1">
      <alignment horizontal="right"/>
    </xf>
    <xf numFmtId="2" fontId="8" fillId="0" borderId="42" xfId="2" applyNumberFormat="1" applyFont="1" applyFill="1" applyBorder="1" applyAlignment="1">
      <alignment horizontal="right"/>
    </xf>
    <xf numFmtId="2" fontId="8" fillId="0" borderId="43" xfId="2" applyNumberFormat="1" applyFont="1" applyFill="1" applyBorder="1" applyAlignment="1">
      <alignment horizontal="right"/>
    </xf>
    <xf numFmtId="2" fontId="8" fillId="0" borderId="42" xfId="2" applyNumberFormat="1" applyFont="1" applyFill="1" applyBorder="1" applyAlignment="1">
      <alignment horizontal="right" wrapText="1"/>
    </xf>
    <xf numFmtId="2" fontId="8" fillId="0" borderId="43" xfId="2" applyNumberFormat="1" applyFont="1" applyFill="1" applyBorder="1" applyAlignment="1">
      <alignment horizontal="right" wrapText="1"/>
    </xf>
    <xf numFmtId="2" fontId="8" fillId="0" borderId="0" xfId="2" applyNumberFormat="1" applyFont="1" applyFill="1" applyBorder="1" applyAlignment="1">
      <alignment horizontal="right" wrapText="1"/>
    </xf>
    <xf numFmtId="2" fontId="8" fillId="0" borderId="25" xfId="2" applyNumberFormat="1" applyFont="1" applyFill="1" applyBorder="1" applyAlignment="1">
      <alignment horizontal="right" wrapText="1"/>
    </xf>
    <xf numFmtId="2" fontId="8" fillId="0" borderId="45" xfId="2" applyNumberFormat="1" applyFont="1" applyFill="1" applyBorder="1" applyAlignment="1">
      <alignment horizontal="right" wrapText="1"/>
    </xf>
    <xf numFmtId="2" fontId="8" fillId="0" borderId="19" xfId="2" applyNumberFormat="1" applyFont="1" applyFill="1" applyBorder="1" applyAlignment="1">
      <alignment horizontal="right" wrapText="1"/>
    </xf>
    <xf numFmtId="0" fontId="101" fillId="0" borderId="0" xfId="2" applyFont="1" applyFill="1" applyBorder="1" applyAlignment="1">
      <alignment horizontal="right"/>
    </xf>
    <xf numFmtId="2" fontId="8" fillId="0" borderId="0" xfId="2" applyNumberFormat="1" applyFont="1" applyFill="1"/>
    <xf numFmtId="2" fontId="8" fillId="3" borderId="55" xfId="2" applyNumberFormat="1" applyFont="1" applyFill="1" applyBorder="1" applyAlignment="1">
      <alignment horizontal="right"/>
    </xf>
    <xf numFmtId="2" fontId="8" fillId="3" borderId="57" xfId="2" applyNumberFormat="1" applyFont="1" applyFill="1" applyBorder="1" applyAlignment="1">
      <alignment horizontal="right"/>
    </xf>
    <xf numFmtId="2" fontId="8" fillId="3" borderId="56" xfId="2" applyNumberFormat="1" applyFont="1" applyFill="1" applyBorder="1" applyAlignment="1">
      <alignment horizontal="right"/>
    </xf>
    <xf numFmtId="0" fontId="7" fillId="0" borderId="2" xfId="2" applyFont="1" applyFill="1" applyBorder="1" applyAlignment="1">
      <alignment horizontal="right"/>
    </xf>
    <xf numFmtId="0" fontId="7" fillId="0" borderId="27" xfId="2" applyFont="1" applyFill="1" applyBorder="1" applyAlignment="1">
      <alignment horizontal="right"/>
    </xf>
    <xf numFmtId="184" fontId="4" fillId="0" borderId="0" xfId="2" applyNumberFormat="1" applyFont="1" applyFill="1" applyAlignment="1">
      <alignment vertical="top"/>
    </xf>
    <xf numFmtId="169" fontId="8" fillId="0" borderId="2" xfId="2" applyNumberFormat="1" applyFont="1" applyFill="1" applyBorder="1" applyAlignment="1">
      <alignment horizontal="right"/>
    </xf>
    <xf numFmtId="169" fontId="11" fillId="2" borderId="2" xfId="2" applyNumberFormat="1" applyFont="1" applyFill="1" applyBorder="1" applyAlignment="1">
      <alignment horizontal="right"/>
    </xf>
    <xf numFmtId="169" fontId="11" fillId="2" borderId="3" xfId="2" applyNumberFormat="1" applyFont="1" applyFill="1" applyBorder="1" applyAlignment="1">
      <alignment horizontal="right"/>
    </xf>
    <xf numFmtId="184" fontId="8" fillId="0" borderId="0" xfId="2" applyNumberFormat="1" applyFont="1" applyFill="1"/>
    <xf numFmtId="169" fontId="8" fillId="0" borderId="0" xfId="2" applyNumberFormat="1" applyFont="1" applyFill="1" applyBorder="1" applyAlignment="1">
      <alignment horizontal="right"/>
    </xf>
    <xf numFmtId="0" fontId="10" fillId="0" borderId="6" xfId="15" applyFont="1" applyFill="1" applyBorder="1" applyAlignment="1">
      <alignment horizontal="left"/>
    </xf>
    <xf numFmtId="0" fontId="10" fillId="0" borderId="6" xfId="15" applyFont="1" applyFill="1" applyBorder="1" applyAlignment="1">
      <alignment horizontal="right"/>
    </xf>
    <xf numFmtId="0" fontId="59" fillId="0" borderId="6" xfId="15" applyFont="1" applyFill="1" applyBorder="1" applyAlignment="1">
      <alignment horizontal="right"/>
    </xf>
    <xf numFmtId="0" fontId="59" fillId="0" borderId="0" xfId="15" applyFont="1" applyFill="1" applyBorder="1" applyAlignment="1">
      <alignment horizontal="right"/>
    </xf>
    <xf numFmtId="0" fontId="10" fillId="0" borderId="2" xfId="15" applyFont="1" applyFill="1" applyBorder="1" applyAlignment="1">
      <alignment horizontal="left"/>
    </xf>
    <xf numFmtId="0" fontId="10" fillId="0" borderId="2" xfId="15" applyFont="1" applyFill="1" applyBorder="1" applyAlignment="1">
      <alignment horizontal="right"/>
    </xf>
    <xf numFmtId="0" fontId="7" fillId="0" borderId="57" xfId="2" applyFont="1" applyFill="1" applyBorder="1" applyAlignment="1">
      <alignment horizontal="right"/>
    </xf>
    <xf numFmtId="0" fontId="11" fillId="2" borderId="0" xfId="0" applyNumberFormat="1" applyFont="1" applyFill="1" applyBorder="1" applyAlignment="1"/>
    <xf numFmtId="0" fontId="11" fillId="2" borderId="6" xfId="0" applyNumberFormat="1" applyFont="1" applyFill="1" applyBorder="1" applyAlignment="1"/>
    <xf numFmtId="0" fontId="14" fillId="0" borderId="2" xfId="2" applyFont="1" applyFill="1" applyBorder="1"/>
    <xf numFmtId="0" fontId="14" fillId="0" borderId="55" xfId="2" applyFont="1" applyFill="1" applyBorder="1" applyAlignment="1">
      <alignment horizontal="right"/>
    </xf>
    <xf numFmtId="0" fontId="14" fillId="0" borderId="55" xfId="2" applyFont="1" applyFill="1" applyBorder="1"/>
    <xf numFmtId="0" fontId="14" fillId="0" borderId="57" xfId="2" applyFont="1" applyFill="1" applyBorder="1"/>
    <xf numFmtId="0" fontId="14" fillId="0" borderId="56" xfId="2" applyFont="1" applyFill="1" applyBorder="1"/>
    <xf numFmtId="0" fontId="14" fillId="0" borderId="29" xfId="2" applyFont="1" applyFill="1" applyBorder="1"/>
    <xf numFmtId="0" fontId="60" fillId="0" borderId="0" xfId="2" applyFont="1" applyFill="1" applyAlignment="1"/>
    <xf numFmtId="0" fontId="104" fillId="0" borderId="0" xfId="2" applyFont="1" applyFill="1" applyAlignment="1"/>
    <xf numFmtId="2" fontId="8" fillId="0" borderId="59" xfId="2" applyNumberFormat="1" applyFont="1" applyFill="1" applyBorder="1" applyAlignment="1">
      <alignment horizontal="right" vertical="top"/>
    </xf>
    <xf numFmtId="1" fontId="11" fillId="0" borderId="58" xfId="2" applyNumberFormat="1" applyFont="1" applyFill="1" applyBorder="1" applyAlignment="1">
      <alignment horizontal="right" vertical="top"/>
    </xf>
    <xf numFmtId="1" fontId="11" fillId="0" borderId="58" xfId="2" applyNumberFormat="1" applyFont="1" applyFill="1" applyBorder="1"/>
    <xf numFmtId="1" fontId="11" fillId="0" borderId="21" xfId="2" applyNumberFormat="1" applyFont="1" applyFill="1" applyBorder="1"/>
    <xf numFmtId="1" fontId="11" fillId="0" borderId="60" xfId="2" applyNumberFormat="1" applyFont="1" applyFill="1" applyBorder="1"/>
    <xf numFmtId="2" fontId="11" fillId="0" borderId="58" xfId="2" applyNumberFormat="1" applyFont="1" applyFill="1" applyBorder="1" applyAlignment="1">
      <alignment horizontal="right" vertical="top"/>
    </xf>
    <xf numFmtId="2" fontId="11" fillId="0" borderId="61" xfId="2" applyNumberFormat="1" applyFont="1" applyFill="1" applyBorder="1" applyAlignment="1">
      <alignment horizontal="right" vertical="top"/>
    </xf>
    <xf numFmtId="1" fontId="11" fillId="0" borderId="61" xfId="2" applyNumberFormat="1" applyFont="1" applyFill="1" applyBorder="1" applyAlignment="1">
      <alignment horizontal="right" vertical="top"/>
    </xf>
    <xf numFmtId="1" fontId="11" fillId="0" borderId="61" xfId="2" applyNumberFormat="1" applyFont="1" applyFill="1" applyBorder="1"/>
    <xf numFmtId="1" fontId="11" fillId="0" borderId="62" xfId="2" applyNumberFormat="1" applyFont="1" applyFill="1" applyBorder="1"/>
    <xf numFmtId="2" fontId="11" fillId="0" borderId="0" xfId="2" applyNumberFormat="1" applyFont="1" applyFill="1" applyBorder="1" applyAlignment="1">
      <alignment horizontal="right" vertical="top"/>
    </xf>
    <xf numFmtId="1" fontId="11" fillId="0" borderId="0" xfId="2" applyNumberFormat="1" applyFont="1" applyFill="1" applyBorder="1" applyAlignment="1">
      <alignment horizontal="right" vertical="top"/>
    </xf>
    <xf numFmtId="1" fontId="11" fillId="0" borderId="0" xfId="2" applyNumberFormat="1" applyFont="1" applyFill="1" applyBorder="1"/>
    <xf numFmtId="2" fontId="8" fillId="0" borderId="55" xfId="2" applyNumberFormat="1" applyFont="1" applyFill="1" applyBorder="1" applyAlignment="1">
      <alignment horizontal="right" vertical="top"/>
    </xf>
    <xf numFmtId="1" fontId="11" fillId="0" borderId="55" xfId="2" applyNumberFormat="1" applyFont="1" applyFill="1" applyBorder="1" applyAlignment="1">
      <alignment horizontal="right" vertical="top"/>
    </xf>
    <xf numFmtId="2" fontId="11" fillId="0" borderId="55" xfId="2" applyNumberFormat="1" applyFont="1" applyFill="1" applyBorder="1"/>
    <xf numFmtId="2" fontId="11" fillId="0" borderId="56" xfId="2" applyNumberFormat="1" applyFont="1" applyFill="1" applyBorder="1"/>
    <xf numFmtId="2" fontId="11" fillId="0" borderId="57" xfId="2" applyNumberFormat="1" applyFont="1" applyFill="1" applyBorder="1"/>
    <xf numFmtId="0" fontId="3" fillId="0" borderId="0" xfId="15" applyFont="1" applyFill="1" applyBorder="1"/>
    <xf numFmtId="0" fontId="4" fillId="0" borderId="0" xfId="15" applyFill="1" applyBorder="1"/>
    <xf numFmtId="0" fontId="105" fillId="0" borderId="0" xfId="2" applyFont="1" applyFill="1" applyAlignment="1">
      <alignment vertical="top"/>
    </xf>
    <xf numFmtId="0" fontId="107" fillId="0" borderId="0" xfId="32" applyFont="1" applyFill="1" applyAlignment="1" applyProtection="1">
      <alignment vertical="top"/>
    </xf>
    <xf numFmtId="0" fontId="8" fillId="0" borderId="0" xfId="2" applyFont="1" applyFill="1" applyAlignment="1">
      <alignment wrapText="1"/>
    </xf>
    <xf numFmtId="0" fontId="6" fillId="0" borderId="0" xfId="2" applyFont="1" applyFill="1" applyAlignment="1">
      <alignment wrapText="1"/>
    </xf>
    <xf numFmtId="0" fontId="7" fillId="0" borderId="101" xfId="2" applyFont="1" applyFill="1" applyBorder="1"/>
    <xf numFmtId="0" fontId="7" fillId="0" borderId="102" xfId="2" applyFont="1" applyFill="1" applyBorder="1"/>
    <xf numFmtId="0" fontId="14" fillId="0" borderId="48" xfId="2" applyFont="1" applyFill="1" applyBorder="1"/>
    <xf numFmtId="0" fontId="14" fillId="0" borderId="48" xfId="2" applyFont="1" applyFill="1" applyBorder="1" applyAlignment="1">
      <alignment horizontal="right"/>
    </xf>
    <xf numFmtId="0" fontId="14" fillId="0" borderId="49" xfId="2" applyFont="1" applyFill="1" applyBorder="1" applyAlignment="1">
      <alignment horizontal="right"/>
    </xf>
    <xf numFmtId="0" fontId="8" fillId="0" borderId="103" xfId="2" applyFont="1" applyFill="1" applyBorder="1"/>
    <xf numFmtId="0" fontId="8" fillId="0" borderId="3" xfId="2" applyFont="1" applyFill="1" applyBorder="1"/>
    <xf numFmtId="164" fontId="8" fillId="0" borderId="29" xfId="2" applyNumberFormat="1" applyFont="1" applyFill="1" applyBorder="1"/>
    <xf numFmtId="164" fontId="8" fillId="0" borderId="51" xfId="2" applyNumberFormat="1" applyFont="1" applyFill="1" applyBorder="1"/>
    <xf numFmtId="0" fontId="8" fillId="0" borderId="104" xfId="2" applyFont="1" applyFill="1" applyBorder="1"/>
    <xf numFmtId="0" fontId="8" fillId="0" borderId="105" xfId="2" applyFont="1" applyFill="1" applyBorder="1"/>
    <xf numFmtId="164" fontId="8" fillId="0" borderId="53" xfId="2" applyNumberFormat="1" applyFont="1" applyFill="1" applyBorder="1"/>
    <xf numFmtId="164" fontId="8" fillId="0" borderId="54" xfId="2" applyNumberFormat="1" applyFont="1" applyFill="1" applyBorder="1"/>
    <xf numFmtId="168" fontId="8" fillId="0" borderId="0" xfId="33" applyNumberFormat="1" applyFont="1" applyFill="1" applyBorder="1"/>
    <xf numFmtId="167" fontId="8" fillId="0" borderId="0" xfId="33" applyNumberFormat="1" applyFont="1" applyFill="1" applyBorder="1"/>
    <xf numFmtId="0" fontId="7" fillId="0" borderId="26" xfId="2" applyFont="1" applyFill="1" applyBorder="1" applyAlignment="1">
      <alignment horizontal="right" vertical="center"/>
    </xf>
    <xf numFmtId="0" fontId="41" fillId="0" borderId="26" xfId="2" applyFont="1" applyFill="1" applyBorder="1" applyAlignment="1">
      <alignment horizontal="right" vertical="center"/>
    </xf>
    <xf numFmtId="0" fontId="41" fillId="0" borderId="26" xfId="2" applyFont="1" applyFill="1" applyBorder="1" applyAlignment="1">
      <alignment horizontal="center" vertical="center"/>
    </xf>
    <xf numFmtId="164" fontId="28" fillId="0" borderId="0" xfId="2" applyNumberFormat="1" applyFont="1" applyFill="1" applyBorder="1" applyAlignment="1">
      <alignment horizontal="center"/>
    </xf>
    <xf numFmtId="168" fontId="8" fillId="0" borderId="0" xfId="33" applyNumberFormat="1" applyFont="1" applyFill="1" applyBorder="1" applyAlignment="1">
      <alignment vertical="center"/>
    </xf>
    <xf numFmtId="167" fontId="8" fillId="0" borderId="0" xfId="33" applyNumberFormat="1" applyFont="1" applyFill="1" applyBorder="1" applyAlignment="1">
      <alignment vertical="center"/>
    </xf>
    <xf numFmtId="0" fontId="8" fillId="0" borderId="0" xfId="2" applyFont="1" applyFill="1" applyBorder="1" applyAlignment="1">
      <alignment horizontal="right" vertical="center"/>
    </xf>
    <xf numFmtId="0" fontId="8" fillId="0" borderId="0" xfId="2" applyFont="1" applyFill="1" applyBorder="1" applyAlignment="1">
      <alignment vertical="center"/>
    </xf>
    <xf numFmtId="168" fontId="8" fillId="0" borderId="6" xfId="33" applyNumberFormat="1" applyFont="1" applyFill="1" applyBorder="1" applyAlignment="1">
      <alignment vertical="center"/>
    </xf>
    <xf numFmtId="167" fontId="8" fillId="0" borderId="6" xfId="33" applyNumberFormat="1" applyFont="1" applyFill="1" applyBorder="1" applyAlignment="1">
      <alignment vertical="center"/>
    </xf>
    <xf numFmtId="0" fontId="8" fillId="0" borderId="6" xfId="2" applyFont="1" applyFill="1" applyBorder="1" applyAlignment="1">
      <alignment horizontal="right" vertical="center"/>
    </xf>
    <xf numFmtId="0" fontId="8" fillId="0" borderId="6" xfId="2" applyFont="1" applyFill="1" applyBorder="1" applyAlignment="1">
      <alignment vertical="center"/>
    </xf>
    <xf numFmtId="2" fontId="8" fillId="0" borderId="12" xfId="2" applyNumberFormat="1" applyFont="1" applyFill="1" applyBorder="1" applyAlignment="1">
      <alignment wrapText="1"/>
    </xf>
    <xf numFmtId="2" fontId="8" fillId="0" borderId="29" xfId="2" applyNumberFormat="1" applyFont="1" applyFill="1" applyBorder="1"/>
    <xf numFmtId="2" fontId="45" fillId="0" borderId="29" xfId="0" applyNumberFormat="1" applyFont="1" applyBorder="1" applyAlignment="1">
      <alignment horizontal="center" vertical="center"/>
    </xf>
    <xf numFmtId="2" fontId="11" fillId="0" borderId="29" xfId="0" applyNumberFormat="1" applyFont="1" applyBorder="1" applyAlignment="1">
      <alignment horizontal="center"/>
    </xf>
    <xf numFmtId="2" fontId="99" fillId="0" borderId="29" xfId="0" applyNumberFormat="1" applyFont="1" applyBorder="1" applyAlignment="1">
      <alignment horizontal="center"/>
    </xf>
    <xf numFmtId="0" fontId="108" fillId="0" borderId="0" xfId="32" applyFont="1" applyFill="1" applyAlignment="1" applyProtection="1"/>
    <xf numFmtId="0" fontId="7" fillId="0" borderId="7" xfId="2" applyFont="1" applyFill="1" applyBorder="1"/>
    <xf numFmtId="0" fontId="41" fillId="0" borderId="48" xfId="2" applyFont="1" applyFill="1" applyBorder="1" applyAlignment="1">
      <alignment horizontal="center"/>
    </xf>
    <xf numFmtId="0" fontId="41" fillId="0" borderId="49" xfId="2" applyFont="1" applyFill="1" applyBorder="1" applyAlignment="1">
      <alignment horizontal="center"/>
    </xf>
    <xf numFmtId="0" fontId="8" fillId="0" borderId="106" xfId="2" applyFont="1" applyFill="1" applyBorder="1"/>
    <xf numFmtId="0" fontId="8" fillId="0" borderId="107" xfId="2" applyFont="1" applyFill="1" applyBorder="1"/>
    <xf numFmtId="0" fontId="28" fillId="0" borderId="29" xfId="2" applyFont="1" applyFill="1" applyBorder="1" applyAlignment="1">
      <alignment horizontal="center"/>
    </xf>
    <xf numFmtId="2" fontId="8" fillId="0" borderId="29" xfId="2" applyNumberFormat="1" applyFont="1" applyFill="1" applyBorder="1" applyAlignment="1">
      <alignment horizontal="center"/>
    </xf>
    <xf numFmtId="2" fontId="8" fillId="0" borderId="51" xfId="2" applyNumberFormat="1" applyFont="1" applyFill="1" applyBorder="1" applyAlignment="1">
      <alignment horizontal="center"/>
    </xf>
    <xf numFmtId="0" fontId="8" fillId="0" borderId="108" xfId="2" applyFont="1" applyFill="1" applyBorder="1"/>
    <xf numFmtId="2" fontId="28" fillId="0" borderId="29" xfId="2" applyNumberFormat="1" applyFont="1" applyFill="1" applyBorder="1" applyAlignment="1">
      <alignment horizontal="center"/>
    </xf>
    <xf numFmtId="0" fontId="8" fillId="0" borderId="109" xfId="2" applyFont="1" applyFill="1" applyBorder="1"/>
    <xf numFmtId="0" fontId="8" fillId="0" borderId="110" xfId="2" applyFont="1" applyFill="1" applyBorder="1"/>
    <xf numFmtId="0" fontId="8" fillId="0" borderId="111" xfId="2" applyFont="1" applyFill="1" applyBorder="1"/>
    <xf numFmtId="0" fontId="7" fillId="0" borderId="112" xfId="2" applyFont="1" applyFill="1" applyBorder="1" applyAlignment="1">
      <alignment horizontal="right"/>
    </xf>
    <xf numFmtId="0" fontId="28" fillId="0" borderId="53" xfId="2" applyFont="1" applyFill="1" applyBorder="1" applyAlignment="1">
      <alignment horizontal="center"/>
    </xf>
    <xf numFmtId="2" fontId="28" fillId="2" borderId="53" xfId="2" applyNumberFormat="1" applyFont="1" applyFill="1" applyBorder="1" applyAlignment="1">
      <alignment horizontal="center"/>
    </xf>
    <xf numFmtId="2" fontId="8" fillId="2" borderId="54" xfId="2" applyNumberFormat="1" applyFont="1" applyFill="1" applyBorder="1" applyAlignment="1">
      <alignment horizontal="center"/>
    </xf>
    <xf numFmtId="0" fontId="4" fillId="0" borderId="16" xfId="2" applyFont="1" applyFill="1" applyBorder="1" applyAlignment="1">
      <alignment horizontal="left" wrapText="1"/>
    </xf>
    <xf numFmtId="0" fontId="4" fillId="0" borderId="17" xfId="2" applyFont="1" applyFill="1" applyBorder="1" applyAlignment="1">
      <alignment horizontal="left" wrapText="1"/>
    </xf>
    <xf numFmtId="0" fontId="41" fillId="0" borderId="0" xfId="2" applyFont="1" applyFill="1" applyBorder="1" applyAlignment="1">
      <alignment horizontal="right"/>
    </xf>
    <xf numFmtId="184" fontId="8" fillId="0" borderId="18" xfId="2" applyNumberFormat="1" applyFont="1" applyFill="1" applyBorder="1" applyAlignment="1">
      <alignment wrapText="1"/>
    </xf>
    <xf numFmtId="3" fontId="28" fillId="0" borderId="60" xfId="17" applyNumberFormat="1" applyFont="1" applyFill="1" applyBorder="1" applyAlignment="1">
      <alignment horizontal="right"/>
    </xf>
    <xf numFmtId="10" fontId="28" fillId="0" borderId="0" xfId="17" applyNumberFormat="1" applyFont="1" applyFill="1" applyBorder="1" applyAlignment="1">
      <alignment horizontal="right"/>
    </xf>
    <xf numFmtId="184" fontId="8" fillId="0" borderId="5" xfId="2" applyNumberFormat="1" applyFont="1" applyFill="1" applyBorder="1" applyAlignment="1">
      <alignment wrapText="1"/>
    </xf>
    <xf numFmtId="3" fontId="28" fillId="0" borderId="61" xfId="17" applyNumberFormat="1" applyFont="1" applyFill="1" applyBorder="1"/>
    <xf numFmtId="3" fontId="28" fillId="0" borderId="63" xfId="17" applyNumberFormat="1" applyFont="1" applyFill="1" applyBorder="1"/>
    <xf numFmtId="3" fontId="28" fillId="0" borderId="30" xfId="17" applyNumberFormat="1" applyFont="1" applyFill="1" applyBorder="1" applyAlignment="1">
      <alignment horizontal="right"/>
    </xf>
    <xf numFmtId="3" fontId="28" fillId="0" borderId="63" xfId="17" applyNumberFormat="1" applyFont="1" applyFill="1" applyBorder="1" applyAlignment="1">
      <alignment horizontal="right"/>
    </xf>
    <xf numFmtId="9" fontId="8" fillId="0" borderId="0" xfId="17" applyFont="1" applyFill="1" applyBorder="1"/>
    <xf numFmtId="3" fontId="28" fillId="0" borderId="0" xfId="17" applyNumberFormat="1" applyFont="1" applyFill="1" applyBorder="1"/>
    <xf numFmtId="3" fontId="8" fillId="0" borderId="0" xfId="17" applyNumberFormat="1" applyFont="1" applyFill="1" applyBorder="1"/>
    <xf numFmtId="199" fontId="6" fillId="0" borderId="0" xfId="17" applyNumberFormat="1" applyFont="1" applyFill="1"/>
    <xf numFmtId="9" fontId="6" fillId="0" borderId="0" xfId="17" applyFont="1" applyFill="1"/>
    <xf numFmtId="169" fontId="6" fillId="0" borderId="0" xfId="17" applyNumberFormat="1" applyFont="1" applyFill="1"/>
    <xf numFmtId="0" fontId="15" fillId="0" borderId="0" xfId="15" applyFont="1" applyFill="1" applyBorder="1"/>
    <xf numFmtId="0" fontId="15" fillId="0" borderId="0" xfId="15" applyFont="1" applyFill="1" applyBorder="1" applyAlignment="1">
      <alignment horizontal="right"/>
    </xf>
    <xf numFmtId="0" fontId="15" fillId="0" borderId="0" xfId="15" applyFont="1" applyFill="1" applyBorder="1" applyAlignment="1">
      <alignment horizontal="left"/>
    </xf>
    <xf numFmtId="0" fontId="15" fillId="0" borderId="0" xfId="15" applyFont="1" applyFill="1" applyBorder="1" applyAlignment="1">
      <alignment horizontal="center"/>
    </xf>
    <xf numFmtId="0" fontId="69" fillId="0" borderId="0" xfId="15" applyFont="1" applyFill="1" applyBorder="1" applyAlignment="1">
      <alignment horizontal="center"/>
    </xf>
    <xf numFmtId="0" fontId="4" fillId="0" borderId="0" xfId="15" applyFont="1" applyFill="1" applyBorder="1" applyAlignment="1">
      <alignment horizontal="left"/>
    </xf>
    <xf numFmtId="0" fontId="4" fillId="0" borderId="0" xfId="15" applyFont="1" applyFill="1" applyBorder="1"/>
    <xf numFmtId="0" fontId="3" fillId="0" borderId="0" xfId="34" applyFont="1" applyFill="1" applyBorder="1"/>
    <xf numFmtId="0" fontId="1" fillId="0" borderId="0" xfId="34" applyFill="1" applyBorder="1"/>
    <xf numFmtId="0" fontId="15" fillId="0" borderId="0" xfId="15" applyFont="1" applyFill="1" applyBorder="1" applyAlignment="1">
      <alignment horizontal="center" vertical="center"/>
    </xf>
    <xf numFmtId="0" fontId="4" fillId="0" borderId="0" xfId="15" applyFill="1" applyBorder="1" applyAlignment="1">
      <alignment horizontal="right"/>
    </xf>
    <xf numFmtId="0" fontId="4" fillId="0" borderId="0" xfId="35" applyFill="1" applyBorder="1"/>
    <xf numFmtId="0" fontId="90" fillId="0" borderId="0" xfId="2" applyFont="1" applyFill="1" applyBorder="1"/>
    <xf numFmtId="0" fontId="109" fillId="0" borderId="26" xfId="2" applyFont="1" applyFill="1" applyBorder="1" applyAlignment="1"/>
    <xf numFmtId="0" fontId="7" fillId="0" borderId="113" xfId="2" applyFont="1" applyFill="1" applyBorder="1" applyAlignment="1">
      <alignment horizontal="right"/>
    </xf>
    <xf numFmtId="184" fontId="8" fillId="0" borderId="0" xfId="2" applyNumberFormat="1" applyFont="1" applyFill="1" applyAlignment="1">
      <alignment vertical="top"/>
    </xf>
    <xf numFmtId="184" fontId="109" fillId="0" borderId="0" xfId="2" applyNumberFormat="1" applyFont="1" applyFill="1" applyAlignment="1"/>
    <xf numFmtId="184" fontId="8" fillId="0" borderId="83" xfId="2" applyNumberFormat="1" applyFont="1" applyFill="1" applyBorder="1" applyAlignment="1">
      <alignment horizontal="right"/>
    </xf>
    <xf numFmtId="184" fontId="8" fillId="0" borderId="84" xfId="2" applyNumberFormat="1" applyFont="1" applyFill="1" applyBorder="1" applyAlignment="1">
      <alignment horizontal="right"/>
    </xf>
    <xf numFmtId="184" fontId="8" fillId="0" borderId="85" xfId="2" applyNumberFormat="1" applyFont="1" applyFill="1" applyBorder="1" applyAlignment="1">
      <alignment horizontal="right"/>
    </xf>
    <xf numFmtId="184" fontId="8" fillId="2" borderId="85" xfId="2" applyNumberFormat="1" applyFont="1" applyFill="1" applyBorder="1" applyAlignment="1">
      <alignment horizontal="right"/>
    </xf>
    <xf numFmtId="0" fontId="109" fillId="0" borderId="0" xfId="2" applyFont="1" applyFill="1" applyAlignment="1"/>
    <xf numFmtId="184" fontId="8" fillId="0" borderId="0" xfId="2" applyNumberFormat="1" applyFont="1" applyFill="1" applyBorder="1" applyAlignment="1">
      <alignment horizontal="left" wrapText="1"/>
    </xf>
    <xf numFmtId="200" fontId="8" fillId="0" borderId="83" xfId="2" applyNumberFormat="1" applyFont="1" applyFill="1" applyBorder="1" applyAlignment="1">
      <alignment horizontal="right"/>
    </xf>
    <xf numFmtId="200" fontId="8" fillId="0" borderId="84" xfId="2" applyNumberFormat="1" applyFont="1" applyFill="1" applyBorder="1" applyAlignment="1">
      <alignment horizontal="right"/>
    </xf>
    <xf numFmtId="200" fontId="8" fillId="0" borderId="22" xfId="2" applyNumberFormat="1" applyFont="1" applyFill="1" applyBorder="1" applyAlignment="1">
      <alignment horizontal="right"/>
    </xf>
    <xf numFmtId="200" fontId="8" fillId="0" borderId="85" xfId="2" applyNumberFormat="1" applyFont="1" applyFill="1" applyBorder="1" applyAlignment="1">
      <alignment horizontal="right"/>
    </xf>
    <xf numFmtId="200" fontId="8" fillId="0" borderId="90" xfId="2" applyNumberFormat="1" applyFont="1" applyFill="1" applyBorder="1" applyAlignment="1">
      <alignment horizontal="right"/>
    </xf>
    <xf numFmtId="200" fontId="8" fillId="0" borderId="61" xfId="2" applyNumberFormat="1" applyFont="1" applyFill="1" applyBorder="1" applyAlignment="1">
      <alignment horizontal="right"/>
    </xf>
    <xf numFmtId="200" fontId="8" fillId="0" borderId="62" xfId="2" applyNumberFormat="1" applyFont="1" applyFill="1" applyBorder="1" applyAlignment="1">
      <alignment horizontal="right"/>
    </xf>
    <xf numFmtId="200" fontId="8" fillId="0" borderId="63" xfId="2" applyNumberFormat="1" applyFont="1" applyFill="1" applyBorder="1" applyAlignment="1">
      <alignment horizontal="right"/>
    </xf>
    <xf numFmtId="201" fontId="8" fillId="0" borderId="0" xfId="2" applyNumberFormat="1" applyFont="1" applyFill="1" applyBorder="1" applyAlignment="1">
      <alignment horizontal="right"/>
    </xf>
    <xf numFmtId="184" fontId="7" fillId="0" borderId="0" xfId="2" applyNumberFormat="1" applyFont="1" applyFill="1" applyBorder="1" applyAlignment="1">
      <alignment wrapText="1"/>
    </xf>
    <xf numFmtId="184" fontId="7" fillId="0" borderId="0" xfId="2" applyNumberFormat="1" applyFont="1" applyFill="1" applyBorder="1" applyAlignment="1">
      <alignment horizontal="left"/>
    </xf>
    <xf numFmtId="184" fontId="7" fillId="0" borderId="0" xfId="2" applyNumberFormat="1" applyFont="1" applyFill="1" applyBorder="1" applyAlignment="1">
      <alignment horizontal="right"/>
    </xf>
    <xf numFmtId="184" fontId="8" fillId="0" borderId="86" xfId="2" applyNumberFormat="1" applyFont="1" applyFill="1" applyBorder="1" applyAlignment="1"/>
    <xf numFmtId="184" fontId="8" fillId="0" borderId="86" xfId="2" applyNumberFormat="1" applyFont="1" applyFill="1" applyBorder="1" applyAlignment="1">
      <alignment horizontal="right"/>
    </xf>
    <xf numFmtId="1" fontId="8" fillId="0" borderId="0" xfId="2" applyNumberFormat="1" applyFont="1" applyFill="1" applyBorder="1" applyAlignment="1">
      <alignment horizontal="right"/>
    </xf>
    <xf numFmtId="184" fontId="52" fillId="0" borderId="0" xfId="2" applyNumberFormat="1" applyFont="1" applyFill="1" applyBorder="1" applyAlignment="1">
      <alignment horizontal="right" wrapText="1"/>
    </xf>
    <xf numFmtId="1" fontId="52" fillId="0" borderId="0" xfId="2" applyNumberFormat="1" applyFont="1" applyFill="1" applyBorder="1" applyAlignment="1">
      <alignment horizontal="right"/>
    </xf>
    <xf numFmtId="202" fontId="8" fillId="0" borderId="0" xfId="2" quotePrefix="1" applyNumberFormat="1" applyFont="1" applyFill="1" applyBorder="1" applyAlignment="1">
      <alignment horizontal="right"/>
    </xf>
    <xf numFmtId="202" fontId="8" fillId="0" borderId="0" xfId="2" applyNumberFormat="1" applyFont="1" applyFill="1" applyBorder="1" applyAlignment="1">
      <alignment horizontal="right"/>
    </xf>
    <xf numFmtId="184" fontId="8" fillId="0" borderId="0" xfId="2" quotePrefix="1" applyNumberFormat="1" applyFont="1" applyFill="1" applyBorder="1" applyAlignment="1">
      <alignment horizontal="right"/>
    </xf>
    <xf numFmtId="184" fontId="8" fillId="0" borderId="6" xfId="2" applyNumberFormat="1" applyFont="1" applyFill="1" applyBorder="1" applyAlignment="1">
      <alignment horizontal="right" wrapText="1"/>
    </xf>
    <xf numFmtId="202" fontId="8" fillId="0" borderId="6" xfId="2" quotePrefix="1" applyNumberFormat="1" applyFont="1" applyFill="1" applyBorder="1" applyAlignment="1">
      <alignment horizontal="right"/>
    </xf>
    <xf numFmtId="202" fontId="8" fillId="0" borderId="6" xfId="2" applyNumberFormat="1" applyFont="1" applyFill="1" applyBorder="1" applyAlignment="1">
      <alignment horizontal="right"/>
    </xf>
    <xf numFmtId="0" fontId="6" fillId="0" borderId="6" xfId="2" applyFont="1" applyFill="1" applyBorder="1"/>
    <xf numFmtId="0" fontId="41" fillId="2" borderId="1" xfId="2" applyFont="1" applyFill="1" applyBorder="1" applyAlignment="1">
      <alignment horizontal="right"/>
    </xf>
    <xf numFmtId="184" fontId="13" fillId="0" borderId="0" xfId="2" applyNumberFormat="1" applyFont="1" applyFill="1" applyAlignment="1">
      <alignment vertical="top"/>
    </xf>
    <xf numFmtId="184" fontId="8" fillId="0" borderId="18" xfId="2" applyNumberFormat="1" applyFont="1" applyFill="1" applyBorder="1"/>
    <xf numFmtId="184" fontId="28" fillId="0" borderId="58" xfId="2" applyNumberFormat="1" applyFont="1" applyFill="1" applyBorder="1" applyAlignment="1">
      <alignment horizontal="right"/>
    </xf>
    <xf numFmtId="184" fontId="30" fillId="0" borderId="58" xfId="2" applyNumberFormat="1" applyFont="1" applyFill="1" applyBorder="1" applyAlignment="1">
      <alignment horizontal="right"/>
    </xf>
    <xf numFmtId="184" fontId="28" fillId="0" borderId="21" xfId="2" applyNumberFormat="1" applyFont="1" applyFill="1" applyBorder="1"/>
    <xf numFmtId="184" fontId="28" fillId="2" borderId="21" xfId="2" applyNumberFormat="1" applyFont="1" applyFill="1" applyBorder="1"/>
    <xf numFmtId="184" fontId="28" fillId="0" borderId="60" xfId="2" applyNumberFormat="1" applyFont="1" applyFill="1" applyBorder="1"/>
    <xf numFmtId="184" fontId="28" fillId="2" borderId="60" xfId="2" applyNumberFormat="1" applyFont="1" applyFill="1" applyBorder="1"/>
    <xf numFmtId="0" fontId="8" fillId="0" borderId="58" xfId="2" applyFont="1" applyFill="1" applyBorder="1" applyAlignment="1">
      <alignment horizontal="right"/>
    </xf>
    <xf numFmtId="0" fontId="28" fillId="0" borderId="58" xfId="2" applyFont="1" applyFill="1" applyBorder="1" applyAlignment="1">
      <alignment horizontal="right"/>
    </xf>
    <xf numFmtId="0" fontId="28" fillId="0" borderId="21" xfId="2" applyFont="1" applyFill="1" applyBorder="1"/>
    <xf numFmtId="0" fontId="28" fillId="2" borderId="21" xfId="2" applyFont="1" applyFill="1" applyBorder="1"/>
    <xf numFmtId="0" fontId="28" fillId="0" borderId="60" xfId="2" applyFont="1" applyFill="1" applyBorder="1"/>
    <xf numFmtId="0" fontId="28" fillId="2" borderId="60" xfId="2" applyFont="1" applyFill="1" applyBorder="1"/>
    <xf numFmtId="10" fontId="8" fillId="0" borderId="61" xfId="17" applyNumberFormat="1" applyFont="1" applyFill="1" applyBorder="1" applyAlignment="1">
      <alignment horizontal="right"/>
    </xf>
    <xf numFmtId="10" fontId="28" fillId="0" borderId="61" xfId="17" applyNumberFormat="1" applyFont="1" applyFill="1" applyBorder="1" applyAlignment="1">
      <alignment horizontal="right"/>
    </xf>
    <xf numFmtId="10" fontId="28" fillId="0" borderId="62" xfId="17" applyNumberFormat="1" applyFont="1" applyFill="1" applyBorder="1" applyAlignment="1">
      <alignment horizontal="right"/>
    </xf>
    <xf numFmtId="10" fontId="28" fillId="2" borderId="63" xfId="17" applyNumberFormat="1" applyFont="1" applyFill="1" applyBorder="1" applyAlignment="1">
      <alignment horizontal="right"/>
    </xf>
    <xf numFmtId="10" fontId="28" fillId="0" borderId="63" xfId="17" applyNumberFormat="1" applyFont="1" applyFill="1" applyBorder="1" applyAlignment="1">
      <alignment horizontal="right"/>
    </xf>
    <xf numFmtId="10" fontId="8" fillId="0" borderId="0" xfId="17" applyNumberFormat="1" applyFont="1" applyFill="1" applyBorder="1" applyAlignment="1">
      <alignment horizontal="right"/>
    </xf>
    <xf numFmtId="10" fontId="28" fillId="2" borderId="0" xfId="17" applyNumberFormat="1" applyFont="1" applyFill="1" applyBorder="1" applyAlignment="1">
      <alignment horizontal="right"/>
    </xf>
    <xf numFmtId="0" fontId="103" fillId="0" borderId="0" xfId="2" applyFont="1" applyFill="1" applyAlignment="1">
      <alignment vertical="top"/>
    </xf>
    <xf numFmtId="0" fontId="103" fillId="0" borderId="0" xfId="2" applyFont="1" applyFill="1"/>
    <xf numFmtId="0" fontId="16" fillId="0" borderId="0" xfId="15" applyFont="1" applyFill="1"/>
    <xf numFmtId="0" fontId="17" fillId="0" borderId="0" xfId="15" applyFont="1" applyFill="1"/>
    <xf numFmtId="0" fontId="16" fillId="0" borderId="29" xfId="15" applyFont="1" applyFill="1" applyBorder="1" applyAlignment="1">
      <alignment horizontal="right"/>
    </xf>
    <xf numFmtId="0" fontId="16" fillId="0" borderId="29" xfId="15" applyFont="1" applyFill="1" applyBorder="1" applyAlignment="1">
      <alignment horizontal="left"/>
    </xf>
    <xf numFmtId="0" fontId="16" fillId="0" borderId="29" xfId="15" applyFont="1" applyFill="1" applyBorder="1" applyAlignment="1">
      <alignment horizontal="center"/>
    </xf>
    <xf numFmtId="0" fontId="17" fillId="0" borderId="29" xfId="15" applyFont="1" applyFill="1" applyBorder="1" applyAlignment="1">
      <alignment horizontal="left"/>
    </xf>
    <xf numFmtId="0" fontId="17" fillId="0" borderId="29" xfId="15" applyFont="1" applyFill="1" applyBorder="1"/>
    <xf numFmtId="0" fontId="16" fillId="0" borderId="29" xfId="15" applyFont="1" applyFill="1" applyBorder="1"/>
    <xf numFmtId="0" fontId="17" fillId="0" borderId="0" xfId="15" applyFont="1" applyFill="1" applyBorder="1" applyAlignment="1">
      <alignment horizontal="left"/>
    </xf>
    <xf numFmtId="0" fontId="17" fillId="0" borderId="95" xfId="15" applyFont="1" applyFill="1" applyBorder="1"/>
    <xf numFmtId="0" fontId="17" fillId="0" borderId="18" xfId="15" applyFont="1" applyFill="1" applyBorder="1"/>
    <xf numFmtId="0" fontId="17" fillId="0" borderId="0" xfId="15" applyFont="1" applyFill="1" applyBorder="1"/>
    <xf numFmtId="0" fontId="111" fillId="0" borderId="0" xfId="15" applyFont="1" applyFill="1"/>
    <xf numFmtId="0" fontId="112" fillId="0" borderId="0" xfId="34" applyFont="1" applyFill="1"/>
    <xf numFmtId="0" fontId="19" fillId="0" borderId="0" xfId="34" applyFont="1" applyFill="1"/>
    <xf numFmtId="0" fontId="1" fillId="0" borderId="0" xfId="34" applyFill="1"/>
    <xf numFmtId="0" fontId="16" fillId="0" borderId="1" xfId="15" applyFont="1" applyFill="1" applyBorder="1" applyAlignment="1">
      <alignment horizontal="center" vertical="center"/>
    </xf>
    <xf numFmtId="0" fontId="16" fillId="0" borderId="3" xfId="15" applyFont="1" applyFill="1" applyBorder="1" applyAlignment="1">
      <alignment horizontal="center" vertical="center"/>
    </xf>
    <xf numFmtId="0" fontId="16" fillId="0" borderId="3" xfId="15" applyFont="1" applyFill="1" applyBorder="1"/>
    <xf numFmtId="0" fontId="16" fillId="0" borderId="51" xfId="15" applyFont="1" applyFill="1" applyBorder="1"/>
    <xf numFmtId="0" fontId="16" fillId="0" borderId="30" xfId="15" applyFont="1" applyFill="1" applyBorder="1"/>
    <xf numFmtId="0" fontId="16" fillId="0" borderId="114" xfId="15" applyFont="1" applyFill="1" applyBorder="1"/>
    <xf numFmtId="0" fontId="17" fillId="0" borderId="29" xfId="15" applyFont="1" applyFill="1" applyBorder="1" applyAlignment="1">
      <alignment horizontal="right"/>
    </xf>
    <xf numFmtId="0" fontId="17" fillId="0" borderId="29" xfId="35" applyFont="1" applyFill="1" applyBorder="1"/>
    <xf numFmtId="0" fontId="17" fillId="0" borderId="51" xfId="35" applyFont="1" applyFill="1" applyBorder="1"/>
    <xf numFmtId="0" fontId="17" fillId="0" borderId="3" xfId="35" applyFont="1" applyFill="1" applyBorder="1"/>
    <xf numFmtId="0" fontId="17" fillId="0" borderId="3" xfId="15" applyFont="1" applyFill="1" applyBorder="1"/>
    <xf numFmtId="0" fontId="17" fillId="0" borderId="51" xfId="15" applyFont="1" applyFill="1" applyBorder="1"/>
    <xf numFmtId="0" fontId="112" fillId="2" borderId="0" xfId="34" applyFont="1" applyFill="1"/>
    <xf numFmtId="0" fontId="19" fillId="2" borderId="0" xfId="34" applyFont="1" applyFill="1"/>
    <xf numFmtId="0" fontId="16" fillId="2" borderId="29" xfId="15" applyFont="1" applyFill="1" applyBorder="1"/>
    <xf numFmtId="0" fontId="16" fillId="2" borderId="1" xfId="15" applyFont="1" applyFill="1" applyBorder="1" applyAlignment="1">
      <alignment horizontal="center" vertical="center"/>
    </xf>
    <xf numFmtId="0" fontId="16" fillId="2" borderId="3" xfId="15" applyFont="1" applyFill="1" applyBorder="1" applyAlignment="1">
      <alignment horizontal="center" vertical="center"/>
    </xf>
    <xf numFmtId="0" fontId="16" fillId="2" borderId="3" xfId="15" applyFont="1" applyFill="1" applyBorder="1"/>
    <xf numFmtId="0" fontId="103" fillId="2" borderId="0" xfId="2" applyFont="1" applyFill="1"/>
    <xf numFmtId="0" fontId="16" fillId="2" borderId="51" xfId="15" applyFont="1" applyFill="1" applyBorder="1"/>
    <xf numFmtId="0" fontId="16" fillId="2" borderId="30" xfId="15" applyFont="1" applyFill="1" applyBorder="1"/>
    <xf numFmtId="0" fontId="16" fillId="2" borderId="114" xfId="15" applyFont="1" applyFill="1" applyBorder="1"/>
    <xf numFmtId="0" fontId="17" fillId="2" borderId="29" xfId="35" applyFont="1" applyFill="1" applyBorder="1"/>
    <xf numFmtId="0" fontId="17" fillId="2" borderId="51" xfId="35" applyFont="1" applyFill="1" applyBorder="1"/>
    <xf numFmtId="0" fontId="17" fillId="2" borderId="3" xfId="35" applyFont="1" applyFill="1" applyBorder="1"/>
    <xf numFmtId="0" fontId="17" fillId="2" borderId="3" xfId="15" applyFont="1" applyFill="1" applyBorder="1"/>
    <xf numFmtId="0" fontId="17" fillId="2" borderId="51" xfId="15" applyFont="1" applyFill="1" applyBorder="1"/>
    <xf numFmtId="0" fontId="17" fillId="2" borderId="29" xfId="15" applyFont="1" applyFill="1" applyBorder="1"/>
    <xf numFmtId="0" fontId="0" fillId="0" borderId="0" xfId="2" applyFont="1" applyFill="1" applyAlignment="1" applyProtection="1">
      <protection locked="0"/>
    </xf>
    <xf numFmtId="0" fontId="8" fillId="0" borderId="2" xfId="2" applyFont="1" applyFill="1" applyBorder="1"/>
    <xf numFmtId="0" fontId="7" fillId="0" borderId="55" xfId="2" applyFont="1" applyBorder="1"/>
    <xf numFmtId="0" fontId="7" fillId="0" borderId="56" xfId="2" applyFont="1" applyBorder="1"/>
    <xf numFmtId="0" fontId="41" fillId="0" borderId="55" xfId="2" applyFont="1" applyFill="1" applyBorder="1" applyAlignment="1" applyProtection="1">
      <alignment horizontal="right"/>
    </xf>
    <xf numFmtId="0" fontId="41" fillId="2" borderId="55" xfId="2" applyFont="1" applyFill="1" applyBorder="1" applyAlignment="1" applyProtection="1">
      <alignment horizontal="right"/>
    </xf>
    <xf numFmtId="0" fontId="41" fillId="2" borderId="57" xfId="2" applyFont="1" applyFill="1" applyBorder="1" applyAlignment="1" applyProtection="1">
      <alignment horizontal="right"/>
    </xf>
    <xf numFmtId="0" fontId="60" fillId="0" borderId="0" xfId="2" applyFont="1" applyFill="1" applyAlignment="1" applyProtection="1"/>
    <xf numFmtId="164" fontId="8" fillId="0" borderId="58" xfId="2" applyNumberFormat="1" applyFont="1" applyBorder="1"/>
    <xf numFmtId="164" fontId="8" fillId="0" borderId="21" xfId="2" applyNumberFormat="1" applyFont="1" applyBorder="1"/>
    <xf numFmtId="164" fontId="8" fillId="0" borderId="58" xfId="2" applyNumberFormat="1" applyFont="1" applyBorder="1" applyProtection="1"/>
    <xf numFmtId="164" fontId="8" fillId="2" borderId="58" xfId="2" applyNumberFormat="1" applyFont="1" applyFill="1" applyBorder="1" applyProtection="1"/>
    <xf numFmtId="164" fontId="8" fillId="2" borderId="65" xfId="2" applyNumberFormat="1" applyFont="1" applyFill="1" applyBorder="1" applyProtection="1"/>
    <xf numFmtId="164" fontId="8" fillId="0" borderId="28" xfId="2" applyNumberFormat="1" applyFont="1" applyBorder="1" applyProtection="1"/>
    <xf numFmtId="164" fontId="8" fillId="2" borderId="60" xfId="2" applyNumberFormat="1" applyFont="1" applyFill="1" applyBorder="1" applyProtection="1"/>
    <xf numFmtId="0" fontId="0" fillId="2" borderId="0" xfId="2" applyFont="1" applyFill="1" applyBorder="1" applyProtection="1">
      <protection locked="0"/>
    </xf>
    <xf numFmtId="164" fontId="8" fillId="4" borderId="0" xfId="2" applyNumberFormat="1" applyFont="1" applyFill="1" applyBorder="1"/>
    <xf numFmtId="0" fontId="8" fillId="0" borderId="6" xfId="2" applyFont="1" applyFill="1" applyBorder="1" applyAlignment="1" applyProtection="1">
      <alignment wrapText="1"/>
      <protection locked="0"/>
    </xf>
    <xf numFmtId="164" fontId="8" fillId="0" borderId="68" xfId="2" applyNumberFormat="1" applyFont="1" applyFill="1" applyBorder="1"/>
    <xf numFmtId="164" fontId="8" fillId="2" borderId="61" xfId="2" applyNumberFormat="1" applyFont="1" applyFill="1" applyBorder="1" applyProtection="1"/>
    <xf numFmtId="0" fontId="8" fillId="0" borderId="63" xfId="2" applyFont="1" applyFill="1" applyBorder="1"/>
    <xf numFmtId="0" fontId="8" fillId="0" borderId="62" xfId="2" applyFont="1" applyFill="1" applyBorder="1"/>
    <xf numFmtId="164" fontId="8" fillId="0" borderId="0" xfId="2" applyNumberFormat="1" applyFont="1" applyFill="1" applyBorder="1" applyAlignment="1">
      <alignment horizontal="center"/>
    </xf>
    <xf numFmtId="164" fontId="8" fillId="0" borderId="60" xfId="2" applyNumberFormat="1" applyFont="1" applyFill="1" applyBorder="1" applyAlignment="1">
      <alignment horizontal="center"/>
    </xf>
    <xf numFmtId="164" fontId="8" fillId="0" borderId="18" xfId="2" applyNumberFormat="1" applyFont="1" applyFill="1" applyBorder="1" applyAlignment="1">
      <alignment horizontal="center"/>
    </xf>
    <xf numFmtId="164" fontId="8" fillId="0" borderId="21" xfId="2" applyNumberFormat="1" applyFont="1" applyFill="1" applyBorder="1" applyAlignment="1">
      <alignment horizontal="center"/>
    </xf>
    <xf numFmtId="0" fontId="8" fillId="0" borderId="6" xfId="2" applyFont="1" applyFill="1" applyBorder="1" applyAlignment="1">
      <alignment horizontal="left"/>
    </xf>
    <xf numFmtId="164" fontId="8" fillId="0" borderId="6" xfId="2" applyNumberFormat="1" applyFont="1" applyFill="1" applyBorder="1" applyAlignment="1">
      <alignment horizontal="center"/>
    </xf>
    <xf numFmtId="164" fontId="8" fillId="0" borderId="63" xfId="2" applyNumberFormat="1" applyFont="1" applyFill="1" applyBorder="1" applyAlignment="1">
      <alignment horizontal="center"/>
    </xf>
    <xf numFmtId="0" fontId="0" fillId="0" borderId="6" xfId="2" applyFont="1" applyFill="1" applyBorder="1" applyProtection="1"/>
    <xf numFmtId="0" fontId="7" fillId="0" borderId="55" xfId="2" applyFont="1" applyFill="1" applyBorder="1" applyAlignment="1" applyProtection="1">
      <alignment horizontal="right"/>
    </xf>
    <xf numFmtId="0" fontId="41" fillId="0" borderId="56" xfId="2" applyFont="1" applyFill="1" applyBorder="1" applyAlignment="1" applyProtection="1">
      <alignment horizontal="right"/>
    </xf>
    <xf numFmtId="0" fontId="41" fillId="0" borderId="57" xfId="2" applyFont="1" applyFill="1" applyBorder="1" applyAlignment="1" applyProtection="1">
      <alignment horizontal="right"/>
    </xf>
    <xf numFmtId="0" fontId="41" fillId="2" borderId="0" xfId="2" applyFont="1" applyFill="1" applyBorder="1" applyAlignment="1" applyProtection="1">
      <alignment horizontal="right"/>
    </xf>
    <xf numFmtId="0" fontId="41" fillId="0" borderId="0" xfId="2" applyFont="1" applyFill="1" applyBorder="1" applyAlignment="1" applyProtection="1">
      <alignment horizontal="right"/>
    </xf>
    <xf numFmtId="184" fontId="8" fillId="0" borderId="58" xfId="2" applyNumberFormat="1" applyFont="1" applyFill="1" applyBorder="1" applyAlignment="1" applyProtection="1">
      <alignment horizontal="right"/>
    </xf>
    <xf numFmtId="184" fontId="28" fillId="0" borderId="58" xfId="2" applyNumberFormat="1" applyFont="1" applyFill="1" applyBorder="1" applyAlignment="1" applyProtection="1">
      <alignment horizontal="right"/>
    </xf>
    <xf numFmtId="184" fontId="28" fillId="0" borderId="60" xfId="2" applyNumberFormat="1" applyFont="1" applyFill="1" applyBorder="1" applyAlignment="1" applyProtection="1">
      <alignment horizontal="right"/>
    </xf>
    <xf numFmtId="184" fontId="8" fillId="0" borderId="91" xfId="2" applyNumberFormat="1" applyFont="1" applyFill="1" applyBorder="1" applyAlignment="1" applyProtection="1">
      <alignment horizontal="right"/>
    </xf>
    <xf numFmtId="203" fontId="28" fillId="2" borderId="0" xfId="2" applyNumberFormat="1" applyFont="1" applyFill="1" applyBorder="1" applyAlignment="1" applyProtection="1">
      <alignment horizontal="right"/>
    </xf>
    <xf numFmtId="184" fontId="28" fillId="2" borderId="0" xfId="2" applyNumberFormat="1" applyFont="1" applyFill="1" applyBorder="1" applyAlignment="1" applyProtection="1">
      <alignment horizontal="right"/>
    </xf>
    <xf numFmtId="184" fontId="28" fillId="0" borderId="0" xfId="2" applyNumberFormat="1" applyFont="1" applyFill="1" applyBorder="1" applyAlignment="1" applyProtection="1">
      <alignment horizontal="right"/>
    </xf>
    <xf numFmtId="0" fontId="113" fillId="0" borderId="0" xfId="2" applyFont="1" applyFill="1" applyProtection="1">
      <protection locked="0"/>
    </xf>
    <xf numFmtId="0" fontId="8" fillId="0" borderId="0" xfId="2" applyFont="1" applyFill="1" applyBorder="1" applyAlignment="1" applyProtection="1">
      <alignment vertical="top" wrapText="1"/>
    </xf>
    <xf numFmtId="1" fontId="8" fillId="0" borderId="61" xfId="2" applyNumberFormat="1" applyFont="1" applyFill="1" applyBorder="1" applyAlignment="1" applyProtection="1">
      <alignment horizontal="right"/>
    </xf>
    <xf numFmtId="1" fontId="28" fillId="0" borderId="61" xfId="2" applyNumberFormat="1" applyFont="1" applyFill="1" applyBorder="1" applyAlignment="1" applyProtection="1">
      <alignment horizontal="right"/>
    </xf>
    <xf numFmtId="164" fontId="28" fillId="0" borderId="61" xfId="2" applyNumberFormat="1" applyFont="1" applyFill="1" applyBorder="1" applyAlignment="1" applyProtection="1">
      <alignment horizontal="right"/>
    </xf>
    <xf numFmtId="1" fontId="28" fillId="0" borderId="63" xfId="2" applyNumberFormat="1" applyFont="1" applyFill="1" applyBorder="1" applyAlignment="1" applyProtection="1">
      <alignment horizontal="right"/>
    </xf>
    <xf numFmtId="1" fontId="28" fillId="2" borderId="0" xfId="2" applyNumberFormat="1" applyFont="1" applyFill="1" applyBorder="1" applyAlignment="1" applyProtection="1">
      <alignment horizontal="right"/>
    </xf>
    <xf numFmtId="1" fontId="28" fillId="0" borderId="0" xfId="2" applyNumberFormat="1" applyFont="1" applyFill="1" applyBorder="1" applyAlignment="1" applyProtection="1">
      <alignment horizontal="right"/>
    </xf>
    <xf numFmtId="1" fontId="8" fillId="0" borderId="26" xfId="2" applyNumberFormat="1" applyFont="1" applyFill="1" applyBorder="1" applyAlignment="1" applyProtection="1">
      <alignment horizontal="right"/>
    </xf>
    <xf numFmtId="1" fontId="8" fillId="0" borderId="0" xfId="2" applyNumberFormat="1" applyFont="1" applyFill="1" applyBorder="1" applyAlignment="1" applyProtection="1">
      <alignment horizontal="right"/>
    </xf>
    <xf numFmtId="0" fontId="8" fillId="0" borderId="6" xfId="2" applyFont="1" applyFill="1" applyBorder="1" applyAlignment="1">
      <alignment horizontal="justify"/>
    </xf>
    <xf numFmtId="0" fontId="8" fillId="0" borderId="2" xfId="2" applyFont="1" applyFill="1" applyBorder="1" applyAlignment="1">
      <alignment horizontal="justify"/>
    </xf>
    <xf numFmtId="0" fontId="8" fillId="0" borderId="1" xfId="2" applyFont="1" applyFill="1" applyBorder="1" applyAlignment="1">
      <alignment horizontal="center" vertical="top"/>
    </xf>
    <xf numFmtId="0" fontId="8" fillId="0" borderId="71" xfId="2" applyFont="1" applyFill="1" applyBorder="1" applyAlignment="1">
      <alignment horizontal="center" vertical="top" wrapText="1"/>
    </xf>
    <xf numFmtId="0" fontId="8" fillId="0" borderId="56" xfId="2" applyFont="1" applyFill="1" applyBorder="1" applyAlignment="1">
      <alignment horizontal="center" vertical="top"/>
    </xf>
    <xf numFmtId="0" fontId="8" fillId="0" borderId="2" xfId="2" applyFont="1" applyFill="1" applyBorder="1" applyAlignment="1">
      <alignment horizontal="center" vertical="top" wrapText="1"/>
    </xf>
    <xf numFmtId="0" fontId="8" fillId="0" borderId="29" xfId="2" applyFont="1" applyFill="1" applyBorder="1" applyAlignment="1">
      <alignment horizontal="center" vertical="top" wrapText="1"/>
    </xf>
    <xf numFmtId="184" fontId="8" fillId="0" borderId="18" xfId="2" applyNumberFormat="1" applyFont="1" applyFill="1" applyBorder="1" applyAlignment="1" applyProtection="1">
      <alignment horizontal="right"/>
    </xf>
    <xf numFmtId="9" fontId="8" fillId="0" borderId="28" xfId="17" applyFont="1" applyFill="1" applyBorder="1" applyAlignment="1" applyProtection="1">
      <alignment horizontal="right"/>
    </xf>
    <xf numFmtId="184" fontId="8" fillId="0" borderId="21" xfId="2" applyNumberFormat="1" applyFont="1" applyFill="1" applyBorder="1" applyAlignment="1" applyProtection="1">
      <alignment horizontal="right"/>
    </xf>
    <xf numFmtId="9" fontId="8" fillId="0" borderId="0" xfId="17" applyFont="1" applyFill="1" applyBorder="1" applyAlignment="1" applyProtection="1">
      <alignment horizontal="right"/>
    </xf>
    <xf numFmtId="1" fontId="8" fillId="0" borderId="95" xfId="2" applyNumberFormat="1" applyFont="1" applyFill="1" applyBorder="1" applyProtection="1"/>
    <xf numFmtId="169" fontId="8" fillId="0" borderId="0" xfId="17" applyNumberFormat="1" applyFont="1" applyFill="1" applyBorder="1" applyAlignment="1" applyProtection="1">
      <alignment horizontal="right"/>
    </xf>
    <xf numFmtId="169" fontId="8" fillId="0" borderId="28" xfId="17" applyNumberFormat="1" applyFont="1" applyFill="1" applyBorder="1" applyAlignment="1" applyProtection="1">
      <alignment horizontal="right"/>
    </xf>
    <xf numFmtId="184" fontId="11" fillId="0" borderId="18" xfId="2" applyNumberFormat="1" applyFont="1" applyFill="1" applyBorder="1" applyAlignment="1" applyProtection="1">
      <alignment horizontal="right"/>
    </xf>
    <xf numFmtId="9" fontId="11" fillId="0" borderId="28" xfId="17" applyFont="1" applyFill="1" applyBorder="1" applyAlignment="1" applyProtection="1">
      <alignment horizontal="right"/>
    </xf>
    <xf numFmtId="0" fontId="8" fillId="0" borderId="42" xfId="2" applyFont="1" applyFill="1" applyBorder="1" applyAlignment="1">
      <alignment horizontal="justify"/>
    </xf>
    <xf numFmtId="184" fontId="8" fillId="0" borderId="39" xfId="2" applyNumberFormat="1" applyFont="1" applyFill="1" applyBorder="1" applyAlignment="1" applyProtection="1">
      <alignment horizontal="right"/>
    </xf>
    <xf numFmtId="9" fontId="8" fillId="0" borderId="99" xfId="17" applyFont="1" applyFill="1" applyBorder="1" applyAlignment="1" applyProtection="1">
      <alignment horizontal="right"/>
    </xf>
    <xf numFmtId="184" fontId="8" fillId="0" borderId="100" xfId="2" applyNumberFormat="1" applyFont="1" applyFill="1" applyBorder="1" applyAlignment="1" applyProtection="1">
      <alignment horizontal="right"/>
    </xf>
    <xf numFmtId="9" fontId="8" fillId="0" borderId="42" xfId="17" applyFont="1" applyFill="1" applyBorder="1" applyAlignment="1" applyProtection="1">
      <alignment horizontal="right"/>
    </xf>
    <xf numFmtId="1" fontId="8" fillId="0" borderId="116" xfId="2" applyNumberFormat="1" applyFont="1" applyFill="1" applyBorder="1" applyAlignment="1" applyProtection="1">
      <alignment horizontal="right"/>
    </xf>
    <xf numFmtId="1" fontId="8" fillId="0" borderId="30" xfId="2" applyNumberFormat="1" applyFont="1" applyFill="1" applyBorder="1" applyProtection="1"/>
    <xf numFmtId="169" fontId="8" fillId="0" borderId="43" xfId="17" applyNumberFormat="1" applyFont="1" applyFill="1" applyBorder="1" applyAlignment="1" applyProtection="1">
      <alignment horizontal="right"/>
    </xf>
    <xf numFmtId="1" fontId="8" fillId="0" borderId="116" xfId="2" applyNumberFormat="1" applyFont="1" applyFill="1" applyBorder="1" applyProtection="1"/>
    <xf numFmtId="0" fontId="22" fillId="0" borderId="0" xfId="2" applyFont="1" applyFill="1" applyAlignment="1" applyProtection="1">
      <alignment vertical="top"/>
    </xf>
    <xf numFmtId="0" fontId="5" fillId="0" borderId="0" xfId="2" applyNumberFormat="1" applyFont="1" applyFill="1" applyAlignment="1" applyProtection="1">
      <alignment vertical="top"/>
    </xf>
    <xf numFmtId="0" fontId="7" fillId="0" borderId="2" xfId="2" applyNumberFormat="1" applyFont="1" applyFill="1" applyBorder="1" applyProtection="1"/>
    <xf numFmtId="0" fontId="7" fillId="0" borderId="55" xfId="2" applyNumberFormat="1" applyFont="1" applyFill="1" applyBorder="1" applyProtection="1"/>
    <xf numFmtId="0" fontId="7" fillId="0" borderId="55" xfId="2" applyNumberFormat="1" applyFont="1" applyFill="1" applyBorder="1" applyAlignment="1" applyProtection="1">
      <alignment horizontal="right"/>
    </xf>
    <xf numFmtId="0" fontId="7" fillId="0" borderId="56" xfId="2" applyNumberFormat="1" applyFont="1" applyFill="1" applyBorder="1" applyAlignment="1" applyProtection="1">
      <alignment horizontal="right"/>
    </xf>
    <xf numFmtId="0" fontId="7" fillId="0" borderId="57" xfId="2" applyNumberFormat="1" applyFont="1" applyFill="1" applyBorder="1" applyAlignment="1" applyProtection="1">
      <alignment horizontal="right"/>
    </xf>
    <xf numFmtId="0" fontId="7" fillId="0" borderId="0" xfId="2" applyNumberFormat="1" applyFont="1" applyFill="1" applyBorder="1" applyAlignment="1" applyProtection="1">
      <alignment horizontal="right"/>
    </xf>
    <xf numFmtId="0" fontId="0" fillId="0" borderId="0" xfId="2" applyNumberFormat="1" applyFont="1" applyFill="1" applyProtection="1">
      <protection locked="0"/>
    </xf>
    <xf numFmtId="0" fontId="15" fillId="0" borderId="0" xfId="2" applyFont="1" applyFill="1" applyAlignment="1" applyProtection="1">
      <alignment vertical="top"/>
    </xf>
    <xf numFmtId="2" fontId="8" fillId="0" borderId="58" xfId="2" applyNumberFormat="1" applyFont="1" applyFill="1" applyBorder="1" applyProtection="1"/>
    <xf numFmtId="2" fontId="8" fillId="0" borderId="58" xfId="2" applyNumberFormat="1" applyFont="1" applyFill="1" applyBorder="1" applyAlignment="1" applyProtection="1">
      <alignment horizontal="right"/>
    </xf>
    <xf numFmtId="2" fontId="8" fillId="0" borderId="21" xfId="2" applyNumberFormat="1" applyFont="1" applyFill="1" applyBorder="1" applyAlignment="1" applyProtection="1">
      <alignment horizontal="right"/>
    </xf>
    <xf numFmtId="2" fontId="8" fillId="0" borderId="60" xfId="2" applyNumberFormat="1" applyFont="1" applyFill="1" applyBorder="1" applyAlignment="1" applyProtection="1">
      <alignment horizontal="right"/>
    </xf>
    <xf numFmtId="2" fontId="8" fillId="0" borderId="0" xfId="2" applyNumberFormat="1" applyFont="1" applyFill="1" applyBorder="1" applyAlignment="1" applyProtection="1">
      <alignment horizontal="right"/>
    </xf>
    <xf numFmtId="164" fontId="8" fillId="0" borderId="58" xfId="2" applyNumberFormat="1" applyFont="1" applyFill="1" applyBorder="1" applyProtection="1"/>
    <xf numFmtId="164" fontId="8" fillId="0" borderId="58" xfId="2" applyNumberFormat="1" applyFont="1" applyFill="1" applyBorder="1" applyAlignment="1" applyProtection="1">
      <alignment horizontal="right"/>
    </xf>
    <xf numFmtId="1" fontId="8" fillId="0" borderId="21" xfId="2" applyNumberFormat="1" applyFont="1" applyFill="1" applyBorder="1" applyAlignment="1" applyProtection="1">
      <alignment horizontal="right"/>
    </xf>
    <xf numFmtId="1" fontId="8" fillId="0" borderId="60" xfId="2" applyNumberFormat="1" applyFont="1" applyFill="1" applyBorder="1" applyAlignment="1" applyProtection="1">
      <alignment horizontal="right"/>
    </xf>
    <xf numFmtId="164" fontId="8" fillId="0" borderId="0" xfId="2" applyNumberFormat="1" applyFont="1" applyFill="1" applyBorder="1" applyAlignment="1" applyProtection="1">
      <alignment horizontal="right"/>
    </xf>
    <xf numFmtId="0" fontId="8" fillId="0" borderId="24" xfId="2" applyFont="1" applyFill="1" applyBorder="1" applyProtection="1"/>
    <xf numFmtId="173" fontId="8" fillId="0" borderId="84" xfId="2" applyNumberFormat="1" applyFont="1" applyFill="1" applyBorder="1" applyProtection="1"/>
    <xf numFmtId="173" fontId="8" fillId="0" borderId="84" xfId="2" applyNumberFormat="1" applyFont="1" applyFill="1" applyBorder="1" applyAlignment="1" applyProtection="1">
      <alignment horizontal="right"/>
    </xf>
    <xf numFmtId="173" fontId="8" fillId="0" borderId="22" xfId="2" applyNumberFormat="1" applyFont="1" applyFill="1" applyBorder="1" applyAlignment="1" applyProtection="1">
      <alignment horizontal="right"/>
    </xf>
    <xf numFmtId="173" fontId="8" fillId="0" borderId="85" xfId="2" applyNumberFormat="1" applyFont="1" applyFill="1" applyBorder="1" applyAlignment="1" applyProtection="1">
      <alignment horizontal="right"/>
    </xf>
    <xf numFmtId="173" fontId="8" fillId="0" borderId="58" xfId="2" applyNumberFormat="1" applyFont="1" applyFill="1" applyBorder="1" applyAlignment="1" applyProtection="1">
      <alignment horizontal="right"/>
    </xf>
    <xf numFmtId="173" fontId="8" fillId="0" borderId="21" xfId="2" applyNumberFormat="1" applyFont="1" applyFill="1" applyBorder="1" applyAlignment="1" applyProtection="1">
      <alignment horizontal="right"/>
    </xf>
    <xf numFmtId="173" fontId="8" fillId="0" borderId="60" xfId="2" applyNumberFormat="1" applyFont="1" applyFill="1" applyBorder="1" applyAlignment="1" applyProtection="1">
      <alignment horizontal="right"/>
    </xf>
    <xf numFmtId="173" fontId="8" fillId="0" borderId="58" xfId="2" applyNumberFormat="1" applyFont="1" applyFill="1" applyBorder="1" applyProtection="1"/>
    <xf numFmtId="0" fontId="8" fillId="0" borderId="58" xfId="2" applyFont="1" applyFill="1" applyBorder="1" applyProtection="1"/>
    <xf numFmtId="0" fontId="8" fillId="0" borderId="58" xfId="2" applyFont="1" applyFill="1" applyBorder="1" applyAlignment="1" applyProtection="1">
      <alignment horizontal="right"/>
    </xf>
    <xf numFmtId="173" fontId="8" fillId="0" borderId="61" xfId="2" applyNumberFormat="1" applyFont="1" applyFill="1" applyBorder="1" applyProtection="1"/>
    <xf numFmtId="173" fontId="8" fillId="0" borderId="61" xfId="2" applyNumberFormat="1" applyFont="1" applyFill="1" applyBorder="1" applyAlignment="1" applyProtection="1">
      <alignment horizontal="right"/>
    </xf>
    <xf numFmtId="173" fontId="8" fillId="0" borderId="62" xfId="2" applyNumberFormat="1" applyFont="1" applyFill="1" applyBorder="1" applyAlignment="1" applyProtection="1">
      <alignment horizontal="right"/>
    </xf>
    <xf numFmtId="173" fontId="8" fillId="0" borderId="63" xfId="2" applyNumberFormat="1" applyFont="1" applyFill="1" applyBorder="1" applyAlignment="1" applyProtection="1">
      <alignment horizontal="right"/>
    </xf>
    <xf numFmtId="173" fontId="8" fillId="0" borderId="0" xfId="2" applyNumberFormat="1" applyFont="1" applyFill="1" applyBorder="1" applyProtection="1"/>
    <xf numFmtId="173" fontId="8" fillId="0" borderId="6" xfId="2" applyNumberFormat="1" applyFont="1" applyFill="1" applyBorder="1" applyProtection="1"/>
    <xf numFmtId="0" fontId="4" fillId="0" borderId="6" xfId="2" applyFont="1" applyFill="1" applyBorder="1" applyProtection="1">
      <protection locked="0"/>
    </xf>
    <xf numFmtId="0" fontId="7" fillId="0" borderId="2" xfId="2" applyFont="1" applyFill="1" applyBorder="1" applyProtection="1"/>
    <xf numFmtId="0" fontId="4" fillId="0" borderId="58" xfId="2" applyFont="1" applyFill="1" applyBorder="1" applyProtection="1">
      <protection locked="0"/>
    </xf>
    <xf numFmtId="0" fontId="4" fillId="0" borderId="21" xfId="2" applyFont="1" applyFill="1" applyBorder="1" applyProtection="1">
      <protection locked="0"/>
    </xf>
    <xf numFmtId="0" fontId="4" fillId="0" borderId="60" xfId="2" applyFont="1" applyFill="1" applyBorder="1" applyProtection="1">
      <protection locked="0"/>
    </xf>
    <xf numFmtId="2" fontId="8" fillId="0" borderId="58" xfId="37" applyNumberFormat="1" applyFont="1" applyFill="1" applyBorder="1"/>
    <xf numFmtId="2" fontId="8" fillId="0" borderId="58" xfId="37" applyNumberFormat="1" applyFont="1" applyFill="1" applyBorder="1" applyAlignment="1">
      <alignment horizontal="right"/>
    </xf>
    <xf numFmtId="2" fontId="8" fillId="0" borderId="21" xfId="37" applyNumberFormat="1" applyFont="1" applyFill="1" applyBorder="1" applyAlignment="1">
      <alignment horizontal="right"/>
    </xf>
    <xf numFmtId="2" fontId="8" fillId="0" borderId="60" xfId="37" applyNumberFormat="1" applyFont="1" applyFill="1" applyBorder="1" applyAlignment="1">
      <alignment horizontal="right"/>
    </xf>
    <xf numFmtId="2" fontId="8" fillId="0" borderId="0" xfId="37" applyNumberFormat="1" applyFont="1" applyFill="1" applyBorder="1" applyAlignment="1">
      <alignment horizontal="right"/>
    </xf>
    <xf numFmtId="2" fontId="8" fillId="0" borderId="61" xfId="2" applyNumberFormat="1" applyFont="1" applyFill="1" applyBorder="1" applyProtection="1"/>
    <xf numFmtId="2" fontId="8" fillId="0" borderId="61" xfId="0" applyNumberFormat="1" applyFont="1" applyFill="1" applyBorder="1"/>
    <xf numFmtId="2" fontId="8" fillId="0" borderId="61" xfId="37" applyNumberFormat="1" applyFont="1" applyFill="1" applyBorder="1"/>
    <xf numFmtId="2" fontId="8" fillId="0" borderId="61" xfId="0" applyNumberFormat="1" applyFont="1" applyFill="1" applyBorder="1" applyAlignment="1">
      <alignment horizontal="right"/>
    </xf>
    <xf numFmtId="2" fontId="8" fillId="0" borderId="62" xfId="0" applyNumberFormat="1" applyFont="1" applyFill="1" applyBorder="1" applyAlignment="1">
      <alignment horizontal="right"/>
    </xf>
    <xf numFmtId="2" fontId="8" fillId="0" borderId="63" xfId="0" applyNumberFormat="1" applyFont="1" applyFill="1" applyBorder="1" applyAlignment="1">
      <alignment horizontal="right"/>
    </xf>
    <xf numFmtId="2" fontId="8" fillId="0" borderId="0" xfId="0" applyNumberFormat="1" applyFont="1" applyFill="1" applyBorder="1" applyAlignment="1">
      <alignment horizontal="right"/>
    </xf>
    <xf numFmtId="0" fontId="114" fillId="0" borderId="0" xfId="2" applyFont="1" applyFill="1" applyBorder="1" applyAlignment="1" applyProtection="1">
      <alignment vertical="top"/>
    </xf>
    <xf numFmtId="2" fontId="8" fillId="0" borderId="0" xfId="2" applyNumberFormat="1" applyFont="1" applyFill="1" applyBorder="1" applyProtection="1"/>
    <xf numFmtId="0" fontId="52" fillId="0" borderId="0" xfId="37" applyFont="1" applyFill="1"/>
    <xf numFmtId="0" fontId="0" fillId="0" borderId="26" xfId="2" applyFont="1" applyFill="1" applyBorder="1" applyProtection="1">
      <protection locked="0"/>
    </xf>
    <xf numFmtId="0" fontId="15" fillId="0" borderId="0" xfId="37" applyFont="1" applyFill="1" applyBorder="1"/>
    <xf numFmtId="0" fontId="15" fillId="0" borderId="0" xfId="37" applyFont="1" applyFill="1" applyBorder="1" applyAlignment="1">
      <alignment horizontal="right"/>
    </xf>
    <xf numFmtId="0" fontId="115" fillId="0" borderId="0" xfId="37" applyFont="1" applyFill="1" applyBorder="1"/>
    <xf numFmtId="0" fontId="8" fillId="0" borderId="0" xfId="37" applyFont="1" applyFill="1" applyBorder="1" applyAlignment="1" applyProtection="1">
      <alignment horizontal="left"/>
      <protection locked="0"/>
    </xf>
    <xf numFmtId="0" fontId="8" fillId="0" borderId="0" xfId="37" applyFont="1" applyFill="1" applyBorder="1" applyAlignment="1" applyProtection="1">
      <alignment horizontal="right"/>
      <protection locked="0"/>
    </xf>
    <xf numFmtId="164" fontId="8" fillId="0" borderId="0" xfId="37" applyNumberFormat="1" applyFont="1" applyFill="1" applyBorder="1"/>
    <xf numFmtId="0" fontId="8" fillId="0" borderId="0" xfId="37" applyFont="1" applyFill="1" applyBorder="1"/>
    <xf numFmtId="164" fontId="116" fillId="0" borderId="0" xfId="37" applyNumberFormat="1" applyFont="1" applyFill="1" applyBorder="1"/>
    <xf numFmtId="0" fontId="7" fillId="0" borderId="6" xfId="37" applyFont="1" applyFill="1" applyBorder="1"/>
    <xf numFmtId="0" fontId="7" fillId="0" borderId="6" xfId="37" applyFont="1" applyFill="1" applyBorder="1" applyAlignment="1" applyProtection="1">
      <alignment horizontal="right"/>
      <protection locked="0"/>
    </xf>
    <xf numFmtId="164" fontId="7" fillId="0" borderId="6" xfId="37" applyNumberFormat="1" applyFont="1" applyFill="1" applyBorder="1"/>
    <xf numFmtId="164" fontId="117" fillId="0" borderId="6" xfId="37" applyNumberFormat="1" applyFont="1" applyFill="1" applyBorder="1"/>
    <xf numFmtId="187" fontId="12" fillId="0" borderId="58" xfId="19" applyNumberFormat="1" applyFont="1" applyFill="1" applyBorder="1" applyProtection="1"/>
    <xf numFmtId="187" fontId="12" fillId="0" borderId="58" xfId="19" applyNumberFormat="1" applyFont="1" applyFill="1" applyBorder="1" applyProtection="1">
      <protection locked="0"/>
    </xf>
    <xf numFmtId="187" fontId="12" fillId="0" borderId="65" xfId="19" applyNumberFormat="1" applyFont="1" applyFill="1" applyBorder="1" applyProtection="1">
      <protection locked="0"/>
    </xf>
    <xf numFmtId="187" fontId="12" fillId="0" borderId="60" xfId="19" applyNumberFormat="1" applyFont="1" applyFill="1" applyBorder="1" applyProtection="1">
      <protection locked="0"/>
    </xf>
    <xf numFmtId="0" fontId="8" fillId="0" borderId="68" xfId="2" applyFont="1" applyFill="1" applyBorder="1" applyProtection="1"/>
    <xf numFmtId="187" fontId="12" fillId="0" borderId="61" xfId="19" applyNumberFormat="1" applyFont="1" applyFill="1" applyBorder="1" applyProtection="1"/>
    <xf numFmtId="187" fontId="12" fillId="0" borderId="61" xfId="19" applyNumberFormat="1" applyFont="1" applyFill="1" applyBorder="1"/>
    <xf numFmtId="187" fontId="12" fillId="0" borderId="63" xfId="19" applyNumberFormat="1" applyFont="1" applyFill="1" applyBorder="1"/>
    <xf numFmtId="187" fontId="12" fillId="0" borderId="0" xfId="19" applyNumberFormat="1" applyFont="1" applyFill="1" applyBorder="1" applyProtection="1"/>
    <xf numFmtId="187" fontId="12" fillId="0" borderId="0" xfId="19" applyNumberFormat="1" applyFont="1" applyFill="1" applyBorder="1"/>
    <xf numFmtId="0" fontId="8" fillId="0" borderId="28" xfId="2" applyFont="1" applyFill="1" applyBorder="1" applyProtection="1"/>
    <xf numFmtId="0" fontId="8" fillId="0" borderId="0" xfId="2" applyNumberFormat="1" applyFont="1" applyFill="1" applyBorder="1" applyProtection="1"/>
    <xf numFmtId="0" fontId="118" fillId="0" borderId="0" xfId="2" applyFont="1" applyFill="1" applyBorder="1" applyAlignment="1" applyProtection="1">
      <alignment vertical="top"/>
    </xf>
    <xf numFmtId="0" fontId="119" fillId="0" borderId="0" xfId="2" applyFont="1" applyFill="1" applyBorder="1" applyAlignment="1" applyProtection="1">
      <alignment vertical="top"/>
    </xf>
    <xf numFmtId="0" fontId="20" fillId="0" borderId="0" xfId="2" applyFont="1" applyFill="1" applyAlignment="1" applyProtection="1">
      <alignment vertical="top"/>
    </xf>
    <xf numFmtId="0" fontId="120" fillId="0" borderId="0" xfId="2" applyFont="1" applyFill="1" applyProtection="1">
      <protection locked="0"/>
    </xf>
    <xf numFmtId="0" fontId="13" fillId="0" borderId="0" xfId="2" applyFont="1" applyFill="1" applyAlignment="1" applyProtection="1">
      <alignment vertical="top"/>
    </xf>
    <xf numFmtId="0" fontId="8" fillId="0" borderId="2" xfId="2" applyFont="1" applyFill="1" applyBorder="1" applyAlignment="1" applyProtection="1">
      <alignment horizontal="left"/>
    </xf>
    <xf numFmtId="0" fontId="14" fillId="0" borderId="55" xfId="2" applyFont="1" applyFill="1" applyBorder="1" applyAlignment="1" applyProtection="1">
      <alignment horizontal="right"/>
    </xf>
    <xf numFmtId="0" fontId="14" fillId="0" borderId="65" xfId="2" applyFont="1" applyFill="1" applyBorder="1" applyAlignment="1" applyProtection="1">
      <alignment horizontal="right"/>
    </xf>
    <xf numFmtId="164" fontId="8" fillId="0" borderId="0" xfId="2" applyNumberFormat="1" applyFont="1" applyFill="1" applyBorder="1" applyAlignment="1" applyProtection="1">
      <alignment horizontal="left"/>
    </xf>
    <xf numFmtId="164" fontId="6" fillId="0" borderId="58" xfId="2" applyNumberFormat="1" applyFont="1" applyFill="1" applyBorder="1" applyAlignment="1" applyProtection="1">
      <alignment horizontal="right"/>
    </xf>
    <xf numFmtId="175" fontId="8" fillId="0" borderId="58" xfId="2" applyNumberFormat="1" applyFont="1" applyFill="1" applyBorder="1" applyAlignment="1" applyProtection="1">
      <alignment horizontal="right"/>
    </xf>
    <xf numFmtId="3" fontId="59" fillId="0" borderId="58" xfId="2" applyNumberFormat="1" applyFont="1" applyFill="1" applyBorder="1" applyAlignment="1"/>
    <xf numFmtId="3" fontId="11" fillId="0" borderId="58" xfId="2" applyNumberFormat="1" applyFont="1" applyFill="1" applyBorder="1" applyAlignment="1"/>
    <xf numFmtId="3" fontId="11" fillId="0" borderId="65" xfId="2" applyNumberFormat="1" applyFont="1" applyFill="1" applyBorder="1" applyAlignment="1"/>
    <xf numFmtId="175" fontId="8" fillId="0" borderId="58" xfId="17" applyNumberFormat="1" applyFont="1" applyFill="1" applyBorder="1" applyAlignment="1" applyProtection="1">
      <alignment horizontal="right"/>
    </xf>
    <xf numFmtId="3" fontId="11" fillId="0" borderId="60" xfId="2" applyNumberFormat="1" applyFont="1" applyFill="1" applyBorder="1" applyAlignment="1"/>
    <xf numFmtId="164" fontId="8" fillId="0" borderId="6" xfId="2" applyNumberFormat="1" applyFont="1" applyFill="1" applyBorder="1" applyAlignment="1" applyProtection="1">
      <alignment horizontal="left"/>
    </xf>
    <xf numFmtId="169" fontId="8" fillId="0" borderId="61" xfId="17" applyNumberFormat="1" applyFont="1" applyFill="1" applyBorder="1" applyAlignment="1" applyProtection="1">
      <alignment horizontal="right"/>
    </xf>
    <xf numFmtId="169" fontId="11" fillId="0" borderId="61" xfId="17" applyNumberFormat="1" applyFont="1" applyFill="1" applyBorder="1" applyAlignment="1" applyProtection="1">
      <alignment horizontal="right"/>
    </xf>
    <xf numFmtId="169" fontId="14" fillId="0" borderId="63" xfId="17" applyNumberFormat="1" applyFont="1" applyFill="1" applyBorder="1" applyAlignment="1" applyProtection="1">
      <alignment horizontal="right"/>
    </xf>
    <xf numFmtId="0" fontId="7" fillId="0" borderId="0" xfId="2" applyFont="1" applyFill="1" applyBorder="1" applyAlignment="1">
      <alignment horizontal="justify"/>
    </xf>
    <xf numFmtId="166" fontId="63" fillId="0" borderId="0" xfId="2" applyNumberFormat="1" applyFont="1" applyFill="1" applyBorder="1" applyAlignment="1"/>
    <xf numFmtId="166" fontId="59" fillId="0" borderId="0" xfId="2" applyNumberFormat="1" applyFont="1" applyFill="1" applyBorder="1" applyAlignment="1"/>
    <xf numFmtId="0" fontId="8" fillId="0" borderId="26" xfId="2" applyFont="1" applyFill="1" applyBorder="1" applyAlignment="1">
      <alignment horizontal="justify"/>
    </xf>
    <xf numFmtId="0" fontId="7" fillId="0" borderId="6" xfId="2" applyFont="1" applyFill="1" applyBorder="1" applyAlignment="1">
      <alignment horizontal="justify"/>
    </xf>
    <xf numFmtId="169" fontId="8" fillId="0" borderId="5" xfId="17" applyNumberFormat="1" applyFont="1" applyFill="1" applyBorder="1" applyAlignment="1" applyProtection="1">
      <alignment horizontal="right" wrapText="1"/>
    </xf>
    <xf numFmtId="169" fontId="8" fillId="0" borderId="6" xfId="17" applyNumberFormat="1" applyFont="1" applyFill="1" applyBorder="1" applyAlignment="1" applyProtection="1">
      <alignment horizontal="right" wrapText="1"/>
    </xf>
    <xf numFmtId="169" fontId="8" fillId="0" borderId="68" xfId="17" applyNumberFormat="1" applyFont="1" applyFill="1" applyBorder="1" applyAlignment="1" applyProtection="1">
      <alignment horizontal="right"/>
    </xf>
    <xf numFmtId="169" fontId="11" fillId="0" borderId="6" xfId="17" applyNumberFormat="1" applyFont="1" applyFill="1" applyBorder="1" applyAlignment="1" applyProtection="1">
      <alignment horizontal="right" wrapText="1"/>
    </xf>
    <xf numFmtId="169" fontId="11" fillId="0" borderId="68" xfId="17" applyNumberFormat="1" applyFont="1" applyFill="1" applyBorder="1" applyAlignment="1" applyProtection="1">
      <alignment horizontal="right"/>
    </xf>
    <xf numFmtId="169" fontId="11" fillId="0" borderId="20" xfId="17" applyNumberFormat="1" applyFont="1" applyFill="1" applyBorder="1" applyAlignment="1" applyProtection="1">
      <alignment horizontal="right"/>
    </xf>
    <xf numFmtId="175" fontId="8" fillId="0" borderId="18" xfId="17" applyNumberFormat="1" applyFont="1" applyFill="1" applyBorder="1" applyAlignment="1" applyProtection="1">
      <alignment horizontal="right"/>
    </xf>
    <xf numFmtId="175" fontId="59" fillId="0" borderId="0" xfId="2" applyNumberFormat="1" applyFont="1" applyFill="1" applyBorder="1" applyAlignment="1"/>
    <xf numFmtId="175" fontId="8" fillId="0" borderId="0" xfId="17" applyNumberFormat="1" applyFont="1" applyFill="1" applyBorder="1" applyAlignment="1" applyProtection="1">
      <alignment horizontal="right"/>
    </xf>
    <xf numFmtId="175" fontId="11" fillId="0" borderId="0" xfId="17" applyNumberFormat="1" applyFont="1" applyFill="1" applyBorder="1" applyAlignment="1" applyProtection="1">
      <alignment horizontal="right"/>
    </xf>
    <xf numFmtId="175" fontId="11" fillId="0" borderId="0" xfId="2" applyNumberFormat="1" applyFont="1" applyFill="1" applyBorder="1" applyAlignment="1"/>
    <xf numFmtId="169" fontId="11" fillId="0" borderId="28" xfId="17" applyNumberFormat="1" applyFont="1" applyFill="1" applyBorder="1" applyAlignment="1" applyProtection="1">
      <alignment horizontal="right"/>
    </xf>
    <xf numFmtId="169" fontId="8" fillId="0" borderId="19" xfId="17" applyNumberFormat="1" applyFont="1" applyFill="1" applyBorder="1" applyAlignment="1" applyProtection="1">
      <alignment horizontal="right"/>
    </xf>
    <xf numFmtId="0" fontId="8" fillId="0" borderId="23" xfId="2" applyFont="1" applyFill="1" applyBorder="1" applyAlignment="1">
      <alignment horizontal="justify"/>
    </xf>
    <xf numFmtId="175" fontId="8" fillId="0" borderId="33" xfId="17" applyNumberFormat="1" applyFont="1" applyFill="1" applyBorder="1" applyAlignment="1" applyProtection="1">
      <alignment horizontal="right"/>
    </xf>
    <xf numFmtId="175" fontId="59" fillId="0" borderId="23" xfId="2" applyNumberFormat="1" applyFont="1" applyFill="1" applyBorder="1" applyAlignment="1"/>
    <xf numFmtId="169" fontId="8" fillId="0" borderId="24" xfId="17" applyNumberFormat="1" applyFont="1" applyFill="1" applyBorder="1" applyAlignment="1" applyProtection="1">
      <alignment horizontal="right"/>
    </xf>
    <xf numFmtId="175" fontId="8" fillId="0" borderId="23" xfId="17" applyNumberFormat="1" applyFont="1" applyFill="1" applyBorder="1" applyAlignment="1" applyProtection="1">
      <alignment horizontal="right"/>
    </xf>
    <xf numFmtId="175" fontId="11" fillId="0" borderId="23" xfId="17" applyNumberFormat="1" applyFont="1" applyFill="1" applyBorder="1" applyAlignment="1" applyProtection="1">
      <alignment horizontal="right"/>
    </xf>
    <xf numFmtId="175" fontId="11" fillId="0" borderId="23" xfId="2" applyNumberFormat="1" applyFont="1" applyFill="1" applyBorder="1" applyAlignment="1"/>
    <xf numFmtId="169" fontId="11" fillId="0" borderId="24" xfId="17" applyNumberFormat="1" applyFont="1" applyFill="1" applyBorder="1" applyAlignment="1" applyProtection="1">
      <alignment horizontal="right"/>
    </xf>
    <xf numFmtId="175" fontId="8" fillId="0" borderId="5" xfId="2" applyNumberFormat="1" applyFont="1" applyFill="1" applyBorder="1" applyAlignment="1" applyProtection="1">
      <alignment horizontal="right"/>
    </xf>
    <xf numFmtId="175" fontId="8" fillId="0" borderId="6" xfId="2" applyNumberFormat="1" applyFont="1" applyFill="1" applyBorder="1" applyAlignment="1" applyProtection="1">
      <alignment horizontal="right"/>
    </xf>
    <xf numFmtId="169" fontId="8" fillId="0" borderId="99" xfId="17" applyNumberFormat="1" applyFont="1" applyFill="1" applyBorder="1" applyAlignment="1" applyProtection="1">
      <alignment horizontal="right"/>
    </xf>
    <xf numFmtId="175" fontId="8" fillId="0" borderId="6" xfId="2" applyNumberFormat="1" applyFont="1" applyFill="1" applyBorder="1" applyAlignment="1">
      <alignment horizontal="right"/>
    </xf>
    <xf numFmtId="175" fontId="11" fillId="0" borderId="6" xfId="2" applyNumberFormat="1" applyFont="1" applyFill="1" applyBorder="1" applyAlignment="1" applyProtection="1">
      <alignment horizontal="right"/>
    </xf>
    <xf numFmtId="175" fontId="11" fillId="0" borderId="100" xfId="2" applyNumberFormat="1" applyFont="1" applyFill="1" applyBorder="1" applyAlignment="1" applyProtection="1">
      <alignment horizontal="right"/>
    </xf>
    <xf numFmtId="175" fontId="11" fillId="0" borderId="42" xfId="2" applyNumberFormat="1" applyFont="1" applyFill="1" applyBorder="1" applyAlignment="1" applyProtection="1">
      <alignment horizontal="right"/>
    </xf>
    <xf numFmtId="169" fontId="11" fillId="0" borderId="99" xfId="17" applyNumberFormat="1" applyFont="1" applyFill="1" applyBorder="1" applyAlignment="1" applyProtection="1">
      <alignment horizontal="right"/>
    </xf>
    <xf numFmtId="169" fontId="11" fillId="0" borderId="43" xfId="17" applyNumberFormat="1" applyFont="1" applyFill="1" applyBorder="1" applyAlignment="1" applyProtection="1">
      <alignment horizontal="right"/>
    </xf>
    <xf numFmtId="175" fontId="8" fillId="0" borderId="0" xfId="2" applyNumberFormat="1" applyFont="1" applyFill="1" applyBorder="1" applyAlignment="1" applyProtection="1">
      <alignment horizontal="right"/>
    </xf>
    <xf numFmtId="184" fontId="8" fillId="0" borderId="0" xfId="2" applyNumberFormat="1" applyFont="1" applyFill="1" applyBorder="1" applyAlignment="1" applyProtection="1">
      <alignment horizontal="right"/>
    </xf>
    <xf numFmtId="0" fontId="20" fillId="0" borderId="0" xfId="2" applyFont="1" applyFill="1" applyBorder="1" applyAlignment="1" applyProtection="1">
      <alignment vertical="top"/>
      <protection locked="0"/>
    </xf>
    <xf numFmtId="0" fontId="6" fillId="0" borderId="0" xfId="2" applyFont="1" applyFill="1" applyBorder="1" applyAlignment="1" applyProtection="1">
      <alignment vertical="top"/>
      <protection locked="0"/>
    </xf>
    <xf numFmtId="0" fontId="20" fillId="0" borderId="0" xfId="2" applyFont="1" applyFill="1" applyAlignment="1" applyProtection="1">
      <alignment vertical="top"/>
      <protection locked="0"/>
    </xf>
    <xf numFmtId="0" fontId="25" fillId="0" borderId="0" xfId="2" applyFont="1" applyFill="1" applyBorder="1" applyAlignment="1" applyProtection="1">
      <alignment horizontal="left" vertical="top" wrapText="1"/>
    </xf>
    <xf numFmtId="0" fontId="28" fillId="0" borderId="26" xfId="2" applyFont="1" applyFill="1" applyBorder="1" applyProtection="1"/>
    <xf numFmtId="0" fontId="41" fillId="0" borderId="2" xfId="2" applyFont="1" applyFill="1" applyBorder="1" applyAlignment="1" applyProtection="1">
      <alignment horizontal="right"/>
    </xf>
    <xf numFmtId="185" fontId="8" fillId="0" borderId="0" xfId="38" applyNumberFormat="1" applyFont="1" applyFill="1" applyBorder="1" applyAlignment="1" applyProtection="1">
      <alignment horizontal="right"/>
    </xf>
    <xf numFmtId="3" fontId="8" fillId="0" borderId="0" xfId="15" applyNumberFormat="1" applyFont="1" applyFill="1" applyBorder="1"/>
    <xf numFmtId="164" fontId="8" fillId="0" borderId="0" xfId="15" applyNumberFormat="1" applyFont="1" applyFill="1" applyBorder="1"/>
    <xf numFmtId="185" fontId="28" fillId="0" borderId="0" xfId="38" applyNumberFormat="1" applyFont="1" applyFill="1" applyBorder="1" applyAlignment="1" applyProtection="1">
      <alignment horizontal="right"/>
    </xf>
    <xf numFmtId="185" fontId="23" fillId="0" borderId="0" xfId="38" applyNumberFormat="1" applyFont="1" applyFill="1" applyBorder="1" applyAlignment="1" applyProtection="1">
      <alignment horizontal="right"/>
    </xf>
    <xf numFmtId="3" fontId="23" fillId="0" borderId="58" xfId="15" applyNumberFormat="1" applyFont="1" applyFill="1" applyBorder="1"/>
    <xf numFmtId="3" fontId="23" fillId="2" borderId="60" xfId="15" applyNumberFormat="1" applyFont="1" applyFill="1" applyBorder="1"/>
    <xf numFmtId="0" fontId="63" fillId="0" borderId="0" xfId="2" applyFont="1" applyFill="1" applyAlignment="1" applyProtection="1">
      <alignment vertical="top"/>
    </xf>
    <xf numFmtId="0" fontId="44" fillId="0" borderId="0" xfId="2" applyFont="1" applyFill="1" applyAlignment="1" applyProtection="1">
      <alignment vertical="top"/>
    </xf>
    <xf numFmtId="0" fontId="11" fillId="0" borderId="0" xfId="2" applyFont="1" applyFill="1" applyBorder="1" applyAlignment="1" applyProtection="1">
      <alignment horizontal="right" wrapText="1"/>
    </xf>
    <xf numFmtId="185" fontId="44" fillId="0" borderId="0" xfId="38" applyNumberFormat="1" applyFont="1" applyFill="1" applyBorder="1" applyAlignment="1" applyProtection="1">
      <alignment horizontal="right"/>
    </xf>
    <xf numFmtId="0" fontId="44" fillId="0" borderId="0" xfId="15" applyFont="1" applyFill="1" applyBorder="1"/>
    <xf numFmtId="3" fontId="44" fillId="0" borderId="0" xfId="15" applyNumberFormat="1" applyFont="1" applyFill="1" applyBorder="1"/>
    <xf numFmtId="0" fontId="44" fillId="0" borderId="0" xfId="2" applyFont="1" applyFill="1" applyBorder="1" applyProtection="1">
      <protection locked="0"/>
    </xf>
    <xf numFmtId="164" fontId="44" fillId="0" borderId="0" xfId="15" applyNumberFormat="1" applyFont="1" applyFill="1" applyBorder="1"/>
    <xf numFmtId="185" fontId="23" fillId="0" borderId="58" xfId="38" applyNumberFormat="1" applyFont="1" applyFill="1" applyBorder="1" applyAlignment="1" applyProtection="1">
      <alignment horizontal="right"/>
    </xf>
    <xf numFmtId="0" fontId="44" fillId="0" borderId="0" xfId="2" applyFont="1" applyFill="1" applyProtection="1">
      <protection locked="0"/>
    </xf>
    <xf numFmtId="0" fontId="8" fillId="0" borderId="0" xfId="2" applyFont="1" applyFill="1" applyBorder="1" applyAlignment="1" applyProtection="1">
      <alignment horizontal="left" wrapText="1"/>
    </xf>
    <xf numFmtId="185" fontId="8" fillId="0" borderId="0" xfId="2" applyNumberFormat="1" applyFont="1" applyFill="1" applyBorder="1" applyAlignment="1" applyProtection="1">
      <alignment horizontal="right"/>
    </xf>
    <xf numFmtId="185" fontId="28" fillId="0" borderId="0" xfId="2" applyNumberFormat="1" applyFont="1" applyFill="1" applyBorder="1" applyAlignment="1" applyProtection="1">
      <alignment horizontal="right"/>
    </xf>
    <xf numFmtId="185" fontId="23" fillId="2" borderId="60" xfId="38" applyNumberFormat="1" applyFont="1" applyFill="1" applyBorder="1" applyAlignment="1" applyProtection="1">
      <alignment horizontal="right"/>
    </xf>
    <xf numFmtId="0" fontId="11" fillId="0" borderId="6" xfId="2" applyFont="1" applyFill="1" applyBorder="1" applyAlignment="1" applyProtection="1">
      <alignment horizontal="right" wrapText="1"/>
    </xf>
    <xf numFmtId="185" fontId="44" fillId="0" borderId="6" xfId="2" applyNumberFormat="1" applyFont="1" applyFill="1" applyBorder="1" applyAlignment="1" applyProtection="1">
      <alignment horizontal="right"/>
    </xf>
    <xf numFmtId="0" fontId="44" fillId="0" borderId="6" xfId="15" applyFont="1" applyFill="1" applyBorder="1"/>
    <xf numFmtId="3" fontId="44" fillId="0" borderId="6" xfId="15" applyNumberFormat="1" applyFont="1" applyFill="1" applyBorder="1"/>
    <xf numFmtId="0" fontId="44" fillId="0" borderId="6" xfId="2" applyFont="1" applyFill="1" applyBorder="1" applyProtection="1">
      <protection locked="0"/>
    </xf>
    <xf numFmtId="164" fontId="44" fillId="0" borderId="6" xfId="15" applyNumberFormat="1" applyFont="1" applyFill="1" applyBorder="1"/>
    <xf numFmtId="185" fontId="23" fillId="0" borderId="6" xfId="38" applyNumberFormat="1" applyFont="1" applyFill="1" applyBorder="1" applyAlignment="1" applyProtection="1">
      <alignment horizontal="right"/>
    </xf>
    <xf numFmtId="185" fontId="23" fillId="0" borderId="61" xfId="38" applyNumberFormat="1" applyFont="1" applyFill="1" applyBorder="1" applyAlignment="1" applyProtection="1">
      <alignment horizontal="right"/>
    </xf>
    <xf numFmtId="185" fontId="23" fillId="2" borderId="63" xfId="38" applyNumberFormat="1" applyFont="1" applyFill="1" applyBorder="1" applyAlignment="1" applyProtection="1">
      <alignment horizontal="right"/>
    </xf>
    <xf numFmtId="0" fontId="118" fillId="0" borderId="0" xfId="2" applyFont="1" applyFill="1" applyProtection="1">
      <protection locked="0"/>
    </xf>
    <xf numFmtId="3" fontId="28" fillId="0" borderId="0" xfId="15" applyNumberFormat="1" applyFont="1" applyFill="1" applyBorder="1"/>
    <xf numFmtId="185" fontId="28" fillId="0" borderId="6" xfId="2" applyNumberFormat="1" applyFont="1" applyFill="1" applyBorder="1" applyAlignment="1" applyProtection="1">
      <alignment horizontal="right"/>
    </xf>
    <xf numFmtId="3" fontId="28" fillId="0" borderId="6" xfId="15" applyNumberFormat="1" applyFont="1" applyFill="1" applyBorder="1"/>
    <xf numFmtId="0" fontId="0" fillId="0" borderId="0" xfId="2" applyFont="1" applyFill="1" applyBorder="1" applyAlignment="1" applyProtection="1">
      <alignment wrapText="1"/>
    </xf>
    <xf numFmtId="9" fontId="8" fillId="0" borderId="0" xfId="2" applyNumberFormat="1" applyFont="1" applyFill="1" applyBorder="1" applyProtection="1">
      <protection locked="0"/>
    </xf>
    <xf numFmtId="0" fontId="114" fillId="0" borderId="0" xfId="2" applyFont="1" applyFill="1" applyProtection="1">
      <protection locked="0"/>
    </xf>
    <xf numFmtId="9" fontId="7" fillId="0" borderId="6" xfId="2" applyNumberFormat="1" applyFont="1" applyFill="1" applyBorder="1" applyProtection="1"/>
    <xf numFmtId="9" fontId="8" fillId="0" borderId="6" xfId="2" applyNumberFormat="1" applyFont="1" applyFill="1" applyBorder="1" applyProtection="1"/>
    <xf numFmtId="0" fontId="7" fillId="0" borderId="0" xfId="2" applyFont="1" applyFill="1" applyAlignment="1" applyProtection="1">
      <alignment vertical="top"/>
    </xf>
    <xf numFmtId="0" fontId="8" fillId="0" borderId="2" xfId="2" applyFont="1" applyFill="1" applyBorder="1" applyAlignment="1" applyProtection="1">
      <alignment wrapText="1"/>
    </xf>
    <xf numFmtId="0" fontId="7" fillId="0" borderId="57" xfId="2" applyFont="1" applyFill="1" applyBorder="1" applyAlignment="1" applyProtection="1">
      <alignment horizontal="right"/>
    </xf>
    <xf numFmtId="0" fontId="109" fillId="0" borderId="0" xfId="2" applyFont="1" applyFill="1" applyAlignment="1" applyProtection="1">
      <alignment horizontal="right" vertical="top"/>
    </xf>
    <xf numFmtId="0" fontId="8" fillId="0" borderId="58" xfId="2" applyFont="1" applyFill="1" applyBorder="1" applyAlignment="1" applyProtection="1">
      <alignment horizontal="right" wrapText="1"/>
    </xf>
    <xf numFmtId="0" fontId="7" fillId="0" borderId="58" xfId="2" applyFont="1" applyFill="1" applyBorder="1" applyAlignment="1" applyProtection="1">
      <alignment horizontal="right"/>
      <protection locked="0"/>
    </xf>
    <xf numFmtId="169" fontId="8" fillId="0" borderId="58" xfId="17" applyNumberFormat="1" applyFont="1" applyFill="1" applyBorder="1" applyAlignment="1" applyProtection="1">
      <alignment horizontal="right"/>
    </xf>
    <xf numFmtId="166" fontId="11" fillId="0" borderId="91" xfId="0" applyNumberFormat="1" applyFont="1" applyBorder="1"/>
    <xf numFmtId="169" fontId="8" fillId="0" borderId="60" xfId="17" applyNumberFormat="1" applyFont="1" applyFill="1" applyBorder="1" applyAlignment="1" applyProtection="1">
      <alignment horizontal="right"/>
    </xf>
    <xf numFmtId="0" fontId="8" fillId="0" borderId="58" xfId="2" applyFont="1" applyFill="1" applyBorder="1" applyAlignment="1" applyProtection="1">
      <alignment horizontal="right"/>
      <protection locked="0"/>
    </xf>
    <xf numFmtId="0" fontId="109" fillId="0" borderId="0" xfId="2" applyFont="1" applyFill="1" applyBorder="1" applyAlignment="1" applyProtection="1">
      <alignment horizontal="right" vertical="top"/>
    </xf>
    <xf numFmtId="0" fontId="8" fillId="0" borderId="23" xfId="2" applyFont="1" applyFill="1" applyBorder="1" applyAlignment="1" applyProtection="1">
      <alignment horizontal="left" wrapText="1"/>
    </xf>
    <xf numFmtId="169" fontId="8" fillId="0" borderId="84" xfId="17" applyNumberFormat="1" applyFont="1" applyFill="1" applyBorder="1" applyAlignment="1" applyProtection="1">
      <alignment horizontal="right"/>
    </xf>
    <xf numFmtId="0" fontId="8" fillId="0" borderId="84" xfId="2" applyFont="1" applyFill="1" applyBorder="1" applyAlignment="1" applyProtection="1">
      <alignment horizontal="right" wrapText="1"/>
    </xf>
    <xf numFmtId="169" fontId="8" fillId="0" borderId="85" xfId="17" applyNumberFormat="1" applyFont="1" applyFill="1" applyBorder="1" applyAlignment="1" applyProtection="1">
      <alignment horizontal="right"/>
    </xf>
    <xf numFmtId="0" fontId="8" fillId="0" borderId="6" xfId="2" applyFont="1" applyFill="1" applyBorder="1" applyAlignment="1" applyProtection="1">
      <alignment horizontal="left" wrapText="1"/>
    </xf>
    <xf numFmtId="166" fontId="0" fillId="2" borderId="29" xfId="0" applyNumberFormat="1" applyFill="1" applyBorder="1"/>
    <xf numFmtId="166" fontId="0" fillId="0" borderId="29" xfId="0" applyNumberFormat="1" applyBorder="1"/>
    <xf numFmtId="166" fontId="36" fillId="0" borderId="29" xfId="0" applyNumberFormat="1" applyFont="1" applyBorder="1"/>
    <xf numFmtId="166" fontId="36" fillId="2" borderId="29" xfId="0" applyNumberFormat="1" applyFont="1" applyFill="1" applyBorder="1"/>
    <xf numFmtId="0" fontId="7" fillId="0" borderId="0" xfId="2" applyFont="1" applyFill="1" applyBorder="1" applyAlignment="1" applyProtection="1">
      <alignment horizontal="left" wrapText="1"/>
    </xf>
    <xf numFmtId="0" fontId="7" fillId="0" borderId="0" xfId="1" applyNumberFormat="1" applyFont="1" applyFill="1" applyBorder="1" applyAlignment="1" applyProtection="1">
      <alignment horizontal="right"/>
    </xf>
    <xf numFmtId="169" fontId="8" fillId="0" borderId="0" xfId="1" applyNumberFormat="1" applyFont="1" applyFill="1" applyBorder="1" applyAlignment="1" applyProtection="1">
      <alignment horizontal="right"/>
    </xf>
    <xf numFmtId="9" fontId="8" fillId="0" borderId="0" xfId="1" applyFont="1" applyFill="1" applyBorder="1" applyAlignment="1" applyProtection="1">
      <alignment horizontal="right"/>
    </xf>
    <xf numFmtId="0" fontId="8" fillId="0" borderId="0" xfId="1" applyNumberFormat="1" applyFont="1" applyFill="1" applyBorder="1" applyAlignment="1" applyProtection="1">
      <alignment horizontal="right" wrapText="1"/>
    </xf>
    <xf numFmtId="169" fontId="8" fillId="0" borderId="0" xfId="1" applyNumberFormat="1" applyFont="1" applyFill="1" applyBorder="1" applyAlignment="1" applyProtection="1">
      <alignment horizontal="right" wrapText="1"/>
    </xf>
    <xf numFmtId="9" fontId="8" fillId="0" borderId="0" xfId="1" applyFont="1" applyFill="1" applyBorder="1" applyAlignment="1" applyProtection="1">
      <alignment horizontal="right"/>
      <protection locked="0"/>
    </xf>
    <xf numFmtId="0" fontId="8" fillId="0" borderId="23" xfId="1" applyNumberFormat="1" applyFont="1" applyFill="1" applyBorder="1" applyAlignment="1" applyProtection="1">
      <alignment horizontal="right"/>
    </xf>
    <xf numFmtId="169" fontId="8" fillId="0" borderId="23" xfId="1" applyNumberFormat="1" applyFont="1" applyFill="1" applyBorder="1" applyAlignment="1" applyProtection="1">
      <alignment horizontal="right" wrapText="1"/>
    </xf>
    <xf numFmtId="9" fontId="8" fillId="0" borderId="23" xfId="1" applyFont="1" applyFill="1" applyBorder="1" applyAlignment="1" applyProtection="1">
      <alignment horizontal="right"/>
    </xf>
    <xf numFmtId="169" fontId="8" fillId="0" borderId="23" xfId="1" applyNumberFormat="1" applyFont="1" applyFill="1" applyBorder="1" applyAlignment="1" applyProtection="1">
      <alignment horizontal="right"/>
    </xf>
    <xf numFmtId="0" fontId="8" fillId="0" borderId="6" xfId="1" applyNumberFormat="1" applyFont="1" applyFill="1" applyBorder="1" applyAlignment="1" applyProtection="1">
      <alignment horizontal="right"/>
    </xf>
    <xf numFmtId="169" fontId="8" fillId="0" borderId="6" xfId="1" applyNumberFormat="1" applyFont="1" applyFill="1" applyBorder="1" applyAlignment="1" applyProtection="1">
      <alignment horizontal="right" wrapText="1"/>
    </xf>
    <xf numFmtId="9" fontId="8" fillId="0" borderId="6" xfId="1" applyFont="1" applyFill="1" applyBorder="1" applyAlignment="1" applyProtection="1">
      <alignment horizontal="right"/>
    </xf>
    <xf numFmtId="169" fontId="8" fillId="0" borderId="6" xfId="1" applyNumberFormat="1" applyFont="1" applyFill="1" applyBorder="1" applyAlignment="1" applyProtection="1">
      <alignment horizontal="right"/>
    </xf>
    <xf numFmtId="169" fontId="7" fillId="0" borderId="0" xfId="17" applyNumberFormat="1" applyFont="1" applyFill="1" applyBorder="1" applyAlignment="1" applyProtection="1">
      <alignment horizontal="right"/>
    </xf>
    <xf numFmtId="169" fontId="7" fillId="0" borderId="0" xfId="1" applyNumberFormat="1" applyFont="1" applyFill="1" applyBorder="1" applyAlignment="1" applyProtection="1">
      <alignment horizontal="right" wrapText="1"/>
    </xf>
    <xf numFmtId="9" fontId="7" fillId="0" borderId="0" xfId="1" applyFont="1" applyFill="1" applyBorder="1" applyAlignment="1" applyProtection="1">
      <alignment horizontal="right" wrapText="1"/>
    </xf>
    <xf numFmtId="0" fontId="7" fillId="0" borderId="0" xfId="2" applyFont="1" applyFill="1" applyProtection="1">
      <protection locked="0"/>
    </xf>
    <xf numFmtId="9" fontId="6" fillId="0" borderId="0" xfId="17" applyFont="1" applyFill="1" applyProtection="1">
      <protection locked="0"/>
    </xf>
    <xf numFmtId="0" fontId="7" fillId="0" borderId="26" xfId="2" applyFont="1" applyFill="1" applyBorder="1" applyAlignment="1" applyProtection="1">
      <alignment horizontal="right"/>
    </xf>
    <xf numFmtId="0" fontId="117" fillId="0" borderId="26" xfId="2" applyFont="1" applyFill="1" applyBorder="1" applyAlignment="1" applyProtection="1">
      <alignment horizontal="right"/>
    </xf>
    <xf numFmtId="169" fontId="8" fillId="3" borderId="58" xfId="17" applyNumberFormat="1" applyFont="1" applyFill="1" applyBorder="1" applyAlignment="1" applyProtection="1">
      <alignment horizontal="right"/>
    </xf>
    <xf numFmtId="169" fontId="8" fillId="3" borderId="60" xfId="17" applyNumberFormat="1" applyFont="1" applyFill="1" applyBorder="1" applyAlignment="1" applyProtection="1">
      <alignment horizontal="right"/>
    </xf>
    <xf numFmtId="0" fontId="8" fillId="0" borderId="0" xfId="2" applyFont="1" applyFill="1" applyBorder="1" applyAlignment="1" applyProtection="1">
      <alignment horizontal="right"/>
      <protection locked="0"/>
    </xf>
    <xf numFmtId="169" fontId="8" fillId="0" borderId="23" xfId="17" applyNumberFormat="1" applyFont="1" applyFill="1" applyBorder="1" applyAlignment="1" applyProtection="1">
      <alignment horizontal="right"/>
    </xf>
    <xf numFmtId="0" fontId="8" fillId="0" borderId="23" xfId="2" applyFont="1" applyFill="1" applyBorder="1" applyAlignment="1" applyProtection="1">
      <alignment horizontal="right" wrapText="1"/>
    </xf>
    <xf numFmtId="169" fontId="8" fillId="3" borderId="84" xfId="17" applyNumberFormat="1" applyFont="1" applyFill="1" applyBorder="1" applyAlignment="1" applyProtection="1">
      <alignment horizontal="right"/>
    </xf>
    <xf numFmtId="169" fontId="8" fillId="3" borderId="85" xfId="17" applyNumberFormat="1" applyFont="1" applyFill="1" applyBorder="1" applyAlignment="1" applyProtection="1">
      <alignment horizontal="right"/>
    </xf>
    <xf numFmtId="169" fontId="8" fillId="0" borderId="6" xfId="17" applyNumberFormat="1" applyFont="1" applyFill="1" applyBorder="1" applyAlignment="1" applyProtection="1">
      <alignment horizontal="right"/>
    </xf>
    <xf numFmtId="3" fontId="6" fillId="0" borderId="0" xfId="2" applyNumberFormat="1" applyFont="1" applyFill="1" applyProtection="1">
      <protection locked="0"/>
    </xf>
    <xf numFmtId="0" fontId="121" fillId="0" borderId="0" xfId="15" applyFont="1" applyFill="1"/>
    <xf numFmtId="169" fontId="6" fillId="0" borderId="0" xfId="17" applyNumberFormat="1" applyFont="1" applyFill="1" applyProtection="1">
      <protection locked="0"/>
    </xf>
    <xf numFmtId="0" fontId="5" fillId="2" borderId="0" xfId="2" applyFont="1" applyFill="1" applyAlignment="1" applyProtection="1">
      <alignment vertical="top"/>
    </xf>
    <xf numFmtId="0" fontId="0" fillId="2" borderId="0" xfId="2" applyFont="1" applyFill="1" applyAlignment="1" applyProtection="1">
      <alignment vertical="top"/>
    </xf>
    <xf numFmtId="0" fontId="0" fillId="2" borderId="0" xfId="2" applyFont="1" applyFill="1" applyProtection="1"/>
    <xf numFmtId="0" fontId="0" fillId="2" borderId="0" xfId="2" applyFont="1" applyFill="1" applyProtection="1">
      <protection locked="0"/>
    </xf>
    <xf numFmtId="0" fontId="5" fillId="2" borderId="0" xfId="2" applyFont="1" applyFill="1" applyAlignment="1" applyProtection="1">
      <alignment vertical="top"/>
      <protection locked="0"/>
    </xf>
    <xf numFmtId="0" fontId="0" fillId="2" borderId="0" xfId="2" applyFont="1" applyFill="1" applyAlignment="1" applyProtection="1">
      <alignment vertical="top"/>
      <protection locked="0"/>
    </xf>
    <xf numFmtId="0" fontId="8" fillId="2" borderId="0" xfId="2" applyFont="1" applyFill="1" applyBorder="1" applyProtection="1">
      <protection locked="0"/>
    </xf>
    <xf numFmtId="0" fontId="0" fillId="2" borderId="6" xfId="2" applyFont="1" applyFill="1" applyBorder="1" applyProtection="1"/>
    <xf numFmtId="0" fontId="8" fillId="2" borderId="2" xfId="2" applyFont="1" applyFill="1" applyBorder="1" applyProtection="1"/>
    <xf numFmtId="0" fontId="7" fillId="2" borderId="55" xfId="2" applyFont="1" applyFill="1" applyBorder="1" applyAlignment="1" applyProtection="1">
      <alignment horizontal="right"/>
    </xf>
    <xf numFmtId="0" fontId="7" fillId="2" borderId="57" xfId="2" applyFont="1" applyFill="1" applyBorder="1" applyAlignment="1" applyProtection="1">
      <alignment horizontal="right"/>
    </xf>
    <xf numFmtId="0" fontId="109" fillId="2" borderId="0" xfId="2" applyFont="1" applyFill="1" applyAlignment="1" applyProtection="1">
      <alignment horizontal="right" vertical="top"/>
    </xf>
    <xf numFmtId="0" fontId="122" fillId="2" borderId="0" xfId="2" applyFont="1" applyFill="1" applyBorder="1" applyAlignment="1">
      <alignment horizontal="left"/>
    </xf>
    <xf numFmtId="0" fontId="122" fillId="2" borderId="0" xfId="2" applyFont="1" applyFill="1" applyBorder="1" applyAlignment="1">
      <alignment horizontal="center"/>
    </xf>
    <xf numFmtId="3" fontId="7" fillId="2" borderId="84" xfId="2" applyNumberFormat="1" applyFont="1" applyFill="1" applyBorder="1"/>
    <xf numFmtId="3" fontId="7" fillId="2" borderId="85" xfId="2" applyNumberFormat="1" applyFont="1" applyFill="1" applyBorder="1"/>
    <xf numFmtId="3" fontId="7" fillId="0" borderId="85" xfId="2" applyNumberFormat="1" applyFont="1" applyFill="1" applyBorder="1"/>
    <xf numFmtId="2" fontId="19" fillId="2" borderId="0" xfId="2" applyNumberFormat="1" applyFont="1" applyFill="1" applyProtection="1">
      <protection locked="0"/>
    </xf>
    <xf numFmtId="0" fontId="123" fillId="2" borderId="25" xfId="2" applyFont="1" applyFill="1" applyBorder="1" applyAlignment="1">
      <alignment horizontal="right"/>
    </xf>
    <xf numFmtId="0" fontId="123" fillId="2" borderId="25" xfId="2" applyFont="1" applyFill="1" applyBorder="1" applyAlignment="1">
      <alignment horizontal="center"/>
    </xf>
    <xf numFmtId="3" fontId="8" fillId="2" borderId="58" xfId="2" applyNumberFormat="1" applyFont="1" applyFill="1" applyBorder="1"/>
    <xf numFmtId="3" fontId="8" fillId="2" borderId="89" xfId="2" applyNumberFormat="1" applyFont="1" applyFill="1" applyBorder="1"/>
    <xf numFmtId="3" fontId="8" fillId="2" borderId="93" xfId="2" applyNumberFormat="1" applyFont="1" applyFill="1" applyBorder="1"/>
    <xf numFmtId="3" fontId="8" fillId="0" borderId="93" xfId="2" applyNumberFormat="1" applyFont="1" applyFill="1" applyBorder="1"/>
    <xf numFmtId="0" fontId="123" fillId="2" borderId="0" xfId="2" applyFont="1" applyFill="1" applyBorder="1" applyAlignment="1">
      <alignment horizontal="right"/>
    </xf>
    <xf numFmtId="0" fontId="123" fillId="2" borderId="0" xfId="2" applyFont="1" applyFill="1" applyBorder="1" applyAlignment="1">
      <alignment horizontal="center"/>
    </xf>
    <xf numFmtId="3" fontId="8" fillId="2" borderId="60" xfId="2" applyNumberFormat="1" applyFont="1" applyFill="1" applyBorder="1"/>
    <xf numFmtId="3" fontId="8" fillId="0" borderId="60" xfId="2" applyNumberFormat="1" applyFont="1" applyFill="1" applyBorder="1"/>
    <xf numFmtId="0" fontId="123" fillId="2" borderId="23" xfId="2" applyFont="1" applyFill="1" applyBorder="1" applyAlignment="1">
      <alignment horizontal="right"/>
    </xf>
    <xf numFmtId="0" fontId="123" fillId="2" borderId="23" xfId="2" applyFont="1" applyFill="1" applyBorder="1" applyAlignment="1">
      <alignment horizontal="center"/>
    </xf>
    <xf numFmtId="3" fontId="8" fillId="2" borderId="84" xfId="2" applyNumberFormat="1" applyFont="1" applyFill="1" applyBorder="1"/>
    <xf numFmtId="3" fontId="8" fillId="2" borderId="85" xfId="2" applyNumberFormat="1" applyFont="1" applyFill="1" applyBorder="1" applyAlignment="1">
      <alignment horizontal="center"/>
    </xf>
    <xf numFmtId="3" fontId="8" fillId="0" borderId="85" xfId="2" applyNumberFormat="1" applyFont="1" applyFill="1" applyBorder="1" applyAlignment="1">
      <alignment horizontal="center"/>
    </xf>
    <xf numFmtId="3" fontId="7" fillId="2" borderId="78" xfId="2" applyNumberFormat="1" applyFont="1" applyFill="1" applyBorder="1"/>
    <xf numFmtId="3" fontId="7" fillId="2" borderId="79" xfId="2" applyNumberFormat="1" applyFont="1" applyFill="1" applyBorder="1"/>
    <xf numFmtId="3" fontId="7" fillId="0" borderId="79" xfId="2" applyNumberFormat="1" applyFont="1" applyFill="1" applyBorder="1"/>
    <xf numFmtId="3" fontId="8" fillId="2" borderId="85" xfId="2" applyNumberFormat="1" applyFont="1" applyFill="1" applyBorder="1"/>
    <xf numFmtId="3" fontId="8" fillId="0" borderId="85" xfId="2" applyNumberFormat="1" applyFont="1" applyFill="1" applyBorder="1"/>
    <xf numFmtId="2" fontId="19" fillId="2" borderId="0" xfId="2" applyNumberFormat="1" applyFont="1" applyFill="1" applyAlignment="1" applyProtection="1">
      <alignment horizontal="right"/>
      <protection locked="0"/>
    </xf>
    <xf numFmtId="0" fontId="7" fillId="2" borderId="0" xfId="2" applyFont="1" applyFill="1" applyProtection="1">
      <protection locked="0"/>
    </xf>
    <xf numFmtId="3" fontId="7" fillId="2" borderId="0" xfId="2" applyNumberFormat="1" applyFont="1" applyFill="1"/>
    <xf numFmtId="3" fontId="7" fillId="2" borderId="58" xfId="2" applyNumberFormat="1" applyFont="1" applyFill="1" applyBorder="1"/>
    <xf numFmtId="3" fontId="7" fillId="2" borderId="89" xfId="2" applyNumberFormat="1" applyFont="1" applyFill="1" applyBorder="1"/>
    <xf numFmtId="3" fontId="0" fillId="2" borderId="0" xfId="2" applyNumberFormat="1" applyFont="1" applyFill="1" applyAlignment="1" applyProtection="1">
      <alignment vertical="top"/>
    </xf>
    <xf numFmtId="0" fontId="11" fillId="2" borderId="25" xfId="2" applyFont="1" applyFill="1" applyBorder="1" applyProtection="1"/>
    <xf numFmtId="0" fontId="0" fillId="2" borderId="25" xfId="2" applyFont="1" applyFill="1" applyBorder="1" applyProtection="1"/>
    <xf numFmtId="168" fontId="0" fillId="2" borderId="89" xfId="2" applyNumberFormat="1" applyFont="1" applyFill="1" applyBorder="1" applyProtection="1">
      <protection locked="0"/>
    </xf>
    <xf numFmtId="0" fontId="8" fillId="2" borderId="89" xfId="2" applyFont="1" applyFill="1" applyBorder="1" applyProtection="1"/>
    <xf numFmtId="3" fontId="8" fillId="2" borderId="89" xfId="2" applyNumberFormat="1" applyFont="1" applyFill="1" applyBorder="1" applyProtection="1"/>
    <xf numFmtId="3" fontId="8" fillId="2" borderId="93" xfId="2" applyNumberFormat="1" applyFont="1" applyFill="1" applyBorder="1" applyProtection="1"/>
    <xf numFmtId="3" fontId="8" fillId="0" borderId="93" xfId="2" applyNumberFormat="1" applyFont="1" applyFill="1" applyBorder="1" applyProtection="1"/>
    <xf numFmtId="0" fontId="11" fillId="2" borderId="23" xfId="2" applyFont="1" applyFill="1" applyBorder="1" applyProtection="1"/>
    <xf numFmtId="168" fontId="0" fillId="2" borderId="84" xfId="2" applyNumberFormat="1" applyFont="1" applyFill="1" applyBorder="1" applyProtection="1">
      <protection locked="0"/>
    </xf>
    <xf numFmtId="0" fontId="8" fillId="2" borderId="84" xfId="2" applyFont="1" applyFill="1" applyBorder="1" applyProtection="1"/>
    <xf numFmtId="3" fontId="8" fillId="2" borderId="84" xfId="2" applyNumberFormat="1" applyFont="1" applyFill="1" applyBorder="1" applyProtection="1"/>
    <xf numFmtId="3" fontId="8" fillId="2" borderId="85" xfId="2" applyNumberFormat="1" applyFont="1" applyFill="1" applyBorder="1" applyProtection="1"/>
    <xf numFmtId="3" fontId="8" fillId="0" borderId="85" xfId="2" applyNumberFormat="1" applyFont="1" applyFill="1" applyBorder="1" applyProtection="1"/>
    <xf numFmtId="0" fontId="124" fillId="2" borderId="6" xfId="2" applyFont="1" applyFill="1" applyBorder="1" applyAlignment="1" applyProtection="1">
      <alignment horizontal="left" wrapText="1"/>
    </xf>
    <xf numFmtId="0" fontId="124" fillId="2" borderId="6" xfId="2" applyFont="1" applyFill="1" applyBorder="1" applyAlignment="1" applyProtection="1">
      <alignment horizontal="center" wrapText="1"/>
    </xf>
    <xf numFmtId="168" fontId="124" fillId="2" borderId="61" xfId="2" applyNumberFormat="1" applyFont="1" applyFill="1" applyBorder="1" applyProtection="1">
      <protection locked="0"/>
    </xf>
    <xf numFmtId="168" fontId="124" fillId="2" borderId="63" xfId="2" applyNumberFormat="1" applyFont="1" applyFill="1" applyBorder="1" applyProtection="1">
      <protection locked="0"/>
    </xf>
    <xf numFmtId="168" fontId="124" fillId="0" borderId="63" xfId="2" applyNumberFormat="1" applyFont="1" applyFill="1" applyBorder="1" applyProtection="1">
      <protection locked="0"/>
    </xf>
    <xf numFmtId="0" fontId="11" fillId="2" borderId="0" xfId="2" applyFont="1" applyFill="1" applyProtection="1"/>
    <xf numFmtId="168" fontId="0" fillId="2" borderId="0" xfId="2" applyNumberFormat="1" applyFont="1" applyFill="1" applyProtection="1">
      <protection locked="0"/>
    </xf>
    <xf numFmtId="3" fontId="8" fillId="2" borderId="0" xfId="2" applyNumberFormat="1" applyFont="1" applyFill="1" applyBorder="1" applyProtection="1"/>
    <xf numFmtId="9" fontId="7" fillId="2" borderId="0" xfId="17" applyFont="1" applyFill="1" applyBorder="1" applyAlignment="1">
      <alignment horizontal="left"/>
    </xf>
    <xf numFmtId="9" fontId="8" fillId="2" borderId="0" xfId="17" applyFont="1" applyFill="1" applyBorder="1" applyAlignment="1">
      <alignment horizontal="right"/>
    </xf>
    <xf numFmtId="0" fontId="118" fillId="0" borderId="0" xfId="2" applyNumberFormat="1" applyFont="1" applyFill="1" applyBorder="1" applyProtection="1"/>
    <xf numFmtId="0" fontId="118" fillId="0" borderId="0" xfId="2" applyNumberFormat="1" applyFont="1" applyFill="1" applyProtection="1"/>
    <xf numFmtId="0" fontId="8" fillId="0" borderId="67" xfId="2" applyFont="1" applyFill="1" applyBorder="1" applyAlignment="1"/>
    <xf numFmtId="0" fontId="8" fillId="0" borderId="55" xfId="2" applyFont="1" applyFill="1" applyBorder="1" applyAlignment="1"/>
    <xf numFmtId="0" fontId="8" fillId="0" borderId="68" xfId="2" applyNumberFormat="1" applyFont="1" applyFill="1" applyBorder="1" applyAlignment="1">
      <alignment horizontal="right"/>
    </xf>
    <xf numFmtId="187" fontId="8" fillId="0" borderId="61" xfId="19" applyNumberFormat="1" applyFont="1" applyFill="1" applyBorder="1" applyAlignment="1">
      <alignment horizontal="right"/>
    </xf>
    <xf numFmtId="187" fontId="8" fillId="0" borderId="6" xfId="19" applyNumberFormat="1" applyFont="1" applyFill="1" applyBorder="1" applyAlignment="1">
      <alignment horizontal="right"/>
    </xf>
    <xf numFmtId="175" fontId="8" fillId="2" borderId="61" xfId="17" applyNumberFormat="1" applyFont="1" applyFill="1" applyBorder="1" applyAlignment="1">
      <alignment horizontal="right"/>
    </xf>
    <xf numFmtId="175" fontId="8" fillId="2" borderId="68" xfId="17" applyNumberFormat="1" applyFont="1" applyFill="1" applyBorder="1" applyAlignment="1">
      <alignment horizontal="right"/>
    </xf>
    <xf numFmtId="167" fontId="0" fillId="2" borderId="0" xfId="2" applyNumberFormat="1" applyFont="1" applyFill="1" applyProtection="1">
      <protection locked="0"/>
    </xf>
    <xf numFmtId="0" fontId="22" fillId="2" borderId="0" xfId="2" applyFont="1" applyFill="1" applyProtection="1"/>
    <xf numFmtId="0" fontId="31" fillId="2" borderId="0" xfId="2" applyFont="1" applyFill="1" applyProtection="1"/>
    <xf numFmtId="0" fontId="5" fillId="2" borderId="0" xfId="2" applyFont="1" applyFill="1" applyAlignment="1" applyProtection="1">
      <alignment vertical="top" wrapText="1"/>
    </xf>
    <xf numFmtId="0" fontId="6" fillId="2" borderId="0" xfId="2" applyFont="1" applyFill="1" applyAlignment="1" applyProtection="1">
      <alignment vertical="top"/>
      <protection locked="0"/>
    </xf>
    <xf numFmtId="0" fontId="7" fillId="0" borderId="0" xfId="2" applyFont="1" applyFill="1" applyBorder="1" applyAlignment="1" applyProtection="1">
      <alignment horizontal="left" vertical="center"/>
      <protection locked="0"/>
    </xf>
    <xf numFmtId="0" fontId="7" fillId="0" borderId="0" xfId="2" applyFont="1" applyFill="1" applyBorder="1" applyAlignment="1" applyProtection="1">
      <alignment horizontal="left" vertical="top" wrapText="1"/>
      <protection locked="0"/>
    </xf>
    <xf numFmtId="0" fontId="7" fillId="0" borderId="86" xfId="2" applyFont="1" applyFill="1" applyBorder="1" applyAlignment="1" applyProtection="1">
      <alignment horizontal="left" vertical="center"/>
      <protection locked="0"/>
    </xf>
    <xf numFmtId="0" fontId="7" fillId="0" borderId="28" xfId="2" applyFont="1" applyFill="1" applyBorder="1" applyAlignment="1" applyProtection="1">
      <alignment vertical="center"/>
      <protection locked="0"/>
    </xf>
    <xf numFmtId="0" fontId="7" fillId="0" borderId="96" xfId="2" applyFont="1" applyFill="1" applyBorder="1" applyAlignment="1" applyProtection="1">
      <alignment vertical="center"/>
      <protection locked="0"/>
    </xf>
    <xf numFmtId="0" fontId="7" fillId="0" borderId="25" xfId="2" applyFont="1" applyFill="1" applyBorder="1" applyAlignment="1" applyProtection="1">
      <alignment vertical="center" wrapText="1"/>
    </xf>
    <xf numFmtId="0" fontId="7" fillId="0" borderId="25" xfId="2" applyFont="1" applyFill="1" applyBorder="1" applyAlignment="1" applyProtection="1">
      <alignment horizontal="left" vertical="center"/>
    </xf>
    <xf numFmtId="0" fontId="7" fillId="0" borderId="70" xfId="2" applyFont="1" applyFill="1" applyBorder="1" applyAlignment="1" applyProtection="1">
      <alignment vertical="center"/>
      <protection locked="0"/>
    </xf>
    <xf numFmtId="0" fontId="7" fillId="0" borderId="25" xfId="2" applyFont="1" applyFill="1" applyBorder="1" applyAlignment="1" applyProtection="1">
      <alignment vertical="center"/>
      <protection locked="0"/>
    </xf>
    <xf numFmtId="0" fontId="7" fillId="0" borderId="62" xfId="2" applyFont="1" applyFill="1" applyBorder="1" applyAlignment="1" applyProtection="1">
      <alignment horizontal="right" vertical="center"/>
      <protection locked="0"/>
    </xf>
    <xf numFmtId="0" fontId="7" fillId="0" borderId="6" xfId="2" applyFont="1" applyFill="1" applyBorder="1" applyAlignment="1" applyProtection="1">
      <alignment horizontal="right" vertical="center" wrapText="1"/>
    </xf>
    <xf numFmtId="0" fontId="7" fillId="0" borderId="68" xfId="2" applyFont="1" applyFill="1" applyBorder="1" applyAlignment="1" applyProtection="1">
      <alignment horizontal="right" vertical="center" wrapText="1"/>
    </xf>
    <xf numFmtId="0" fontId="7" fillId="0" borderId="6" xfId="2" applyFont="1" applyFill="1" applyBorder="1" applyAlignment="1" applyProtection="1">
      <alignment horizontal="right" vertical="center"/>
      <protection locked="0"/>
    </xf>
    <xf numFmtId="2" fontId="8" fillId="0" borderId="0" xfId="2" applyNumberFormat="1" applyFont="1" applyFill="1" applyBorder="1" applyAlignment="1" applyProtection="1">
      <alignment horizontal="right"/>
      <protection locked="0"/>
    </xf>
    <xf numFmtId="2" fontId="8" fillId="0" borderId="28" xfId="2" applyNumberFormat="1" applyFont="1" applyFill="1" applyBorder="1" applyAlignment="1" applyProtection="1">
      <alignment horizontal="right"/>
      <protection locked="0"/>
    </xf>
    <xf numFmtId="2" fontId="8" fillId="0" borderId="23" xfId="2" applyNumberFormat="1" applyFont="1" applyFill="1" applyBorder="1" applyAlignment="1" applyProtection="1">
      <alignment horizontal="right"/>
      <protection locked="0"/>
    </xf>
    <xf numFmtId="2" fontId="8" fillId="0" borderId="23" xfId="2" applyNumberFormat="1" applyFont="1" applyFill="1" applyBorder="1" applyAlignment="1">
      <alignment horizontal="right"/>
    </xf>
    <xf numFmtId="2" fontId="8" fillId="0" borderId="24" xfId="2" applyNumberFormat="1" applyFont="1" applyFill="1" applyBorder="1" applyAlignment="1">
      <alignment horizontal="right"/>
    </xf>
    <xf numFmtId="0" fontId="7" fillId="0" borderId="68" xfId="2" applyFont="1" applyFill="1" applyBorder="1" applyAlignment="1" applyProtection="1">
      <alignment horizontal="right"/>
    </xf>
    <xf numFmtId="2" fontId="7" fillId="0" borderId="6" xfId="2" applyNumberFormat="1" applyFont="1" applyFill="1" applyBorder="1" applyAlignment="1" applyProtection="1">
      <alignment horizontal="right"/>
    </xf>
    <xf numFmtId="2" fontId="7" fillId="0" borderId="6" xfId="2" applyNumberFormat="1" applyFont="1" applyFill="1" applyBorder="1" applyAlignment="1" applyProtection="1">
      <alignment horizontal="right"/>
      <protection locked="0"/>
    </xf>
    <xf numFmtId="2" fontId="7" fillId="0" borderId="68" xfId="2" applyNumberFormat="1" applyFont="1" applyFill="1" applyBorder="1" applyAlignment="1" applyProtection="1">
      <alignment horizontal="right"/>
    </xf>
    <xf numFmtId="2" fontId="7" fillId="0" borderId="0" xfId="2" applyNumberFormat="1" applyFont="1" applyFill="1" applyBorder="1" applyAlignment="1" applyProtection="1">
      <alignment horizontal="right"/>
    </xf>
    <xf numFmtId="164" fontId="7" fillId="0" borderId="0" xfId="2" applyNumberFormat="1" applyFont="1" applyFill="1" applyBorder="1" applyAlignment="1" applyProtection="1">
      <alignment horizontal="right"/>
      <protection locked="0"/>
    </xf>
    <xf numFmtId="168" fontId="0" fillId="0" borderId="0" xfId="2" applyNumberFormat="1" applyFont="1" applyFill="1" applyProtection="1">
      <protection locked="0"/>
    </xf>
    <xf numFmtId="0" fontId="7" fillId="0" borderId="0" xfId="2" applyFont="1" applyFill="1" applyBorder="1" applyAlignment="1" applyProtection="1">
      <alignment horizontal="left" vertical="center" wrapText="1"/>
    </xf>
    <xf numFmtId="164" fontId="7" fillId="0" borderId="0" xfId="2" applyNumberFormat="1" applyFont="1" applyFill="1" applyProtection="1">
      <protection locked="0"/>
    </xf>
    <xf numFmtId="0" fontId="4" fillId="0" borderId="0" xfId="2" applyNumberFormat="1" applyFont="1" applyFill="1" applyBorder="1" applyAlignment="1" applyProtection="1">
      <alignment horizontal="left" vertical="top" wrapText="1"/>
    </xf>
    <xf numFmtId="0" fontId="5" fillId="0" borderId="0" xfId="2" applyFont="1" applyFill="1" applyAlignment="1" applyProtection="1">
      <alignment vertical="top"/>
      <protection locked="0"/>
    </xf>
    <xf numFmtId="0" fontId="0" fillId="0" borderId="0" xfId="2" applyFont="1" applyFill="1" applyAlignment="1" applyProtection="1">
      <alignment vertical="top"/>
      <protection locked="0"/>
    </xf>
    <xf numFmtId="0" fontId="8" fillId="0" borderId="28" xfId="2" applyFont="1" applyFill="1" applyBorder="1" applyAlignment="1" applyProtection="1">
      <alignment horizontal="right" wrapText="1"/>
    </xf>
    <xf numFmtId="172" fontId="8" fillId="0" borderId="0" xfId="39" applyNumberFormat="1" applyFont="1" applyFill="1" applyBorder="1" applyAlignment="1" applyProtection="1">
      <alignment horizontal="right"/>
    </xf>
    <xf numFmtId="3" fontId="8" fillId="0" borderId="23" xfId="2" applyNumberFormat="1" applyFont="1" applyFill="1" applyBorder="1"/>
    <xf numFmtId="0" fontId="8" fillId="0" borderId="23" xfId="2" applyFont="1" applyFill="1" applyBorder="1" applyAlignment="1" applyProtection="1">
      <protection locked="0"/>
    </xf>
    <xf numFmtId="3" fontId="8" fillId="0" borderId="23" xfId="2" applyNumberFormat="1" applyFont="1" applyFill="1" applyBorder="1" applyAlignment="1">
      <alignment horizontal="right"/>
    </xf>
    <xf numFmtId="172" fontId="8" fillId="0" borderId="23" xfId="2" applyNumberFormat="1" applyFont="1" applyFill="1" applyBorder="1" applyAlignment="1">
      <alignment horizontal="right"/>
    </xf>
    <xf numFmtId="3" fontId="8" fillId="0" borderId="24" xfId="2" applyNumberFormat="1" applyFont="1" applyFill="1" applyBorder="1" applyAlignment="1">
      <alignment horizontal="right"/>
    </xf>
    <xf numFmtId="0" fontId="7" fillId="0" borderId="6" xfId="2" applyFont="1" applyFill="1" applyBorder="1" applyProtection="1">
      <protection locked="0"/>
    </xf>
    <xf numFmtId="0" fontId="7" fillId="0" borderId="64" xfId="2" applyFont="1" applyFill="1" applyBorder="1" applyProtection="1"/>
    <xf numFmtId="0" fontId="7" fillId="0" borderId="21" xfId="2" applyFont="1" applyFill="1" applyBorder="1" applyAlignment="1" applyProtection="1">
      <alignment horizontal="right"/>
    </xf>
    <xf numFmtId="3" fontId="7" fillId="0" borderId="0" xfId="2" applyNumberFormat="1" applyFont="1" applyFill="1" applyBorder="1"/>
    <xf numFmtId="3" fontId="8" fillId="0" borderId="21" xfId="2" applyNumberFormat="1" applyFont="1" applyFill="1" applyBorder="1"/>
    <xf numFmtId="3" fontId="8" fillId="0" borderId="22" xfId="2" applyNumberFormat="1" applyFont="1" applyFill="1" applyBorder="1"/>
    <xf numFmtId="168" fontId="0" fillId="0" borderId="0" xfId="2" applyNumberFormat="1" applyFont="1" applyFill="1" applyBorder="1" applyProtection="1">
      <protection locked="0"/>
    </xf>
    <xf numFmtId="175" fontId="0" fillId="0" borderId="0" xfId="2" applyNumberFormat="1" applyFont="1" applyFill="1" applyProtection="1"/>
    <xf numFmtId="175" fontId="7" fillId="0" borderId="6" xfId="2" applyNumberFormat="1" applyFont="1" applyFill="1" applyBorder="1" applyAlignment="1" applyProtection="1"/>
    <xf numFmtId="0" fontId="7" fillId="0" borderId="81" xfId="2" applyFont="1" applyFill="1" applyBorder="1" applyAlignment="1" applyProtection="1">
      <alignment horizontal="right" wrapText="1"/>
    </xf>
    <xf numFmtId="0" fontId="7" fillId="0" borderId="94" xfId="2" applyFont="1" applyFill="1" applyBorder="1" applyAlignment="1" applyProtection="1">
      <alignment horizontal="right" wrapText="1"/>
    </xf>
    <xf numFmtId="0" fontId="8" fillId="0" borderId="19" xfId="2" applyFont="1" applyFill="1" applyBorder="1" applyProtection="1"/>
    <xf numFmtId="0" fontId="22" fillId="0" borderId="0" xfId="2" applyFont="1" applyFill="1" applyProtection="1"/>
    <xf numFmtId="0" fontId="8" fillId="0" borderId="0" xfId="2" applyFont="1" applyFill="1" applyBorder="1" applyAlignment="1" applyProtection="1">
      <protection locked="0"/>
    </xf>
    <xf numFmtId="3" fontId="8" fillId="0" borderId="58" xfId="2" applyNumberFormat="1" applyFont="1" applyFill="1" applyBorder="1" applyAlignment="1">
      <alignment horizontal="right"/>
    </xf>
    <xf numFmtId="0" fontId="8" fillId="0" borderId="60" xfId="2" applyFont="1" applyFill="1" applyBorder="1" applyAlignment="1" applyProtection="1">
      <alignment horizontal="right"/>
    </xf>
    <xf numFmtId="0" fontId="7" fillId="0" borderId="61" xfId="2" applyFont="1" applyFill="1" applyBorder="1" applyAlignment="1">
      <alignment horizontal="right"/>
    </xf>
    <xf numFmtId="0" fontId="7" fillId="0" borderId="61" xfId="2" applyFont="1" applyFill="1" applyBorder="1" applyAlignment="1" applyProtection="1">
      <alignment horizontal="right"/>
    </xf>
    <xf numFmtId="0" fontId="7" fillId="0" borderId="63" xfId="2" applyFont="1" applyFill="1" applyBorder="1" applyAlignment="1" applyProtection="1">
      <alignment horizontal="right"/>
    </xf>
    <xf numFmtId="0" fontId="8" fillId="0" borderId="20" xfId="2" applyFont="1" applyFill="1" applyBorder="1" applyProtection="1"/>
    <xf numFmtId="175" fontId="8" fillId="0" borderId="0" xfId="2" applyNumberFormat="1" applyFont="1" applyFill="1" applyBorder="1" applyAlignment="1"/>
    <xf numFmtId="175" fontId="7" fillId="0" borderId="0" xfId="2" applyNumberFormat="1" applyFont="1" applyFill="1" applyBorder="1" applyAlignment="1" applyProtection="1"/>
    <xf numFmtId="0" fontId="3" fillId="0" borderId="0" xfId="2" applyFont="1" applyFill="1" applyBorder="1" applyAlignment="1" applyProtection="1">
      <alignment vertical="top"/>
    </xf>
    <xf numFmtId="0" fontId="3" fillId="0" borderId="0" xfId="2" applyFont="1" applyFill="1" applyBorder="1" applyProtection="1"/>
    <xf numFmtId="0" fontId="3" fillId="0" borderId="0" xfId="2" applyFont="1" applyFill="1" applyBorder="1" applyProtection="1">
      <protection locked="0"/>
    </xf>
    <xf numFmtId="0" fontId="7" fillId="0" borderId="25" xfId="2" applyFont="1" applyFill="1" applyBorder="1" applyAlignment="1" applyProtection="1"/>
    <xf numFmtId="0" fontId="8" fillId="0" borderId="25" xfId="2" applyFont="1" applyFill="1" applyBorder="1" applyAlignment="1" applyProtection="1">
      <alignment wrapText="1"/>
    </xf>
    <xf numFmtId="0" fontId="31" fillId="0" borderId="0" xfId="2" applyFont="1" applyFill="1" applyBorder="1" applyProtection="1"/>
    <xf numFmtId="0" fontId="7" fillId="0" borderId="28" xfId="2" applyFont="1" applyFill="1" applyBorder="1" applyAlignment="1" applyProtection="1">
      <alignment horizontal="right"/>
      <protection locked="0"/>
    </xf>
    <xf numFmtId="0" fontId="7" fillId="0" borderId="21" xfId="2" applyNumberFormat="1" applyFont="1" applyFill="1" applyBorder="1" applyAlignment="1">
      <alignment horizontal="right"/>
    </xf>
    <xf numFmtId="0" fontId="7" fillId="0" borderId="0" xfId="2" applyNumberFormat="1" applyFont="1" applyFill="1" applyBorder="1" applyAlignment="1">
      <alignment horizontal="right"/>
    </xf>
    <xf numFmtId="175" fontId="8" fillId="0" borderId="68" xfId="2" applyNumberFormat="1" applyFont="1" applyFill="1" applyBorder="1" applyAlignment="1">
      <alignment horizontal="right"/>
    </xf>
    <xf numFmtId="3" fontId="8" fillId="0" borderId="68" xfId="2" applyNumberFormat="1" applyFont="1" applyFill="1" applyBorder="1" applyAlignment="1">
      <alignment horizontal="right"/>
    </xf>
    <xf numFmtId="3" fontId="8" fillId="0" borderId="62" xfId="2" applyNumberFormat="1" applyFont="1" applyFill="1" applyBorder="1" applyAlignment="1">
      <alignment horizontal="right"/>
    </xf>
    <xf numFmtId="172" fontId="8" fillId="0" borderId="68" xfId="14" applyNumberFormat="1" applyFont="1" applyFill="1" applyBorder="1" applyAlignment="1" applyProtection="1">
      <alignment horizontal="right"/>
    </xf>
    <xf numFmtId="0" fontId="7" fillId="0" borderId="16" xfId="2" applyFont="1" applyFill="1" applyBorder="1" applyAlignment="1" applyProtection="1"/>
    <xf numFmtId="0" fontId="7" fillId="0" borderId="23" xfId="2" applyFont="1" applyFill="1" applyBorder="1" applyProtection="1"/>
    <xf numFmtId="0" fontId="7" fillId="0" borderId="23" xfId="2" applyNumberFormat="1" applyFont="1" applyFill="1" applyBorder="1" applyAlignment="1" applyProtection="1">
      <alignment horizontal="right" wrapText="1"/>
    </xf>
    <xf numFmtId="0" fontId="8" fillId="0" borderId="17" xfId="2" applyFont="1" applyFill="1" applyBorder="1" applyAlignment="1" applyProtection="1">
      <alignment horizontal="center" wrapText="1"/>
    </xf>
    <xf numFmtId="0" fontId="7" fillId="0" borderId="15" xfId="2" applyNumberFormat="1" applyFont="1" applyFill="1" applyBorder="1" applyAlignment="1" applyProtection="1">
      <alignment horizontal="right" wrapText="1"/>
    </xf>
    <xf numFmtId="0" fontId="7" fillId="0" borderId="16" xfId="2" applyNumberFormat="1" applyFont="1" applyFill="1" applyBorder="1" applyAlignment="1" applyProtection="1">
      <alignment horizontal="right" wrapText="1"/>
    </xf>
    <xf numFmtId="3" fontId="8" fillId="0" borderId="25" xfId="2" applyNumberFormat="1" applyFont="1" applyFill="1" applyBorder="1" applyAlignment="1">
      <alignment horizontal="right"/>
    </xf>
    <xf numFmtId="0" fontId="11" fillId="0" borderId="28" xfId="2" applyFont="1" applyFill="1" applyBorder="1" applyAlignment="1" applyProtection="1">
      <alignment horizontal="center"/>
      <protection locked="0"/>
    </xf>
    <xf numFmtId="172" fontId="8" fillId="0" borderId="0" xfId="2" applyNumberFormat="1" applyFont="1" applyFill="1" applyBorder="1" applyAlignment="1">
      <alignment horizontal="right"/>
    </xf>
    <xf numFmtId="3" fontId="7" fillId="0" borderId="28" xfId="2" applyNumberFormat="1" applyFont="1" applyFill="1" applyBorder="1"/>
    <xf numFmtId="0" fontId="7" fillId="0" borderId="0" xfId="2" applyNumberFormat="1" applyFont="1" applyFill="1" applyBorder="1"/>
    <xf numFmtId="0" fontId="8" fillId="0" borderId="0" xfId="2" applyNumberFormat="1" applyFont="1" applyFill="1" applyBorder="1"/>
    <xf numFmtId="0" fontId="11" fillId="0" borderId="68" xfId="2" applyFont="1" applyFill="1" applyBorder="1" applyAlignment="1" applyProtection="1">
      <alignment horizontal="center"/>
      <protection locked="0"/>
    </xf>
    <xf numFmtId="0" fontId="0" fillId="0" borderId="0" xfId="2" applyFont="1" applyFill="1" applyBorder="1" applyAlignment="1" applyProtection="1">
      <alignment horizontal="center"/>
      <protection locked="0"/>
    </xf>
    <xf numFmtId="175" fontId="0" fillId="0" borderId="0" xfId="2" applyNumberFormat="1" applyFont="1" applyFill="1" applyProtection="1">
      <protection locked="0"/>
    </xf>
    <xf numFmtId="0" fontId="118" fillId="0" borderId="0" xfId="2" applyFont="1" applyFill="1" applyAlignment="1" applyProtection="1">
      <alignment vertical="top"/>
    </xf>
    <xf numFmtId="0" fontId="118" fillId="0" borderId="0" xfId="2" applyFont="1" applyFill="1" applyProtection="1"/>
    <xf numFmtId="0" fontId="7" fillId="0" borderId="0" xfId="2" applyFont="1" applyFill="1" applyBorder="1" applyAlignment="1" applyProtection="1">
      <alignment vertical="center" wrapText="1"/>
      <protection locked="0"/>
    </xf>
    <xf numFmtId="0" fontId="4" fillId="0" borderId="0" xfId="15" applyFont="1" applyFill="1"/>
    <xf numFmtId="0" fontId="118" fillId="0" borderId="0" xfId="2" applyFont="1" applyFill="1" applyAlignment="1" applyProtection="1">
      <protection locked="0"/>
    </xf>
    <xf numFmtId="0" fontId="7" fillId="0" borderId="0" xfId="2" applyFont="1" applyFill="1" applyBorder="1" applyAlignment="1" applyProtection="1">
      <alignment horizontal="right" wrapText="1"/>
    </xf>
    <xf numFmtId="0" fontId="118" fillId="0" borderId="0" xfId="2" applyFont="1" applyFill="1" applyBorder="1" applyProtection="1">
      <protection locked="0"/>
    </xf>
    <xf numFmtId="168" fontId="118" fillId="0" borderId="0" xfId="2" applyNumberFormat="1" applyFont="1" applyFill="1" applyBorder="1" applyProtection="1">
      <protection locked="0"/>
    </xf>
    <xf numFmtId="0" fontId="118" fillId="0" borderId="0" xfId="2" applyFont="1" applyFill="1" applyBorder="1" applyAlignment="1" applyProtection="1">
      <alignment vertical="top" wrapText="1"/>
    </xf>
    <xf numFmtId="9" fontId="7" fillId="0" borderId="0" xfId="17" applyFont="1" applyFill="1" applyBorder="1" applyAlignment="1">
      <alignment horizontal="right"/>
    </xf>
    <xf numFmtId="9" fontId="8" fillId="0" borderId="0" xfId="17" applyFont="1" applyFill="1" applyBorder="1" applyAlignment="1">
      <alignment horizontal="right"/>
    </xf>
    <xf numFmtId="0" fontId="4" fillId="0" borderId="0" xfId="15" applyFont="1" applyFill="1" applyBorder="1" applyAlignment="1">
      <alignment wrapText="1"/>
    </xf>
    <xf numFmtId="0" fontId="8" fillId="0" borderId="2" xfId="2" applyFont="1" applyFill="1" applyBorder="1" applyAlignment="1"/>
    <xf numFmtId="9" fontId="7" fillId="2" borderId="55" xfId="17" quotePrefix="1" applyFont="1" applyFill="1" applyBorder="1" applyAlignment="1">
      <alignment horizontal="right"/>
    </xf>
    <xf numFmtId="0" fontId="8" fillId="0" borderId="6" xfId="2" applyFont="1" applyBorder="1" applyAlignment="1"/>
    <xf numFmtId="0" fontId="8" fillId="0" borderId="26" xfId="2" applyFont="1" applyFill="1" applyBorder="1" applyAlignment="1"/>
    <xf numFmtId="17" fontId="8" fillId="2" borderId="22" xfId="17" applyNumberFormat="1" applyFont="1" applyFill="1" applyBorder="1" applyAlignment="1">
      <alignment horizontal="right"/>
    </xf>
    <xf numFmtId="0" fontId="8" fillId="2" borderId="24" xfId="17" applyNumberFormat="1" applyFont="1" applyFill="1" applyBorder="1" applyAlignment="1">
      <alignment horizontal="right"/>
    </xf>
    <xf numFmtId="17" fontId="8" fillId="2" borderId="23" xfId="17" applyNumberFormat="1" applyFont="1" applyFill="1" applyBorder="1" applyAlignment="1">
      <alignment horizontal="right"/>
    </xf>
    <xf numFmtId="17" fontId="8" fillId="0" borderId="23" xfId="17" applyNumberFormat="1" applyFont="1" applyFill="1" applyBorder="1" applyAlignment="1">
      <alignment horizontal="right"/>
    </xf>
    <xf numFmtId="0" fontId="8" fillId="0" borderId="24" xfId="17" applyNumberFormat="1" applyFont="1" applyFill="1" applyBorder="1" applyAlignment="1">
      <alignment horizontal="right"/>
    </xf>
    <xf numFmtId="0" fontId="8" fillId="0" borderId="23" xfId="17" applyNumberFormat="1" applyFont="1" applyFill="1" applyBorder="1" applyAlignment="1">
      <alignment horizontal="right"/>
    </xf>
    <xf numFmtId="17" fontId="8" fillId="0" borderId="22" xfId="17" applyNumberFormat="1" applyFont="1" applyFill="1" applyBorder="1" applyAlignment="1">
      <alignment horizontal="right"/>
    </xf>
    <xf numFmtId="17" fontId="8" fillId="2" borderId="21" xfId="17" applyNumberFormat="1" applyFont="1" applyFill="1" applyBorder="1" applyAlignment="1">
      <alignment horizontal="right"/>
    </xf>
    <xf numFmtId="0" fontId="8" fillId="2" borderId="28" xfId="17" applyNumberFormat="1" applyFont="1" applyFill="1" applyBorder="1" applyAlignment="1">
      <alignment horizontal="right"/>
    </xf>
    <xf numFmtId="17" fontId="8" fillId="2" borderId="0" xfId="17" applyNumberFormat="1" applyFont="1" applyFill="1" applyBorder="1" applyAlignment="1">
      <alignment horizontal="right"/>
    </xf>
    <xf numFmtId="17" fontId="8" fillId="0" borderId="0" xfId="17" applyNumberFormat="1" applyFont="1" applyFill="1" applyBorder="1" applyAlignment="1">
      <alignment horizontal="right"/>
    </xf>
    <xf numFmtId="0" fontId="8" fillId="0" borderId="28" xfId="17" applyNumberFormat="1" applyFont="1" applyFill="1" applyBorder="1" applyAlignment="1">
      <alignment horizontal="right"/>
    </xf>
    <xf numFmtId="17" fontId="8" fillId="0" borderId="21" xfId="17" applyNumberFormat="1" applyFont="1" applyFill="1" applyBorder="1" applyAlignment="1">
      <alignment horizontal="right"/>
    </xf>
    <xf numFmtId="175" fontId="8" fillId="2" borderId="21" xfId="17" applyNumberFormat="1" applyFont="1" applyFill="1" applyBorder="1" applyAlignment="1">
      <alignment horizontal="right"/>
    </xf>
    <xf numFmtId="175" fontId="8" fillId="2" borderId="28" xfId="17" applyNumberFormat="1" applyFont="1" applyFill="1" applyBorder="1" applyAlignment="1">
      <alignment horizontal="right"/>
    </xf>
    <xf numFmtId="175" fontId="8" fillId="2" borderId="0" xfId="17" applyNumberFormat="1" applyFont="1" applyFill="1" applyBorder="1" applyAlignment="1">
      <alignment horizontal="right"/>
    </xf>
    <xf numFmtId="17" fontId="8" fillId="0" borderId="28" xfId="17" applyNumberFormat="1" applyFont="1" applyFill="1" applyBorder="1" applyAlignment="1">
      <alignment horizontal="right"/>
    </xf>
    <xf numFmtId="0" fontId="8" fillId="0" borderId="6" xfId="2" applyNumberFormat="1" applyFont="1" applyFill="1" applyBorder="1" applyAlignment="1">
      <alignment horizontal="right"/>
    </xf>
    <xf numFmtId="175" fontId="8" fillId="2" borderId="62" xfId="17" applyNumberFormat="1" applyFont="1" applyFill="1" applyBorder="1" applyAlignment="1">
      <alignment horizontal="right"/>
    </xf>
    <xf numFmtId="175" fontId="8" fillId="2" borderId="6" xfId="17" applyNumberFormat="1" applyFont="1" applyFill="1" applyBorder="1" applyAlignment="1">
      <alignment horizontal="right"/>
    </xf>
    <xf numFmtId="17" fontId="8" fillId="0" borderId="62" xfId="17" applyNumberFormat="1" applyFont="1" applyFill="1" applyBorder="1" applyAlignment="1">
      <alignment horizontal="right"/>
    </xf>
    <xf numFmtId="17" fontId="8" fillId="0" borderId="68" xfId="17" applyNumberFormat="1" applyFont="1" applyFill="1" applyBorder="1" applyAlignment="1">
      <alignment horizontal="right"/>
    </xf>
    <xf numFmtId="0" fontId="8" fillId="0" borderId="0" xfId="2" applyNumberFormat="1" applyFont="1" applyFill="1" applyBorder="1" applyAlignment="1">
      <alignment horizontal="right"/>
    </xf>
    <xf numFmtId="9" fontId="8" fillId="2" borderId="0" xfId="17" applyNumberFormat="1" applyFont="1" applyFill="1" applyBorder="1" applyAlignment="1">
      <alignment horizontal="right"/>
    </xf>
    <xf numFmtId="9" fontId="7" fillId="0" borderId="0" xfId="17" applyFont="1" applyFill="1" applyBorder="1" applyAlignment="1" applyProtection="1">
      <alignment horizontal="right"/>
    </xf>
    <xf numFmtId="0" fontId="22" fillId="0" borderId="0" xfId="2" applyNumberFormat="1" applyFont="1" applyFill="1" applyAlignment="1" applyProtection="1">
      <alignment vertical="top"/>
    </xf>
    <xf numFmtId="0" fontId="118" fillId="0" borderId="0" xfId="2" applyNumberFormat="1" applyFont="1" applyFill="1" applyAlignment="1" applyProtection="1">
      <alignment vertical="top"/>
    </xf>
    <xf numFmtId="0" fontId="118" fillId="0" borderId="28" xfId="2" applyFont="1" applyFill="1" applyBorder="1" applyProtection="1">
      <protection locked="0"/>
    </xf>
    <xf numFmtId="0" fontId="118" fillId="0" borderId="0" xfId="2" applyFont="1" applyFill="1" applyAlignment="1" applyProtection="1">
      <alignment vertical="top"/>
      <protection locked="0"/>
    </xf>
    <xf numFmtId="0" fontId="118" fillId="0" borderId="0" xfId="2" applyNumberFormat="1" applyFont="1" applyFill="1" applyProtection="1">
      <protection locked="0"/>
    </xf>
    <xf numFmtId="0" fontId="4" fillId="0" borderId="0" xfId="15" applyNumberFormat="1" applyFont="1" applyFill="1"/>
    <xf numFmtId="0" fontId="6" fillId="0" borderId="0" xfId="2" applyFont="1" applyFill="1" applyAlignment="1"/>
    <xf numFmtId="0" fontId="34" fillId="0" borderId="0" xfId="2" applyFont="1" applyFill="1" applyAlignment="1">
      <alignment vertical="top"/>
    </xf>
    <xf numFmtId="0" fontId="12" fillId="0" borderId="0" xfId="2" applyFont="1" applyFill="1" applyAlignment="1">
      <alignment vertical="top"/>
    </xf>
    <xf numFmtId="0" fontId="7" fillId="0" borderId="2" xfId="2" applyFont="1" applyFill="1" applyBorder="1" applyAlignment="1"/>
    <xf numFmtId="169" fontId="8" fillId="0" borderId="19" xfId="17" applyNumberFormat="1" applyFont="1" applyFill="1" applyBorder="1" applyAlignment="1">
      <alignment horizontal="right"/>
    </xf>
    <xf numFmtId="10" fontId="8" fillId="0" borderId="0" xfId="2" applyNumberFormat="1" applyFont="1" applyFill="1" applyAlignment="1">
      <alignment horizontal="right"/>
    </xf>
    <xf numFmtId="169" fontId="11" fillId="0" borderId="19" xfId="0" applyNumberFormat="1" applyFont="1" applyFill="1" applyBorder="1" applyAlignment="1">
      <alignment horizontal="right"/>
    </xf>
    <xf numFmtId="0" fontId="12" fillId="0" borderId="0" xfId="2" applyFont="1" applyFill="1" applyBorder="1" applyAlignment="1">
      <alignment vertical="top"/>
    </xf>
    <xf numFmtId="169" fontId="8" fillId="0" borderId="6" xfId="17" applyNumberFormat="1" applyFont="1" applyFill="1" applyBorder="1" applyAlignment="1">
      <alignment horizontal="right"/>
    </xf>
    <xf numFmtId="169" fontId="8" fillId="0" borderId="20" xfId="17" applyNumberFormat="1" applyFont="1" applyFill="1" applyBorder="1" applyAlignment="1">
      <alignment horizontal="right"/>
    </xf>
    <xf numFmtId="169" fontId="11" fillId="0" borderId="20" xfId="0" applyNumberFormat="1" applyFont="1" applyFill="1" applyBorder="1" applyAlignment="1">
      <alignment horizontal="right"/>
    </xf>
    <xf numFmtId="0" fontId="32" fillId="0" borderId="0" xfId="2" applyFont="1" applyFill="1" applyBorder="1"/>
    <xf numFmtId="0" fontId="12" fillId="0" borderId="0" xfId="2" applyFont="1" applyFill="1" applyBorder="1" applyAlignment="1">
      <alignment vertical="top" wrapText="1"/>
    </xf>
    <xf numFmtId="0" fontId="12" fillId="0" borderId="0" xfId="2" applyFont="1" applyFill="1" applyBorder="1"/>
    <xf numFmtId="0" fontId="12" fillId="0" borderId="0" xfId="2" applyFont="1" applyFill="1" applyAlignment="1">
      <alignment wrapText="1"/>
    </xf>
    <xf numFmtId="0" fontId="125" fillId="0" borderId="0" xfId="2" applyFont="1" applyFill="1"/>
    <xf numFmtId="0" fontId="125" fillId="0" borderId="0" xfId="2" applyFont="1" applyFill="1" applyBorder="1"/>
    <xf numFmtId="0" fontId="52" fillId="0" borderId="0" xfId="2" applyFont="1" applyFill="1"/>
    <xf numFmtId="0" fontId="52" fillId="0" borderId="0" xfId="2" applyFont="1" applyFill="1" applyAlignment="1">
      <alignment horizontal="left"/>
    </xf>
    <xf numFmtId="0" fontId="52" fillId="0" borderId="0" xfId="2" applyFont="1" applyFill="1" applyBorder="1" applyAlignment="1">
      <alignment horizontal="left"/>
    </xf>
    <xf numFmtId="0" fontId="13" fillId="0" borderId="0" xfId="2" applyFont="1" applyFill="1" applyAlignment="1">
      <alignment horizontal="right" vertical="top"/>
    </xf>
    <xf numFmtId="0" fontId="8" fillId="0" borderId="0" xfId="2" applyFont="1" applyFill="1" applyAlignment="1">
      <alignment horizontal="right" vertical="top"/>
    </xf>
    <xf numFmtId="0" fontId="8" fillId="0" borderId="4" xfId="2" applyFont="1" applyFill="1" applyBorder="1" applyAlignment="1">
      <alignment horizontal="right" wrapText="1"/>
    </xf>
    <xf numFmtId="0" fontId="14" fillId="0" borderId="29" xfId="0" applyFont="1" applyFill="1" applyBorder="1" applyAlignment="1">
      <alignment horizontal="right" vertical="center"/>
    </xf>
    <xf numFmtId="0" fontId="124" fillId="0" borderId="0" xfId="2" applyFont="1" applyFill="1" applyBorder="1" applyAlignment="1">
      <alignment horizontal="right"/>
    </xf>
    <xf numFmtId="0" fontId="7" fillId="0" borderId="59" xfId="2" applyFont="1" applyFill="1" applyBorder="1" applyAlignment="1">
      <alignment horizontal="right"/>
    </xf>
    <xf numFmtId="0" fontId="7" fillId="0" borderId="65" xfId="2" applyFont="1" applyFill="1" applyBorder="1" applyAlignment="1">
      <alignment horizontal="right"/>
    </xf>
    <xf numFmtId="184" fontId="8" fillId="0" borderId="59" xfId="2" applyNumberFormat="1" applyFont="1" applyFill="1" applyBorder="1" applyAlignment="1">
      <alignment horizontal="right"/>
    </xf>
    <xf numFmtId="3" fontId="11" fillId="0" borderId="58" xfId="0" applyNumberFormat="1" applyFont="1" applyFill="1" applyBorder="1" applyAlignment="1">
      <alignment horizontal="right"/>
    </xf>
    <xf numFmtId="0" fontId="11" fillId="0" borderId="58" xfId="0" applyFont="1" applyFill="1" applyBorder="1" applyAlignment="1">
      <alignment horizontal="right"/>
    </xf>
    <xf numFmtId="0" fontId="8" fillId="0" borderId="4" xfId="2" applyFont="1" applyFill="1" applyBorder="1" applyAlignment="1">
      <alignment horizontal="left" wrapText="1"/>
    </xf>
    <xf numFmtId="3" fontId="8" fillId="0" borderId="26" xfId="2" applyNumberFormat="1" applyFont="1" applyFill="1" applyBorder="1" applyAlignment="1"/>
    <xf numFmtId="0" fontId="8" fillId="0" borderId="59" xfId="2" applyFont="1" applyFill="1" applyBorder="1" applyAlignment="1"/>
    <xf numFmtId="0" fontId="8" fillId="0" borderId="65" xfId="2" applyFont="1" applyFill="1" applyBorder="1" applyAlignment="1"/>
    <xf numFmtId="184" fontId="8" fillId="0" borderId="58" xfId="14" applyNumberFormat="1" applyFont="1" applyFill="1" applyBorder="1" applyAlignment="1">
      <alignment horizontal="right"/>
    </xf>
    <xf numFmtId="169" fontId="8" fillId="0" borderId="58" xfId="17" applyNumberFormat="1" applyFont="1" applyFill="1" applyBorder="1" applyAlignment="1">
      <alignment horizontal="right"/>
    </xf>
    <xf numFmtId="10" fontId="11" fillId="0" borderId="58" xfId="0" applyNumberFormat="1" applyFont="1" applyFill="1" applyBorder="1" applyAlignment="1">
      <alignment horizontal="right"/>
    </xf>
    <xf numFmtId="169" fontId="8" fillId="0" borderId="58" xfId="17" applyNumberFormat="1" applyFont="1" applyFill="1" applyBorder="1" applyAlignment="1"/>
    <xf numFmtId="169" fontId="8" fillId="0" borderId="60" xfId="17" applyNumberFormat="1" applyFont="1" applyFill="1" applyBorder="1" applyAlignment="1"/>
    <xf numFmtId="184" fontId="8" fillId="0" borderId="0" xfId="14" applyNumberFormat="1" applyFont="1" applyFill="1" applyBorder="1" applyAlignment="1">
      <alignment horizontal="right"/>
    </xf>
    <xf numFmtId="184" fontId="52" fillId="0" borderId="0" xfId="14" applyNumberFormat="1" applyFont="1" applyFill="1" applyBorder="1" applyAlignment="1">
      <alignment horizontal="right"/>
    </xf>
    <xf numFmtId="184" fontId="8" fillId="0" borderId="18" xfId="14" applyNumberFormat="1" applyFont="1" applyFill="1" applyBorder="1" applyAlignment="1">
      <alignment wrapText="1"/>
    </xf>
    <xf numFmtId="184" fontId="8" fillId="0" borderId="0" xfId="14" applyNumberFormat="1" applyFont="1" applyFill="1" applyBorder="1" applyAlignment="1"/>
    <xf numFmtId="184" fontId="8" fillId="0" borderId="58" xfId="14" applyNumberFormat="1" applyFont="1" applyFill="1" applyBorder="1" applyAlignment="1"/>
    <xf numFmtId="184" fontId="8" fillId="0" borderId="60" xfId="14" applyNumberFormat="1" applyFont="1" applyFill="1" applyBorder="1" applyAlignment="1"/>
    <xf numFmtId="0" fontId="51" fillId="0" borderId="0" xfId="2" applyFont="1" applyFill="1" applyAlignment="1">
      <alignment vertical="top"/>
    </xf>
    <xf numFmtId="0" fontId="52" fillId="0" borderId="0" xfId="2" applyFont="1" applyFill="1" applyAlignment="1">
      <alignment vertical="top"/>
    </xf>
    <xf numFmtId="0" fontId="52" fillId="0" borderId="58" xfId="2" applyFont="1" applyFill="1" applyBorder="1" applyAlignment="1">
      <alignment horizontal="right"/>
    </xf>
    <xf numFmtId="0" fontId="46" fillId="0" borderId="58" xfId="0" applyFont="1" applyFill="1" applyBorder="1" applyAlignment="1">
      <alignment horizontal="right"/>
    </xf>
    <xf numFmtId="10" fontId="52" fillId="0" borderId="58" xfId="2" applyNumberFormat="1" applyFont="1" applyFill="1" applyBorder="1"/>
    <xf numFmtId="169" fontId="52" fillId="0" borderId="0" xfId="17" applyNumberFormat="1" applyFont="1" applyFill="1" applyBorder="1" applyAlignment="1"/>
    <xf numFmtId="0" fontId="52" fillId="0" borderId="58" xfId="2" applyFont="1" applyFill="1" applyBorder="1" applyAlignment="1"/>
    <xf numFmtId="0" fontId="52" fillId="0" borderId="0" xfId="2" applyFont="1" applyFill="1" applyAlignment="1">
      <alignment horizontal="left" vertical="top"/>
    </xf>
    <xf numFmtId="0" fontId="8" fillId="0" borderId="84" xfId="2" applyFont="1" applyFill="1" applyBorder="1" applyAlignment="1">
      <alignment horizontal="right"/>
    </xf>
    <xf numFmtId="0" fontId="52" fillId="0" borderId="84" xfId="2" applyFont="1" applyFill="1" applyBorder="1" applyAlignment="1">
      <alignment horizontal="right"/>
    </xf>
    <xf numFmtId="0" fontId="11" fillId="0" borderId="84" xfId="0" applyFont="1" applyFill="1" applyBorder="1" applyAlignment="1">
      <alignment horizontal="right"/>
    </xf>
    <xf numFmtId="0" fontId="8" fillId="0" borderId="0" xfId="2" applyFont="1" applyFill="1" applyAlignment="1">
      <alignment horizontal="left" vertical="top"/>
    </xf>
    <xf numFmtId="0" fontId="7" fillId="0" borderId="18" xfId="2" applyFont="1" applyFill="1" applyBorder="1" applyAlignment="1">
      <alignment horizontal="left" vertical="center" wrapText="1"/>
    </xf>
    <xf numFmtId="0" fontId="7" fillId="0" borderId="58" xfId="2" applyFont="1" applyFill="1" applyBorder="1" applyAlignment="1">
      <alignment horizontal="right"/>
    </xf>
    <xf numFmtId="0" fontId="124" fillId="0" borderId="58" xfId="2" applyFont="1" applyFill="1" applyBorder="1" applyAlignment="1">
      <alignment horizontal="right"/>
    </xf>
    <xf numFmtId="0" fontId="124" fillId="0" borderId="60" xfId="2" applyFont="1" applyFill="1" applyBorder="1" applyAlignment="1">
      <alignment horizontal="right"/>
    </xf>
    <xf numFmtId="0" fontId="7" fillId="0" borderId="1" xfId="2" applyFont="1" applyFill="1" applyBorder="1" applyAlignment="1">
      <alignment horizontal="left" vertical="center" wrapText="1"/>
    </xf>
    <xf numFmtId="0" fontId="52" fillId="0" borderId="2" xfId="2" applyFont="1" applyFill="1" applyBorder="1" applyAlignment="1"/>
    <xf numFmtId="0" fontId="7" fillId="0" borderId="55" xfId="2" applyFont="1" applyFill="1" applyBorder="1" applyAlignment="1">
      <alignment horizontal="center"/>
    </xf>
    <xf numFmtId="0" fontId="7" fillId="0" borderId="57" xfId="2" applyFont="1" applyFill="1" applyBorder="1" applyAlignment="1">
      <alignment horizontal="center"/>
    </xf>
    <xf numFmtId="184" fontId="52" fillId="0" borderId="58" xfId="2" applyNumberFormat="1" applyFont="1" applyFill="1" applyBorder="1" applyAlignment="1">
      <alignment horizontal="right"/>
    </xf>
    <xf numFmtId="184" fontId="52" fillId="0" borderId="60" xfId="2" applyNumberFormat="1" applyFont="1" applyFill="1" applyBorder="1" applyAlignment="1">
      <alignment horizontal="right"/>
    </xf>
    <xf numFmtId="169" fontId="8" fillId="0" borderId="0" xfId="17" applyNumberFormat="1" applyFont="1" applyFill="1" applyBorder="1" applyAlignment="1"/>
    <xf numFmtId="0" fontId="52" fillId="0" borderId="0" xfId="2" applyFont="1" applyFill="1" applyBorder="1" applyAlignment="1"/>
    <xf numFmtId="184" fontId="8" fillId="0" borderId="58" xfId="17" applyNumberFormat="1" applyFont="1" applyFill="1" applyBorder="1" applyAlignment="1"/>
    <xf numFmtId="0" fontId="8" fillId="0" borderId="58" xfId="2" applyFont="1" applyFill="1" applyBorder="1" applyAlignment="1"/>
    <xf numFmtId="0" fontId="8" fillId="0" borderId="60" xfId="2" applyFont="1" applyFill="1" applyBorder="1" applyAlignment="1"/>
    <xf numFmtId="169" fontId="8" fillId="0" borderId="58" xfId="17" applyNumberFormat="1" applyFont="1" applyFill="1" applyBorder="1" applyAlignment="1">
      <alignment horizontal="center"/>
    </xf>
    <xf numFmtId="169" fontId="8" fillId="0" borderId="60" xfId="17" applyNumberFormat="1" applyFont="1" applyFill="1" applyBorder="1" applyAlignment="1">
      <alignment horizontal="right"/>
    </xf>
    <xf numFmtId="0" fontId="8" fillId="0" borderId="5" xfId="2" applyFont="1" applyFill="1" applyBorder="1" applyAlignment="1">
      <alignment horizontal="left" wrapText="1"/>
    </xf>
    <xf numFmtId="169" fontId="8" fillId="0" borderId="61" xfId="17" applyNumberFormat="1" applyFont="1" applyFill="1" applyBorder="1" applyAlignment="1">
      <alignment horizontal="right"/>
    </xf>
    <xf numFmtId="0" fontId="52" fillId="0" borderId="61" xfId="2" applyFont="1" applyFill="1" applyBorder="1"/>
    <xf numFmtId="169" fontId="8" fillId="0" borderId="61" xfId="17" applyNumberFormat="1" applyFont="1" applyFill="1" applyBorder="1" applyAlignment="1"/>
    <xf numFmtId="0" fontId="52" fillId="0" borderId="61" xfId="2" applyFont="1" applyFill="1" applyBorder="1" applyAlignment="1">
      <alignment horizontal="left"/>
    </xf>
    <xf numFmtId="0" fontId="52" fillId="0" borderId="63" xfId="2" applyFont="1" applyFill="1" applyBorder="1" applyAlignment="1">
      <alignment horizontal="left"/>
    </xf>
    <xf numFmtId="0" fontId="52" fillId="0" borderId="0" xfId="2" applyFont="1" applyFill="1" applyAlignment="1">
      <alignment wrapText="1"/>
    </xf>
    <xf numFmtId="0" fontId="52" fillId="0" borderId="0" xfId="2" applyFont="1" applyFill="1" applyBorder="1"/>
    <xf numFmtId="169" fontId="52" fillId="0" borderId="58" xfId="17" applyNumberFormat="1" applyFont="1" applyFill="1" applyBorder="1" applyAlignment="1"/>
    <xf numFmtId="0" fontId="52" fillId="0" borderId="6" xfId="2" applyFont="1" applyFill="1" applyBorder="1" applyAlignment="1">
      <alignment wrapText="1"/>
    </xf>
    <xf numFmtId="0" fontId="52" fillId="0" borderId="6" xfId="2" applyFont="1" applyFill="1" applyBorder="1" applyAlignment="1"/>
    <xf numFmtId="0" fontId="52" fillId="0" borderId="61" xfId="2" applyFont="1" applyFill="1" applyBorder="1" applyAlignment="1"/>
    <xf numFmtId="169" fontId="52" fillId="0" borderId="61" xfId="17" applyNumberFormat="1" applyFont="1" applyFill="1" applyBorder="1" applyAlignment="1"/>
    <xf numFmtId="169" fontId="8" fillId="0" borderId="63" xfId="17" applyNumberFormat="1" applyFont="1" applyFill="1" applyBorder="1" applyAlignment="1"/>
    <xf numFmtId="0" fontId="12" fillId="0" borderId="0" xfId="2" applyFont="1" applyFill="1" applyBorder="1" applyAlignment="1">
      <alignment horizontal="right" wrapText="1"/>
    </xf>
    <xf numFmtId="169" fontId="12" fillId="0" borderId="0" xfId="17" applyNumberFormat="1" applyFont="1" applyFill="1" applyBorder="1" applyAlignment="1">
      <alignment horizontal="right"/>
    </xf>
    <xf numFmtId="169" fontId="12" fillId="0" borderId="0" xfId="17" applyNumberFormat="1" applyFont="1" applyFill="1"/>
    <xf numFmtId="0" fontId="0" fillId="0" borderId="0" xfId="2" applyFont="1" applyFill="1" applyBorder="1" applyAlignment="1"/>
    <xf numFmtId="169" fontId="12" fillId="0" borderId="0" xfId="17" applyNumberFormat="1" applyFont="1" applyFill="1" applyBorder="1"/>
    <xf numFmtId="0" fontId="15" fillId="0" borderId="6" xfId="2" applyFont="1" applyFill="1" applyBorder="1" applyAlignment="1"/>
    <xf numFmtId="169" fontId="126" fillId="0" borderId="6" xfId="17" applyNumberFormat="1" applyFont="1" applyFill="1" applyBorder="1" applyAlignment="1"/>
    <xf numFmtId="169" fontId="52" fillId="0" borderId="6" xfId="17" applyNumberFormat="1" applyFont="1" applyFill="1" applyBorder="1"/>
    <xf numFmtId="0" fontId="7" fillId="0" borderId="4" xfId="2" applyFont="1" applyFill="1" applyBorder="1" applyAlignment="1">
      <alignment horizontal="left"/>
    </xf>
    <xf numFmtId="0" fontId="7" fillId="0" borderId="26" xfId="2" applyFont="1" applyFill="1" applyBorder="1" applyAlignment="1">
      <alignment horizontal="center"/>
    </xf>
    <xf numFmtId="0" fontId="7" fillId="0" borderId="18" xfId="2" applyFont="1" applyFill="1" applyBorder="1" applyAlignment="1">
      <alignment horizontal="left"/>
    </xf>
    <xf numFmtId="0" fontId="7" fillId="0" borderId="62" xfId="2" applyFont="1" applyFill="1" applyBorder="1" applyAlignment="1">
      <alignment vertical="top" wrapText="1"/>
    </xf>
    <xf numFmtId="0" fontId="7" fillId="0" borderId="6" xfId="2" applyFont="1" applyFill="1" applyBorder="1" applyAlignment="1">
      <alignment horizontal="center" vertical="top"/>
    </xf>
    <xf numFmtId="169" fontId="7" fillId="0" borderId="68" xfId="17" applyNumberFormat="1" applyFont="1" applyFill="1" applyBorder="1" applyAlignment="1">
      <alignment horizontal="center" vertical="top" wrapText="1"/>
    </xf>
    <xf numFmtId="0" fontId="7" fillId="0" borderId="6" xfId="2" applyFont="1" applyFill="1" applyBorder="1" applyAlignment="1">
      <alignment vertical="top" wrapText="1"/>
    </xf>
    <xf numFmtId="169" fontId="7" fillId="0" borderId="6" xfId="17" applyNumberFormat="1" applyFont="1" applyFill="1" applyBorder="1" applyAlignment="1">
      <alignment horizontal="center" vertical="top"/>
    </xf>
    <xf numFmtId="169" fontId="7" fillId="0" borderId="20" xfId="17" applyNumberFormat="1" applyFont="1" applyFill="1" applyBorder="1" applyAlignment="1">
      <alignment horizontal="center" vertical="top"/>
    </xf>
    <xf numFmtId="0" fontId="8" fillId="0" borderId="46" xfId="2" applyFont="1" applyFill="1" applyBorder="1"/>
    <xf numFmtId="3" fontId="8" fillId="0" borderId="21" xfId="2" applyNumberFormat="1" applyFont="1" applyFill="1" applyBorder="1" applyAlignment="1">
      <alignment horizontal="right"/>
    </xf>
    <xf numFmtId="169" fontId="8" fillId="0" borderId="28" xfId="17" applyNumberFormat="1" applyFont="1" applyFill="1" applyBorder="1"/>
    <xf numFmtId="172" fontId="8" fillId="0" borderId="0" xfId="14" applyNumberFormat="1" applyFont="1" applyFill="1" applyBorder="1" applyAlignment="1">
      <alignment horizontal="right"/>
    </xf>
    <xf numFmtId="169" fontId="8" fillId="0" borderId="0" xfId="17" applyNumberFormat="1" applyFont="1" applyFill="1" applyBorder="1"/>
    <xf numFmtId="169" fontId="8" fillId="0" borderId="67" xfId="17" applyNumberFormat="1" applyFont="1" applyFill="1" applyBorder="1"/>
    <xf numFmtId="3" fontId="11" fillId="0" borderId="0" xfId="0" applyNumberFormat="1" applyFont="1" applyFill="1" applyBorder="1" applyAlignment="1">
      <alignment horizontal="right" vertical="center"/>
    </xf>
    <xf numFmtId="10" fontId="11" fillId="0" borderId="27" xfId="0" applyNumberFormat="1" applyFont="1" applyFill="1" applyBorder="1" applyAlignment="1">
      <alignment horizontal="right" vertical="center"/>
    </xf>
    <xf numFmtId="10" fontId="11" fillId="0" borderId="19" xfId="0" applyNumberFormat="1" applyFont="1" applyFill="1" applyBorder="1" applyAlignment="1">
      <alignment horizontal="right" vertical="center"/>
    </xf>
    <xf numFmtId="0" fontId="8" fillId="0" borderId="33" xfId="2" applyFont="1" applyFill="1" applyBorder="1"/>
    <xf numFmtId="3" fontId="8" fillId="0" borderId="22" xfId="2" applyNumberFormat="1" applyFont="1" applyFill="1" applyBorder="1" applyAlignment="1">
      <alignment horizontal="right"/>
    </xf>
    <xf numFmtId="169" fontId="8" fillId="0" borderId="24" xfId="17" applyNumberFormat="1" applyFont="1" applyFill="1" applyBorder="1"/>
    <xf numFmtId="172" fontId="8" fillId="0" borderId="23" xfId="14" applyNumberFormat="1" applyFont="1" applyFill="1" applyBorder="1" applyAlignment="1">
      <alignment horizontal="right"/>
    </xf>
    <xf numFmtId="169" fontId="8" fillId="0" borderId="23" xfId="17" applyNumberFormat="1" applyFont="1" applyFill="1" applyBorder="1"/>
    <xf numFmtId="169" fontId="8" fillId="0" borderId="24" xfId="17" applyNumberFormat="1" applyFont="1" applyFill="1" applyBorder="1" applyAlignment="1">
      <alignment horizontal="right"/>
    </xf>
    <xf numFmtId="3" fontId="11" fillId="0" borderId="23" xfId="0" applyNumberFormat="1" applyFont="1" applyFill="1" applyBorder="1" applyAlignment="1">
      <alignment horizontal="right" vertical="center"/>
    </xf>
    <xf numFmtId="0" fontId="11" fillId="0" borderId="41" xfId="0" applyFont="1" applyFill="1" applyBorder="1" applyAlignment="1">
      <alignment horizontal="right" vertical="center"/>
    </xf>
    <xf numFmtId="9" fontId="7" fillId="0" borderId="6" xfId="2" applyNumberFormat="1" applyFont="1" applyFill="1" applyBorder="1" applyAlignment="1">
      <alignment horizontal="right"/>
    </xf>
    <xf numFmtId="172" fontId="7" fillId="0" borderId="62" xfId="14" applyNumberFormat="1" applyFont="1" applyFill="1" applyBorder="1" applyAlignment="1">
      <alignment horizontal="right"/>
    </xf>
    <xf numFmtId="172" fontId="7" fillId="0" borderId="6" xfId="14" applyNumberFormat="1" applyFont="1" applyFill="1" applyBorder="1" applyAlignment="1">
      <alignment horizontal="right"/>
    </xf>
    <xf numFmtId="169" fontId="7" fillId="0" borderId="68" xfId="17" applyNumberFormat="1" applyFont="1" applyFill="1" applyBorder="1" applyAlignment="1">
      <alignment horizontal="right"/>
    </xf>
    <xf numFmtId="169" fontId="7" fillId="0" borderId="6" xfId="17" applyNumberFormat="1" applyFont="1" applyFill="1" applyBorder="1" applyAlignment="1">
      <alignment horizontal="right"/>
    </xf>
    <xf numFmtId="169" fontId="7" fillId="0" borderId="99" xfId="17" applyNumberFormat="1" applyFont="1" applyFill="1" applyBorder="1" applyAlignment="1">
      <alignment horizontal="right"/>
    </xf>
    <xf numFmtId="3" fontId="14" fillId="0" borderId="6" xfId="0" applyNumberFormat="1" applyFont="1" applyFill="1" applyBorder="1" applyAlignment="1">
      <alignment horizontal="right" vertical="center"/>
    </xf>
    <xf numFmtId="0" fontId="14" fillId="0" borderId="20" xfId="0" applyFont="1" applyFill="1" applyBorder="1" applyAlignment="1">
      <alignment horizontal="right" vertical="center"/>
    </xf>
    <xf numFmtId="9" fontId="7" fillId="0" borderId="0" xfId="2" applyNumberFormat="1" applyFont="1" applyFill="1" applyBorder="1" applyAlignment="1">
      <alignment horizontal="right"/>
    </xf>
    <xf numFmtId="172" fontId="7" fillId="0" borderId="0" xfId="14" applyNumberFormat="1" applyFont="1" applyFill="1" applyBorder="1" applyAlignment="1">
      <alignment horizontal="right"/>
    </xf>
    <xf numFmtId="169" fontId="124" fillId="0" borderId="6" xfId="17" applyNumberFormat="1" applyFont="1" applyFill="1" applyBorder="1" applyAlignment="1"/>
    <xf numFmtId="0" fontId="7" fillId="0" borderId="33" xfId="2" applyFont="1" applyFill="1" applyBorder="1" applyAlignment="1">
      <alignment horizontal="left"/>
    </xf>
    <xf numFmtId="0" fontId="7" fillId="0" borderId="23" xfId="2" applyFont="1" applyFill="1" applyBorder="1" applyAlignment="1">
      <alignment horizontal="center" vertical="top"/>
    </xf>
    <xf numFmtId="169" fontId="7" fillId="0" borderId="68" xfId="17" applyNumberFormat="1" applyFont="1" applyFill="1" applyBorder="1" applyAlignment="1">
      <alignment horizontal="center" vertical="top"/>
    </xf>
    <xf numFmtId="169" fontId="8" fillId="0" borderId="19" xfId="17" applyNumberFormat="1" applyFont="1" applyFill="1" applyBorder="1"/>
    <xf numFmtId="169" fontId="8" fillId="0" borderId="41" xfId="17" applyNumberFormat="1" applyFont="1" applyFill="1" applyBorder="1"/>
    <xf numFmtId="169" fontId="7" fillId="0" borderId="20" xfId="17" applyNumberFormat="1" applyFont="1" applyFill="1" applyBorder="1" applyAlignment="1">
      <alignment horizontal="right"/>
    </xf>
    <xf numFmtId="0" fontId="32" fillId="0" borderId="0" xfId="2" applyFont="1" applyFill="1" applyBorder="1" applyAlignment="1">
      <alignment vertical="top"/>
    </xf>
    <xf numFmtId="0" fontId="32" fillId="0" borderId="0" xfId="2" applyFont="1" applyFill="1" applyBorder="1" applyAlignment="1">
      <alignment horizontal="left"/>
    </xf>
    <xf numFmtId="172" fontId="32" fillId="0" borderId="0" xfId="14" applyNumberFormat="1" applyFont="1" applyFill="1" applyBorder="1" applyAlignment="1">
      <alignment horizontal="right"/>
    </xf>
    <xf numFmtId="169" fontId="32" fillId="0" borderId="0" xfId="17" applyNumberFormat="1" applyFont="1" applyFill="1" applyBorder="1" applyAlignment="1">
      <alignment horizontal="right"/>
    </xf>
    <xf numFmtId="172" fontId="127" fillId="0" borderId="0" xfId="14" applyNumberFormat="1" applyFont="1" applyFill="1" applyBorder="1" applyAlignment="1">
      <alignment horizontal="right"/>
    </xf>
    <xf numFmtId="169" fontId="32" fillId="0" borderId="0" xfId="17" applyNumberFormat="1" applyFont="1" applyFill="1" applyBorder="1"/>
    <xf numFmtId="0" fontId="4" fillId="0" borderId="15" xfId="2" applyFont="1" applyFill="1" applyBorder="1" applyAlignment="1">
      <alignment vertical="top"/>
    </xf>
    <xf numFmtId="0" fontId="4" fillId="0" borderId="16" xfId="2" applyFont="1" applyFill="1" applyBorder="1" applyAlignment="1">
      <alignment vertical="top" wrapText="1"/>
    </xf>
    <xf numFmtId="0" fontId="5" fillId="0" borderId="28" xfId="2" applyFont="1" applyFill="1" applyBorder="1" applyAlignment="1">
      <alignment vertical="top"/>
    </xf>
    <xf numFmtId="0" fontId="7" fillId="0" borderId="22" xfId="2" applyFont="1" applyFill="1" applyBorder="1"/>
    <xf numFmtId="0" fontId="7" fillId="0" borderId="23" xfId="2" applyFont="1" applyFill="1" applyBorder="1" applyAlignment="1">
      <alignment horizontal="center"/>
    </xf>
    <xf numFmtId="0" fontId="7" fillId="0" borderId="24" xfId="2" applyFont="1" applyFill="1" applyBorder="1" applyAlignment="1">
      <alignment horizontal="center"/>
    </xf>
    <xf numFmtId="0" fontId="7" fillId="0" borderId="22" xfId="2" applyFont="1" applyFill="1" applyBorder="1" applyAlignment="1">
      <alignment horizontal="center"/>
    </xf>
    <xf numFmtId="0" fontId="7" fillId="0" borderId="41" xfId="2" applyFont="1" applyFill="1" applyBorder="1" applyAlignment="1">
      <alignment horizontal="center"/>
    </xf>
    <xf numFmtId="0" fontId="7" fillId="0" borderId="33" xfId="2" applyFont="1" applyFill="1" applyBorder="1" applyAlignment="1">
      <alignment horizontal="center"/>
    </xf>
    <xf numFmtId="0" fontId="7" fillId="0" borderId="37" xfId="2" applyFont="1" applyFill="1" applyBorder="1" applyAlignment="1">
      <alignment wrapText="1"/>
    </xf>
    <xf numFmtId="0" fontId="8" fillId="0" borderId="15" xfId="2" applyFont="1" applyFill="1" applyBorder="1"/>
    <xf numFmtId="0" fontId="8" fillId="0" borderId="16" xfId="2" applyFont="1" applyFill="1" applyBorder="1"/>
    <xf numFmtId="169" fontId="8" fillId="0" borderId="17" xfId="17" applyNumberFormat="1" applyFont="1" applyFill="1" applyBorder="1"/>
    <xf numFmtId="169" fontId="8" fillId="0" borderId="16" xfId="17" applyNumberFormat="1" applyFont="1" applyFill="1" applyBorder="1"/>
    <xf numFmtId="0" fontId="11" fillId="0" borderId="16" xfId="0" applyFont="1" applyFill="1" applyBorder="1" applyAlignment="1">
      <alignment horizontal="right" vertical="center"/>
    </xf>
    <xf numFmtId="10" fontId="11" fillId="0" borderId="44" xfId="0" applyNumberFormat="1" applyFont="1" applyFill="1" applyBorder="1" applyAlignment="1">
      <alignment horizontal="right" vertical="center"/>
    </xf>
    <xf numFmtId="0" fontId="7" fillId="0" borderId="77" xfId="2" applyFont="1" applyFill="1" applyBorder="1" applyAlignment="1">
      <alignment wrapText="1"/>
    </xf>
    <xf numFmtId="0" fontId="11" fillId="0" borderId="22" xfId="0" applyFont="1" applyFill="1" applyBorder="1" applyAlignment="1">
      <alignment horizontal="right" vertical="center" wrapText="1"/>
    </xf>
    <xf numFmtId="0" fontId="11" fillId="0" borderId="23" xfId="0" applyFont="1" applyFill="1" applyBorder="1" applyAlignment="1">
      <alignment horizontal="right" vertical="center" wrapText="1"/>
    </xf>
    <xf numFmtId="0" fontId="11" fillId="0" borderId="24" xfId="0" applyFont="1" applyFill="1" applyBorder="1" applyAlignment="1">
      <alignment horizontal="right" vertical="center" wrapText="1"/>
    </xf>
    <xf numFmtId="0" fontId="11" fillId="0" borderId="23" xfId="0" applyFont="1" applyFill="1" applyBorder="1" applyAlignment="1">
      <alignment horizontal="right" vertical="center"/>
    </xf>
    <xf numFmtId="10" fontId="11" fillId="0" borderId="41" xfId="0" applyNumberFormat="1" applyFont="1" applyFill="1" applyBorder="1" applyAlignment="1">
      <alignment horizontal="right" vertical="center" wrapText="1"/>
    </xf>
    <xf numFmtId="0" fontId="8" fillId="0" borderId="82" xfId="2" applyFont="1" applyFill="1" applyBorder="1" applyAlignment="1">
      <alignment wrapText="1"/>
    </xf>
    <xf numFmtId="0" fontId="11" fillId="0" borderId="25" xfId="0" applyFont="1" applyFill="1" applyBorder="1" applyAlignment="1">
      <alignment horizontal="right" vertical="center"/>
    </xf>
    <xf numFmtId="0" fontId="11" fillId="0" borderId="45" xfId="0" applyFont="1" applyFill="1" applyBorder="1" applyAlignment="1">
      <alignment vertical="center"/>
    </xf>
    <xf numFmtId="0" fontId="8" fillId="0" borderId="21" xfId="2" applyFont="1" applyFill="1" applyBorder="1" applyAlignment="1"/>
    <xf numFmtId="0" fontId="11" fillId="0" borderId="0" xfId="0" applyFont="1" applyFill="1" applyBorder="1" applyAlignment="1">
      <alignment horizontal="right" vertical="center"/>
    </xf>
    <xf numFmtId="0" fontId="11" fillId="0" borderId="19" xfId="0" applyFont="1" applyFill="1" applyBorder="1" applyAlignment="1">
      <alignment vertical="center"/>
    </xf>
    <xf numFmtId="0" fontId="11" fillId="0" borderId="41" xfId="0" applyFont="1" applyFill="1" applyBorder="1" applyAlignment="1">
      <alignment vertical="center"/>
    </xf>
    <xf numFmtId="0" fontId="7" fillId="0" borderId="39" xfId="2" applyFont="1" applyFill="1" applyBorder="1"/>
    <xf numFmtId="0" fontId="7" fillId="0" borderId="100" xfId="2" applyFont="1" applyFill="1" applyBorder="1"/>
    <xf numFmtId="0" fontId="7" fillId="0" borderId="42" xfId="2" applyFont="1" applyFill="1" applyBorder="1"/>
    <xf numFmtId="169" fontId="7" fillId="0" borderId="99" xfId="17" applyNumberFormat="1" applyFont="1" applyFill="1" applyBorder="1"/>
    <xf numFmtId="1" fontId="7" fillId="0" borderId="42" xfId="17" applyNumberFormat="1" applyFont="1" applyFill="1" applyBorder="1"/>
    <xf numFmtId="169" fontId="7" fillId="0" borderId="42" xfId="17" applyNumberFormat="1" applyFont="1" applyFill="1" applyBorder="1"/>
    <xf numFmtId="0" fontId="14" fillId="0" borderId="42" xfId="0" applyFont="1" applyFill="1" applyBorder="1" applyAlignment="1">
      <alignment horizontal="right" vertical="center"/>
    </xf>
    <xf numFmtId="0" fontId="14" fillId="0" borderId="43" xfId="0" applyFont="1" applyFill="1" applyBorder="1" applyAlignment="1">
      <alignment vertical="center"/>
    </xf>
    <xf numFmtId="0" fontId="128" fillId="0" borderId="0" xfId="2" applyFont="1" applyFill="1" applyBorder="1" applyAlignment="1">
      <alignment vertical="top" wrapText="1"/>
    </xf>
    <xf numFmtId="0" fontId="7" fillId="0" borderId="0" xfId="2" applyFont="1" applyFill="1" applyAlignment="1">
      <alignment horizontal="center"/>
    </xf>
    <xf numFmtId="0" fontId="8" fillId="0" borderId="35" xfId="2" applyFont="1" applyFill="1" applyBorder="1"/>
    <xf numFmtId="0" fontId="7" fillId="0" borderId="18" xfId="2" applyFont="1" applyFill="1" applyBorder="1"/>
    <xf numFmtId="0" fontId="7" fillId="0" borderId="21" xfId="2" applyFont="1" applyFill="1" applyBorder="1" applyAlignment="1">
      <alignment horizontal="center"/>
    </xf>
    <xf numFmtId="0" fontId="7" fillId="0" borderId="70" xfId="2" applyFont="1" applyFill="1" applyBorder="1" applyAlignment="1">
      <alignment horizontal="center"/>
    </xf>
    <xf numFmtId="0" fontId="7" fillId="0" borderId="19" xfId="2" applyFont="1" applyFill="1" applyBorder="1" applyAlignment="1">
      <alignment horizontal="center"/>
    </xf>
    <xf numFmtId="0" fontId="7" fillId="0" borderId="18" xfId="2" applyFont="1" applyFill="1" applyBorder="1" applyAlignment="1">
      <alignment horizontal="center"/>
    </xf>
    <xf numFmtId="0" fontId="7" fillId="0" borderId="28" xfId="2" applyFont="1" applyFill="1" applyBorder="1" applyAlignment="1">
      <alignment horizontal="center"/>
    </xf>
    <xf numFmtId="172" fontId="8" fillId="0" borderId="21" xfId="2" applyNumberFormat="1" applyFont="1" applyFill="1" applyBorder="1" applyAlignment="1">
      <alignment horizontal="right"/>
    </xf>
    <xf numFmtId="164" fontId="8" fillId="0" borderId="28" xfId="2" applyNumberFormat="1" applyFont="1" applyFill="1" applyBorder="1" applyAlignment="1">
      <alignment horizontal="right"/>
    </xf>
    <xf numFmtId="164" fontId="8" fillId="0" borderId="19" xfId="2" applyNumberFormat="1" applyFont="1" applyFill="1" applyBorder="1" applyAlignment="1">
      <alignment horizontal="right"/>
    </xf>
    <xf numFmtId="172" fontId="8" fillId="0" borderId="18" xfId="2" applyNumberFormat="1" applyFont="1" applyFill="1" applyBorder="1" applyAlignment="1">
      <alignment horizontal="right"/>
    </xf>
    <xf numFmtId="172" fontId="8" fillId="0" borderId="22" xfId="2" applyNumberFormat="1" applyFont="1" applyFill="1" applyBorder="1" applyAlignment="1">
      <alignment horizontal="right"/>
    </xf>
    <xf numFmtId="164" fontId="8" fillId="0" borderId="24" xfId="2" applyNumberFormat="1" applyFont="1" applyFill="1" applyBorder="1" applyAlignment="1">
      <alignment horizontal="right"/>
    </xf>
    <xf numFmtId="164" fontId="8" fillId="0" borderId="41" xfId="2" applyNumberFormat="1" applyFont="1" applyFill="1" applyBorder="1" applyAlignment="1">
      <alignment horizontal="right"/>
    </xf>
    <xf numFmtId="172" fontId="8" fillId="0" borderId="33" xfId="2" applyNumberFormat="1" applyFont="1" applyFill="1" applyBorder="1" applyAlignment="1">
      <alignment horizontal="right"/>
    </xf>
    <xf numFmtId="172" fontId="7" fillId="0" borderId="62" xfId="2" applyNumberFormat="1" applyFont="1" applyFill="1" applyBorder="1" applyAlignment="1">
      <alignment horizontal="right"/>
    </xf>
    <xf numFmtId="172" fontId="7" fillId="0" borderId="6" xfId="2" applyNumberFormat="1" applyFont="1" applyFill="1" applyBorder="1" applyAlignment="1">
      <alignment horizontal="right"/>
    </xf>
    <xf numFmtId="164" fontId="7" fillId="0" borderId="68" xfId="2" applyNumberFormat="1" applyFont="1" applyFill="1" applyBorder="1" applyAlignment="1">
      <alignment horizontal="right"/>
    </xf>
    <xf numFmtId="164" fontId="7" fillId="0" borderId="43" xfId="2" applyNumberFormat="1" applyFont="1" applyFill="1" applyBorder="1" applyAlignment="1">
      <alignment horizontal="right"/>
    </xf>
    <xf numFmtId="164" fontId="7" fillId="0" borderId="20" xfId="2" applyNumberFormat="1" applyFont="1" applyFill="1" applyBorder="1" applyAlignment="1">
      <alignment horizontal="right"/>
    </xf>
    <xf numFmtId="0" fontId="12" fillId="0" borderId="6" xfId="2" applyFont="1" applyFill="1" applyBorder="1"/>
    <xf numFmtId="0" fontId="128" fillId="0" borderId="0" xfId="2" applyFont="1" applyFill="1"/>
    <xf numFmtId="0" fontId="15" fillId="0" borderId="0" xfId="2" applyFont="1" applyFill="1" applyBorder="1" applyAlignment="1" applyProtection="1"/>
    <xf numFmtId="0" fontId="78" fillId="0" borderId="0" xfId="2" applyFont="1" applyFill="1" applyBorder="1" applyProtection="1">
      <protection locked="0"/>
    </xf>
    <xf numFmtId="0" fontId="15" fillId="0" borderId="4" xfId="2" applyFont="1" applyFill="1" applyBorder="1" applyAlignment="1" applyProtection="1"/>
    <xf numFmtId="0" fontId="8" fillId="0" borderId="18" xfId="2" applyFont="1" applyFill="1" applyBorder="1" applyAlignment="1"/>
    <xf numFmtId="17" fontId="7" fillId="0" borderId="5" xfId="2" applyNumberFormat="1" applyFont="1" applyFill="1" applyBorder="1" applyAlignment="1">
      <alignment horizontal="right"/>
    </xf>
    <xf numFmtId="0" fontId="7" fillId="0" borderId="68" xfId="2" applyFont="1" applyFill="1" applyBorder="1" applyAlignment="1">
      <alignment horizontal="right"/>
    </xf>
    <xf numFmtId="17" fontId="7" fillId="0" borderId="62" xfId="2" applyNumberFormat="1" applyFont="1" applyFill="1" applyBorder="1" applyAlignment="1">
      <alignment horizontal="right"/>
    </xf>
    <xf numFmtId="0" fontId="7" fillId="0" borderId="62" xfId="2" applyFont="1" applyFill="1" applyBorder="1" applyAlignment="1">
      <alignment horizontal="right"/>
    </xf>
    <xf numFmtId="0" fontId="7" fillId="0" borderId="118" xfId="2" applyFont="1" applyFill="1" applyBorder="1" applyAlignment="1">
      <alignment horizontal="right"/>
    </xf>
    <xf numFmtId="0" fontId="7" fillId="2" borderId="62" xfId="2" applyFont="1" applyFill="1" applyBorder="1" applyAlignment="1">
      <alignment horizontal="right"/>
    </xf>
    <xf numFmtId="0" fontId="7" fillId="2" borderId="20" xfId="2" applyFont="1" applyFill="1" applyBorder="1" applyAlignment="1">
      <alignment horizontal="right"/>
    </xf>
    <xf numFmtId="0" fontId="8" fillId="0" borderId="5" xfId="2" applyFont="1" applyFill="1" applyBorder="1" applyAlignment="1">
      <alignment horizontal="right"/>
    </xf>
    <xf numFmtId="0" fontId="8" fillId="0" borderId="68" xfId="2" applyFont="1" applyFill="1" applyBorder="1" applyAlignment="1">
      <alignment horizontal="right"/>
    </xf>
    <xf numFmtId="1" fontId="8" fillId="0" borderId="68" xfId="2" applyNumberFormat="1" applyFont="1" applyFill="1" applyBorder="1"/>
    <xf numFmtId="1" fontId="8" fillId="0" borderId="62" xfId="2" applyNumberFormat="1" applyFont="1" applyFill="1" applyBorder="1" applyAlignment="1">
      <alignment horizontal="right"/>
    </xf>
    <xf numFmtId="1" fontId="8" fillId="0" borderId="118" xfId="2" applyNumberFormat="1" applyFont="1" applyFill="1" applyBorder="1"/>
    <xf numFmtId="1" fontId="8" fillId="2" borderId="62" xfId="2" applyNumberFormat="1" applyFont="1" applyFill="1" applyBorder="1"/>
    <xf numFmtId="1" fontId="8" fillId="2" borderId="20" xfId="2" applyNumberFormat="1" applyFont="1" applyFill="1" applyBorder="1"/>
    <xf numFmtId="1" fontId="6" fillId="0" borderId="0" xfId="2" applyNumberFormat="1" applyFont="1" applyFill="1" applyProtection="1"/>
    <xf numFmtId="1" fontId="6" fillId="0" borderId="0" xfId="2" applyNumberFormat="1" applyFont="1" applyFill="1" applyProtection="1">
      <protection locked="0"/>
    </xf>
    <xf numFmtId="0" fontId="6" fillId="0" borderId="0" xfId="2" applyFont="1" applyFill="1" applyBorder="1" applyAlignment="1" applyProtection="1"/>
    <xf numFmtId="0" fontId="15" fillId="0" borderId="3" xfId="2" applyFont="1" applyBorder="1"/>
    <xf numFmtId="0" fontId="15" fillId="0" borderId="29" xfId="2" applyFont="1" applyBorder="1"/>
    <xf numFmtId="0" fontId="6" fillId="3" borderId="29" xfId="2" applyFont="1" applyFill="1" applyBorder="1" applyProtection="1"/>
    <xf numFmtId="1" fontId="25" fillId="0" borderId="4" xfId="0" applyNumberFormat="1" applyFont="1" applyBorder="1" applyAlignment="1">
      <alignment horizontal="center"/>
    </xf>
    <xf numFmtId="1" fontId="25" fillId="0" borderId="27" xfId="0" applyNumberFormat="1" applyFont="1" applyBorder="1" applyAlignment="1">
      <alignment horizontal="center"/>
    </xf>
    <xf numFmtId="1" fontId="25" fillId="2" borderId="4" xfId="0" applyNumberFormat="1" applyFont="1" applyFill="1" applyBorder="1" applyAlignment="1">
      <alignment horizontal="center"/>
    </xf>
    <xf numFmtId="1" fontId="25" fillId="2" borderId="27" xfId="0" applyNumberFormat="1" applyFont="1" applyFill="1" applyBorder="1" applyAlignment="1">
      <alignment horizontal="center"/>
    </xf>
    <xf numFmtId="1" fontId="25" fillId="2" borderId="26" xfId="0" applyNumberFormat="1" applyFont="1" applyFill="1" applyBorder="1" applyAlignment="1">
      <alignment horizontal="center"/>
    </xf>
    <xf numFmtId="1" fontId="25" fillId="0" borderId="0" xfId="0" applyNumberFormat="1" applyFont="1" applyAlignment="1">
      <alignment horizontal="center"/>
    </xf>
    <xf numFmtId="0" fontId="4" fillId="0" borderId="18" xfId="2" applyFont="1" applyBorder="1" applyAlignment="1">
      <alignment horizontal="center"/>
    </xf>
    <xf numFmtId="0" fontId="4" fillId="0" borderId="19" xfId="2" applyFont="1" applyBorder="1" applyAlignment="1">
      <alignment horizontal="center"/>
    </xf>
    <xf numFmtId="0" fontId="4" fillId="3" borderId="0" xfId="2" applyFont="1" applyFill="1" applyProtection="1"/>
    <xf numFmtId="1" fontId="25" fillId="0" borderId="18" xfId="0" applyNumberFormat="1" applyFont="1" applyBorder="1" applyAlignment="1">
      <alignment horizontal="center"/>
    </xf>
    <xf numFmtId="1" fontId="25" fillId="0" borderId="19" xfId="0" applyNumberFormat="1" applyFont="1" applyBorder="1" applyAlignment="1">
      <alignment horizontal="center"/>
    </xf>
    <xf numFmtId="1" fontId="25" fillId="2" borderId="18" xfId="0" applyNumberFormat="1" applyFont="1" applyFill="1" applyBorder="1" applyAlignment="1">
      <alignment horizontal="center"/>
    </xf>
    <xf numFmtId="1" fontId="25" fillId="2" borderId="19" xfId="0" applyNumberFormat="1" applyFont="1" applyFill="1" applyBorder="1" applyAlignment="1">
      <alignment horizontal="center"/>
    </xf>
    <xf numFmtId="1" fontId="25" fillId="2" borderId="0" xfId="0" applyNumberFormat="1" applyFont="1" applyFill="1" applyBorder="1" applyAlignment="1">
      <alignment horizontal="center"/>
    </xf>
    <xf numFmtId="1" fontId="25" fillId="0" borderId="0" xfId="0" applyNumberFormat="1" applyFont="1" applyAlignment="1" applyProtection="1">
      <alignment horizontal="center" vertical="center"/>
    </xf>
    <xf numFmtId="1" fontId="25" fillId="0" borderId="5" xfId="0" applyNumberFormat="1" applyFont="1" applyBorder="1" applyAlignment="1">
      <alignment horizontal="center"/>
    </xf>
    <xf numFmtId="1" fontId="25" fillId="0" borderId="20" xfId="0" applyNumberFormat="1" applyFont="1" applyBorder="1" applyAlignment="1">
      <alignment horizontal="center"/>
    </xf>
    <xf numFmtId="1" fontId="25" fillId="2" borderId="5" xfId="0" applyNumberFormat="1" applyFont="1" applyFill="1" applyBorder="1" applyAlignment="1">
      <alignment horizontal="center"/>
    </xf>
    <xf numFmtId="1" fontId="25" fillId="2" borderId="20" xfId="0" applyNumberFormat="1" applyFont="1" applyFill="1" applyBorder="1" applyAlignment="1">
      <alignment horizontal="center"/>
    </xf>
    <xf numFmtId="1" fontId="25" fillId="0" borderId="20" xfId="0" applyNumberFormat="1" applyFont="1" applyBorder="1" applyAlignment="1" applyProtection="1">
      <alignment horizontal="center" vertical="center"/>
    </xf>
    <xf numFmtId="0" fontId="4" fillId="0" borderId="5" xfId="2" applyFont="1" applyBorder="1" applyAlignment="1">
      <alignment horizontal="center"/>
    </xf>
    <xf numFmtId="0" fontId="4" fillId="0" borderId="20" xfId="2" applyFont="1" applyBorder="1" applyAlignment="1">
      <alignment horizontal="center"/>
    </xf>
    <xf numFmtId="0" fontId="80" fillId="18" borderId="119" xfId="0" applyFont="1" applyFill="1" applyBorder="1" applyAlignment="1">
      <alignment horizontal="center" vertical="center" wrapText="1"/>
    </xf>
    <xf numFmtId="0" fontId="80" fillId="18" borderId="120" xfId="0" applyFont="1" applyFill="1" applyBorder="1" applyAlignment="1">
      <alignment horizontal="center" vertical="center"/>
    </xf>
    <xf numFmtId="0" fontId="80" fillId="18" borderId="120" xfId="0" applyFont="1" applyFill="1" applyBorder="1" applyAlignment="1">
      <alignment horizontal="center" vertical="center" wrapText="1"/>
    </xf>
    <xf numFmtId="0" fontId="80" fillId="18" borderId="121" xfId="0" applyFont="1" applyFill="1" applyBorder="1" applyAlignment="1">
      <alignment horizontal="center" vertical="center" wrapText="1"/>
    </xf>
    <xf numFmtId="0" fontId="80" fillId="18" borderId="122" xfId="0" applyFont="1" applyFill="1" applyBorder="1" applyAlignment="1">
      <alignment horizontal="center" vertical="center" wrapText="1"/>
    </xf>
    <xf numFmtId="0" fontId="80" fillId="2" borderId="122" xfId="0" applyFont="1" applyFill="1" applyBorder="1" applyAlignment="1">
      <alignment horizontal="center" vertical="center" wrapText="1"/>
    </xf>
    <xf numFmtId="0" fontId="6" fillId="2" borderId="122" xfId="2" applyFont="1" applyFill="1" applyBorder="1" applyProtection="1">
      <protection locked="0"/>
    </xf>
    <xf numFmtId="0" fontId="8" fillId="0" borderId="29" xfId="2" applyFont="1" applyFill="1" applyBorder="1" applyProtection="1">
      <protection locked="0"/>
    </xf>
    <xf numFmtId="0" fontId="80" fillId="19" borderId="123" xfId="0" applyFont="1" applyFill="1" applyBorder="1" applyAlignment="1">
      <alignment vertical="center" wrapText="1"/>
    </xf>
    <xf numFmtId="0" fontId="23" fillId="19" borderId="124" xfId="0" applyFont="1" applyFill="1" applyBorder="1" applyAlignment="1">
      <alignment horizontal="right" vertical="center"/>
    </xf>
    <xf numFmtId="0" fontId="23" fillId="19" borderId="124" xfId="0" applyFont="1" applyFill="1" applyBorder="1" applyAlignment="1">
      <alignment horizontal="right" vertical="center" wrapText="1"/>
    </xf>
    <xf numFmtId="0" fontId="23" fillId="19" borderId="125" xfId="0" applyFont="1" applyFill="1" applyBorder="1" applyAlignment="1">
      <alignment horizontal="right" vertical="center" wrapText="1"/>
    </xf>
    <xf numFmtId="0" fontId="23" fillId="19" borderId="122" xfId="0" applyFont="1" applyFill="1" applyBorder="1" applyAlignment="1">
      <alignment horizontal="right" vertical="center" wrapText="1"/>
    </xf>
    <xf numFmtId="0" fontId="23" fillId="2" borderId="122" xfId="0" applyFont="1" applyFill="1" applyBorder="1" applyAlignment="1">
      <alignment horizontal="right" vertical="center" wrapText="1"/>
    </xf>
    <xf numFmtId="0" fontId="0" fillId="0" borderId="122" xfId="0" applyBorder="1" applyAlignment="1">
      <alignment vertical="center" wrapText="1"/>
    </xf>
    <xf numFmtId="0" fontId="8" fillId="0" borderId="29" xfId="2" applyFont="1" applyFill="1" applyBorder="1" applyAlignment="1" applyProtection="1">
      <alignment wrapText="1"/>
      <protection locked="0"/>
    </xf>
    <xf numFmtId="0" fontId="6" fillId="0" borderId="126" xfId="2" applyFont="1" applyFill="1" applyBorder="1" applyProtection="1">
      <protection locked="0"/>
    </xf>
    <xf numFmtId="0" fontId="0" fillId="0" borderId="1" xfId="2" applyFont="1" applyFill="1" applyBorder="1" applyProtection="1">
      <protection locked="0"/>
    </xf>
    <xf numFmtId="0" fontId="11" fillId="0" borderId="55" xfId="2" applyFont="1" applyFill="1" applyBorder="1" applyProtection="1">
      <protection locked="0"/>
    </xf>
    <xf numFmtId="0" fontId="11" fillId="0" borderId="57" xfId="2" applyFont="1" applyFill="1" applyBorder="1" applyProtection="1">
      <protection locked="0"/>
    </xf>
    <xf numFmtId="0" fontId="11" fillId="0" borderId="29" xfId="2" applyFont="1" applyFill="1" applyBorder="1" applyAlignment="1" applyProtection="1">
      <alignment horizontal="right"/>
      <protection locked="0"/>
    </xf>
    <xf numFmtId="0" fontId="80" fillId="0" borderId="1" xfId="0" applyFont="1" applyBorder="1"/>
    <xf numFmtId="1" fontId="0" fillId="0" borderId="0" xfId="2" applyNumberFormat="1" applyFont="1" applyFill="1" applyProtection="1">
      <protection locked="0"/>
    </xf>
    <xf numFmtId="1" fontId="24" fillId="20" borderId="0" xfId="0" applyNumberFormat="1" applyFont="1" applyFill="1" applyAlignment="1" applyProtection="1">
      <alignment horizontal="center" vertical="center"/>
    </xf>
    <xf numFmtId="1" fontId="25" fillId="0" borderId="0" xfId="0" applyNumberFormat="1" applyFont="1" applyBorder="1" applyAlignment="1">
      <alignment horizontal="center"/>
    </xf>
    <xf numFmtId="1" fontId="24" fillId="20" borderId="20" xfId="0" applyNumberFormat="1" applyFont="1" applyFill="1" applyBorder="1" applyAlignment="1" applyProtection="1">
      <alignment horizontal="center" vertical="center"/>
    </xf>
    <xf numFmtId="0" fontId="22" fillId="0" borderId="0" xfId="2" applyFont="1" applyFill="1" applyProtection="1">
      <protection locked="0"/>
    </xf>
    <xf numFmtId="0" fontId="15" fillId="0" borderId="73" xfId="2" applyFont="1" applyFill="1" applyBorder="1" applyAlignment="1" applyProtection="1"/>
    <xf numFmtId="0" fontId="0" fillId="0" borderId="18" xfId="2" applyFont="1" applyFill="1" applyBorder="1" applyProtection="1">
      <protection locked="0"/>
    </xf>
    <xf numFmtId="0" fontId="0" fillId="0" borderId="19" xfId="2" applyFont="1" applyFill="1" applyBorder="1" applyProtection="1">
      <protection locked="0"/>
    </xf>
    <xf numFmtId="0" fontId="8" fillId="0" borderId="82" xfId="2" applyFont="1" applyFill="1" applyBorder="1" applyAlignment="1"/>
    <xf numFmtId="17" fontId="7" fillId="0" borderId="21" xfId="2" applyNumberFormat="1" applyFont="1" applyFill="1" applyBorder="1" applyAlignment="1">
      <alignment horizontal="right"/>
    </xf>
    <xf numFmtId="0" fontId="7" fillId="0" borderId="28" xfId="2" applyFont="1" applyFill="1" applyBorder="1" applyAlignment="1">
      <alignment horizontal="right"/>
    </xf>
    <xf numFmtId="17" fontId="7" fillId="0" borderId="0" xfId="2" applyNumberFormat="1" applyFont="1" applyFill="1" applyBorder="1" applyAlignment="1">
      <alignment horizontal="right"/>
    </xf>
    <xf numFmtId="0" fontId="7" fillId="0" borderId="70" xfId="2" applyFont="1" applyFill="1" applyBorder="1" applyAlignment="1">
      <alignment horizontal="right"/>
    </xf>
    <xf numFmtId="0" fontId="7" fillId="0" borderId="21" xfId="2" applyFont="1" applyFill="1" applyBorder="1" applyAlignment="1">
      <alignment horizontal="right"/>
    </xf>
    <xf numFmtId="0" fontId="7" fillId="0" borderId="18" xfId="2" applyFont="1" applyFill="1" applyBorder="1" applyAlignment="1">
      <alignment horizontal="right"/>
    </xf>
    <xf numFmtId="0" fontId="3" fillId="3" borderId="18" xfId="2" applyFont="1" applyFill="1" applyBorder="1" applyProtection="1">
      <protection locked="0"/>
    </xf>
    <xf numFmtId="0" fontId="3" fillId="3" borderId="19" xfId="2" applyFont="1" applyFill="1" applyBorder="1" applyProtection="1">
      <protection locked="0"/>
    </xf>
    <xf numFmtId="0" fontId="8" fillId="0" borderId="90" xfId="2" applyFont="1" applyFill="1" applyBorder="1" applyAlignment="1">
      <alignment wrapText="1"/>
    </xf>
    <xf numFmtId="0" fontId="8" fillId="0" borderId="62" xfId="2" applyFont="1" applyFill="1" applyBorder="1" applyAlignment="1">
      <alignment horizontal="right"/>
    </xf>
    <xf numFmtId="1" fontId="8" fillId="0" borderId="6" xfId="2" applyNumberFormat="1" applyFont="1" applyFill="1" applyBorder="1" applyAlignment="1">
      <alignment horizontal="right"/>
    </xf>
    <xf numFmtId="1" fontId="8" fillId="0" borderId="20" xfId="2" applyNumberFormat="1" applyFont="1" applyFill="1" applyBorder="1"/>
    <xf numFmtId="0" fontId="0" fillId="0" borderId="5" xfId="2" applyFont="1" applyFill="1" applyBorder="1" applyProtection="1">
      <protection locked="0"/>
    </xf>
    <xf numFmtId="0" fontId="0" fillId="0" borderId="20" xfId="2" applyFont="1" applyFill="1" applyBorder="1" applyProtection="1">
      <protection locked="0"/>
    </xf>
    <xf numFmtId="0" fontId="0" fillId="3" borderId="5" xfId="2" applyFont="1" applyFill="1" applyBorder="1" applyProtection="1">
      <protection locked="0"/>
    </xf>
    <xf numFmtId="0" fontId="0" fillId="3" borderId="20" xfId="2" applyFont="1" applyFill="1" applyBorder="1" applyProtection="1">
      <protection locked="0"/>
    </xf>
    <xf numFmtId="0" fontId="129" fillId="0" borderId="0" xfId="2" applyFont="1" applyFill="1" applyProtection="1"/>
    <xf numFmtId="0" fontId="129" fillId="0" borderId="0" xfId="2" applyFont="1" applyFill="1" applyBorder="1" applyProtection="1"/>
    <xf numFmtId="0" fontId="129" fillId="0" borderId="0" xfId="2" applyFont="1" applyFill="1" applyBorder="1" applyProtection="1">
      <protection locked="0"/>
    </xf>
    <xf numFmtId="0" fontId="129" fillId="0" borderId="0" xfId="2" applyFont="1" applyFill="1" applyBorder="1" applyAlignment="1" applyProtection="1">
      <alignment vertical="top" wrapText="1"/>
      <protection locked="0"/>
    </xf>
    <xf numFmtId="0" fontId="129" fillId="0" borderId="0" xfId="2" applyFont="1" applyFill="1" applyBorder="1" applyAlignment="1" applyProtection="1">
      <alignment wrapText="1"/>
      <protection locked="0"/>
    </xf>
    <xf numFmtId="0" fontId="129" fillId="0" borderId="0" xfId="2" applyFont="1" applyFill="1" applyBorder="1" applyAlignment="1" applyProtection="1">
      <protection locked="0"/>
    </xf>
    <xf numFmtId="0" fontId="15" fillId="0" borderId="0" xfId="2" applyFont="1" applyFill="1" applyBorder="1" applyAlignment="1" applyProtection="1">
      <alignment wrapText="1"/>
    </xf>
    <xf numFmtId="0" fontId="15" fillId="0" borderId="6" xfId="2" applyFont="1" applyFill="1" applyBorder="1" applyProtection="1">
      <protection locked="0"/>
    </xf>
    <xf numFmtId="0" fontId="7" fillId="0" borderId="91" xfId="2" applyFont="1" applyFill="1" applyBorder="1" applyAlignment="1" applyProtection="1">
      <alignment horizontal="left" wrapText="1"/>
    </xf>
    <xf numFmtId="0" fontId="130" fillId="0" borderId="0" xfId="2" applyFont="1" applyFill="1" applyBorder="1" applyAlignment="1" applyProtection="1">
      <alignment horizontal="right"/>
      <protection locked="0"/>
    </xf>
    <xf numFmtId="0" fontId="7" fillId="0" borderId="95" xfId="2" applyFont="1" applyFill="1" applyBorder="1" applyAlignment="1" applyProtection="1">
      <alignment horizontal="left" wrapText="1"/>
    </xf>
    <xf numFmtId="0" fontId="41" fillId="0" borderId="5" xfId="2" applyFont="1" applyFill="1" applyBorder="1" applyAlignment="1" applyProtection="1">
      <alignment horizontal="center"/>
    </xf>
    <xf numFmtId="0" fontId="41" fillId="0" borderId="68" xfId="2" applyFont="1" applyFill="1" applyBorder="1" applyAlignment="1" applyProtection="1">
      <alignment horizontal="center"/>
    </xf>
    <xf numFmtId="0" fontId="41" fillId="0" borderId="6" xfId="2" applyFont="1" applyFill="1" applyBorder="1" applyAlignment="1" applyProtection="1">
      <alignment horizontal="center"/>
    </xf>
    <xf numFmtId="0" fontId="41" fillId="0" borderId="62" xfId="2" applyFont="1" applyFill="1" applyBorder="1" applyAlignment="1" applyProtection="1">
      <alignment horizontal="center"/>
    </xf>
    <xf numFmtId="0" fontId="41" fillId="0" borderId="20" xfId="2" applyFont="1" applyFill="1" applyBorder="1" applyAlignment="1" applyProtection="1">
      <alignment horizontal="center"/>
    </xf>
    <xf numFmtId="0" fontId="8" fillId="0" borderId="95" xfId="2" applyFont="1" applyFill="1" applyBorder="1" applyAlignment="1" applyProtection="1">
      <alignment horizontal="left" wrapText="1"/>
    </xf>
    <xf numFmtId="177" fontId="28" fillId="0" borderId="0" xfId="2" applyNumberFormat="1" applyFont="1" applyFill="1" applyBorder="1" applyAlignment="1" applyProtection="1">
      <alignment horizontal="right"/>
    </xf>
    <xf numFmtId="177" fontId="28" fillId="0" borderId="28" xfId="2" applyNumberFormat="1" applyFont="1" applyFill="1" applyBorder="1" applyAlignment="1" applyProtection="1">
      <alignment horizontal="right"/>
    </xf>
    <xf numFmtId="177" fontId="28" fillId="0" borderId="0" xfId="2" applyNumberFormat="1" applyFont="1" applyFill="1" applyBorder="1" applyAlignment="1" applyProtection="1">
      <alignment horizontal="right" wrapText="1"/>
    </xf>
    <xf numFmtId="177" fontId="28" fillId="0" borderId="21" xfId="2" applyNumberFormat="1" applyFont="1" applyFill="1" applyBorder="1" applyAlignment="1" applyProtection="1">
      <alignment horizontal="right"/>
    </xf>
    <xf numFmtId="177" fontId="28" fillId="0" borderId="19" xfId="2" applyNumberFormat="1" applyFont="1" applyFill="1" applyBorder="1" applyAlignment="1" applyProtection="1">
      <alignment horizontal="right"/>
    </xf>
    <xf numFmtId="203" fontId="129" fillId="0" borderId="0" xfId="2" applyNumberFormat="1" applyFont="1" applyFill="1" applyBorder="1" applyProtection="1">
      <protection locked="0"/>
    </xf>
    <xf numFmtId="184" fontId="129" fillId="0" borderId="0" xfId="2" applyNumberFormat="1" applyFont="1" applyFill="1" applyBorder="1" applyAlignment="1" applyProtection="1">
      <alignment wrapText="1"/>
      <protection locked="0"/>
    </xf>
    <xf numFmtId="184" fontId="8" fillId="0" borderId="95" xfId="2" applyNumberFormat="1" applyFont="1" applyFill="1" applyBorder="1" applyAlignment="1" applyProtection="1">
      <alignment wrapText="1"/>
    </xf>
    <xf numFmtId="203" fontId="129" fillId="0" borderId="0" xfId="2" applyNumberFormat="1" applyFont="1" applyFill="1" applyBorder="1" applyAlignment="1" applyProtection="1">
      <protection locked="0"/>
    </xf>
    <xf numFmtId="0" fontId="8" fillId="0" borderId="95" xfId="2" applyFont="1" applyFill="1" applyBorder="1" applyAlignment="1" applyProtection="1">
      <alignment wrapText="1"/>
    </xf>
    <xf numFmtId="0" fontId="28" fillId="0" borderId="0" xfId="2" applyFont="1" applyFill="1" applyBorder="1" applyProtection="1">
      <protection locked="0"/>
    </xf>
    <xf numFmtId="0" fontId="8" fillId="0" borderId="30" xfId="2" applyFont="1" applyFill="1" applyBorder="1" applyAlignment="1" applyProtection="1">
      <alignment wrapText="1"/>
    </xf>
    <xf numFmtId="177" fontId="28" fillId="0" borderId="6" xfId="2" applyNumberFormat="1" applyFont="1" applyFill="1" applyBorder="1" applyAlignment="1" applyProtection="1">
      <alignment horizontal="right"/>
    </xf>
    <xf numFmtId="177" fontId="28" fillId="0" borderId="62" xfId="2" applyNumberFormat="1" applyFont="1" applyFill="1" applyBorder="1" applyAlignment="1" applyProtection="1">
      <alignment horizontal="right"/>
    </xf>
    <xf numFmtId="177" fontId="28" fillId="0" borderId="68" xfId="2" applyNumberFormat="1" applyFont="1" applyFill="1" applyBorder="1" applyAlignment="1" applyProtection="1">
      <alignment horizontal="right"/>
    </xf>
    <xf numFmtId="177" fontId="28" fillId="2" borderId="62" xfId="2" applyNumberFormat="1" applyFont="1" applyFill="1" applyBorder="1" applyAlignment="1" applyProtection="1">
      <alignment horizontal="right"/>
    </xf>
    <xf numFmtId="177" fontId="28" fillId="2" borderId="20" xfId="2" applyNumberFormat="1" applyFont="1" applyFill="1" applyBorder="1" applyAlignment="1" applyProtection="1">
      <alignment horizontal="right"/>
    </xf>
    <xf numFmtId="0" fontId="0" fillId="3" borderId="0" xfId="2" applyFont="1" applyFill="1" applyProtection="1">
      <protection locked="0"/>
    </xf>
    <xf numFmtId="177" fontId="8" fillId="0" borderId="0" xfId="2" applyNumberFormat="1" applyFont="1" applyFill="1" applyBorder="1" applyAlignment="1" applyProtection="1">
      <alignment horizontal="right"/>
    </xf>
    <xf numFmtId="177" fontId="8" fillId="0" borderId="68" xfId="2" applyNumberFormat="1" applyFont="1" applyFill="1" applyBorder="1" applyAlignment="1" applyProtection="1">
      <alignment horizontal="right"/>
    </xf>
    <xf numFmtId="9" fontId="129" fillId="0" borderId="0" xfId="1" applyFont="1" applyFill="1" applyBorder="1" applyAlignment="1" applyProtection="1">
      <alignment wrapText="1"/>
      <protection locked="0"/>
    </xf>
    <xf numFmtId="0" fontId="32" fillId="0" borderId="29" xfId="2" applyFont="1" applyBorder="1"/>
    <xf numFmtId="0" fontId="32" fillId="0" borderId="3" xfId="2" applyFont="1" applyBorder="1"/>
    <xf numFmtId="1" fontId="36" fillId="0" borderId="4" xfId="0" applyNumberFormat="1" applyFont="1" applyBorder="1" applyAlignment="1">
      <alignment horizontal="center"/>
    </xf>
    <xf numFmtId="1" fontId="36" fillId="0" borderId="27" xfId="0" applyNumberFormat="1" applyFont="1" applyBorder="1" applyAlignment="1">
      <alignment horizontal="center"/>
    </xf>
    <xf numFmtId="1" fontId="36" fillId="0" borderId="26" xfId="0" applyNumberFormat="1" applyFont="1" applyBorder="1" applyAlignment="1">
      <alignment horizontal="center"/>
    </xf>
    <xf numFmtId="1" fontId="131" fillId="20" borderId="0" xfId="0" applyNumberFormat="1" applyFont="1" applyFill="1" applyAlignment="1" applyProtection="1">
      <alignment horizontal="center" vertical="center"/>
    </xf>
    <xf numFmtId="0" fontId="12" fillId="0" borderId="18" xfId="2" applyFont="1" applyBorder="1" applyAlignment="1">
      <alignment horizontal="center"/>
    </xf>
    <xf numFmtId="0" fontId="12" fillId="0" borderId="19" xfId="2" applyFont="1" applyBorder="1" applyAlignment="1">
      <alignment horizontal="center"/>
    </xf>
    <xf numFmtId="1" fontId="12" fillId="0" borderId="18" xfId="2" applyNumberFormat="1" applyFont="1" applyBorder="1" applyAlignment="1">
      <alignment horizontal="center"/>
    </xf>
    <xf numFmtId="1" fontId="12" fillId="0" borderId="19" xfId="2" applyNumberFormat="1" applyFont="1" applyBorder="1" applyAlignment="1">
      <alignment horizontal="center"/>
    </xf>
    <xf numFmtId="1" fontId="36" fillId="0" borderId="18" xfId="0" applyNumberFormat="1" applyFont="1" applyBorder="1" applyAlignment="1">
      <alignment horizontal="center"/>
    </xf>
    <xf numFmtId="1" fontId="36" fillId="0" borderId="19" xfId="0" applyNumberFormat="1" applyFont="1" applyBorder="1" applyAlignment="1">
      <alignment horizontal="center"/>
    </xf>
    <xf numFmtId="1" fontId="36" fillId="0" borderId="0" xfId="0" applyNumberFormat="1" applyFont="1" applyBorder="1" applyAlignment="1">
      <alignment horizontal="center"/>
    </xf>
    <xf numFmtId="1" fontId="36" fillId="0" borderId="5" xfId="0" applyNumberFormat="1" applyFont="1" applyBorder="1" applyAlignment="1">
      <alignment horizontal="center"/>
    </xf>
    <xf numFmtId="1" fontId="36" fillId="0" borderId="20" xfId="0" applyNumberFormat="1" applyFont="1" applyBorder="1" applyAlignment="1">
      <alignment horizontal="center"/>
    </xf>
    <xf numFmtId="1" fontId="131" fillId="20" borderId="20" xfId="0" applyNumberFormat="1" applyFont="1" applyFill="1" applyBorder="1" applyAlignment="1" applyProtection="1">
      <alignment horizontal="center" vertical="center"/>
    </xf>
    <xf numFmtId="0" fontId="12" fillId="0" borderId="5" xfId="2" applyFont="1" applyBorder="1" applyAlignment="1">
      <alignment horizontal="center"/>
    </xf>
    <xf numFmtId="0" fontId="12" fillId="0" borderId="20" xfId="2" applyFont="1" applyBorder="1" applyAlignment="1">
      <alignment horizontal="center"/>
    </xf>
    <xf numFmtId="1" fontId="12" fillId="0" borderId="5" xfId="2" applyNumberFormat="1" applyFont="1" applyBorder="1" applyAlignment="1">
      <alignment horizontal="center"/>
    </xf>
    <xf numFmtId="1" fontId="12" fillId="0" borderId="20" xfId="2" applyNumberFormat="1" applyFont="1" applyBorder="1" applyAlignment="1">
      <alignment horizontal="center"/>
    </xf>
    <xf numFmtId="0" fontId="130" fillId="0" borderId="0" xfId="2" applyFont="1" applyFill="1" applyBorder="1" applyAlignment="1" applyProtection="1">
      <alignment wrapText="1"/>
      <protection locked="0"/>
    </xf>
    <xf numFmtId="0" fontId="129" fillId="0" borderId="0" xfId="2" applyFont="1" applyFill="1" applyProtection="1">
      <protection locked="0"/>
    </xf>
    <xf numFmtId="0" fontId="129" fillId="0" borderId="0" xfId="2" applyFont="1" applyFill="1" applyAlignment="1" applyProtection="1">
      <protection locked="0"/>
    </xf>
    <xf numFmtId="0" fontId="10" fillId="0" borderId="0" xfId="2" applyFont="1" applyFill="1" applyBorder="1" applyProtection="1"/>
    <xf numFmtId="0" fontId="4" fillId="0" borderId="6" xfId="2" applyFont="1" applyFill="1" applyBorder="1" applyProtection="1"/>
    <xf numFmtId="0" fontId="10" fillId="0" borderId="74" xfId="2" applyFont="1" applyFill="1" applyBorder="1" applyProtection="1"/>
    <xf numFmtId="0" fontId="10" fillId="3" borderId="74" xfId="2" applyFont="1" applyFill="1" applyBorder="1" applyProtection="1"/>
    <xf numFmtId="0" fontId="10" fillId="0" borderId="88" xfId="2" applyFont="1" applyFill="1" applyBorder="1" applyProtection="1"/>
    <xf numFmtId="0" fontId="7" fillId="0" borderId="127" xfId="2" applyFont="1" applyFill="1" applyBorder="1" applyAlignment="1" applyProtection="1">
      <alignment horizontal="right"/>
      <protection locked="0"/>
    </xf>
    <xf numFmtId="0" fontId="7" fillId="2" borderId="113" xfId="2" applyFont="1" applyFill="1" applyBorder="1" applyAlignment="1" applyProtection="1">
      <alignment horizontal="right"/>
      <protection locked="0"/>
    </xf>
    <xf numFmtId="0" fontId="8" fillId="3" borderId="58" xfId="2" applyFont="1" applyFill="1" applyBorder="1" applyProtection="1"/>
    <xf numFmtId="0" fontId="8" fillId="0" borderId="129" xfId="2" applyFont="1" applyFill="1" applyBorder="1" applyProtection="1">
      <protection locked="0"/>
    </xf>
    <xf numFmtId="0" fontId="8" fillId="2" borderId="28" xfId="2" applyFont="1" applyFill="1" applyBorder="1" applyProtection="1"/>
    <xf numFmtId="0" fontId="8" fillId="0" borderId="61" xfId="2" applyFont="1" applyFill="1" applyBorder="1" applyProtection="1"/>
    <xf numFmtId="0" fontId="8" fillId="3" borderId="61" xfId="2" applyFont="1" applyFill="1" applyBorder="1" applyProtection="1"/>
    <xf numFmtId="0" fontId="8" fillId="0" borderId="131" xfId="2" applyFont="1" applyFill="1" applyBorder="1" applyProtection="1">
      <protection locked="0"/>
    </xf>
    <xf numFmtId="0" fontId="8" fillId="2" borderId="132" xfId="2" applyFont="1" applyFill="1" applyBorder="1" applyProtection="1"/>
    <xf numFmtId="0" fontId="132" fillId="0" borderId="0" xfId="2" applyFont="1" applyFill="1" applyBorder="1" applyProtection="1">
      <protection locked="0"/>
    </xf>
    <xf numFmtId="0" fontId="22" fillId="0" borderId="0" xfId="2" applyFont="1" applyFill="1" applyBorder="1" applyProtection="1">
      <protection locked="0"/>
    </xf>
    <xf numFmtId="0" fontId="8" fillId="0" borderId="4" xfId="2" applyFont="1" applyFill="1" applyBorder="1" applyAlignment="1" applyProtection="1">
      <alignment horizontal="right"/>
    </xf>
    <xf numFmtId="0" fontId="7" fillId="0" borderId="75" xfId="2" applyFont="1" applyFill="1" applyBorder="1" applyAlignment="1" applyProtection="1">
      <alignment horizontal="right"/>
    </xf>
    <xf numFmtId="0" fontId="7" fillId="0" borderId="87" xfId="2" applyFont="1" applyFill="1" applyBorder="1" applyAlignment="1" applyProtection="1">
      <alignment horizontal="right"/>
    </xf>
    <xf numFmtId="17" fontId="7" fillId="0" borderId="86" xfId="2" quotePrefix="1" applyNumberFormat="1" applyFont="1" applyFill="1" applyBorder="1" applyAlignment="1" applyProtection="1">
      <alignment horizontal="center"/>
    </xf>
    <xf numFmtId="17" fontId="7" fillId="0" borderId="133" xfId="2" quotePrefix="1" applyNumberFormat="1" applyFont="1" applyFill="1" applyBorder="1" applyAlignment="1" applyProtection="1">
      <alignment horizontal="center"/>
    </xf>
    <xf numFmtId="17" fontId="7" fillId="0" borderId="134" xfId="2" quotePrefix="1" applyNumberFormat="1" applyFont="1" applyFill="1" applyBorder="1" applyAlignment="1" applyProtection="1">
      <alignment horizontal="center"/>
    </xf>
    <xf numFmtId="17" fontId="7" fillId="0" borderId="135" xfId="2" quotePrefix="1" applyNumberFormat="1" applyFont="1" applyFill="1" applyBorder="1" applyAlignment="1" applyProtection="1">
      <alignment horizontal="center"/>
    </xf>
    <xf numFmtId="0" fontId="8" fillId="0" borderId="18" xfId="2" applyFont="1" applyFill="1" applyBorder="1" applyAlignment="1" applyProtection="1">
      <alignment horizontal="right"/>
    </xf>
    <xf numFmtId="0" fontId="7" fillId="0" borderId="28" xfId="2" applyFont="1" applyFill="1" applyBorder="1" applyAlignment="1" applyProtection="1">
      <alignment horizontal="right"/>
    </xf>
    <xf numFmtId="0" fontId="7" fillId="0" borderId="130" xfId="2" applyFont="1" applyFill="1" applyBorder="1" applyAlignment="1" applyProtection="1">
      <alignment horizontal="right"/>
    </xf>
    <xf numFmtId="0" fontId="8" fillId="0" borderId="62" xfId="2" applyFont="1" applyFill="1" applyBorder="1" applyProtection="1"/>
    <xf numFmtId="1" fontId="8" fillId="0" borderId="62" xfId="2" applyNumberFormat="1" applyFont="1" applyFill="1" applyBorder="1" applyProtection="1"/>
    <xf numFmtId="1" fontId="8" fillId="0" borderId="6" xfId="2" applyNumberFormat="1" applyFont="1" applyFill="1" applyBorder="1" applyProtection="1"/>
    <xf numFmtId="1" fontId="8" fillId="0" borderId="68" xfId="2" applyNumberFormat="1" applyFont="1" applyFill="1" applyBorder="1" applyProtection="1"/>
    <xf numFmtId="1" fontId="8" fillId="0" borderId="118" xfId="2" applyNumberFormat="1" applyFont="1" applyFill="1" applyBorder="1" applyProtection="1"/>
    <xf numFmtId="0" fontId="6" fillId="0" borderId="0" xfId="2" applyFont="1" applyFill="1" applyBorder="1" applyAlignment="1" applyProtection="1">
      <alignment vertical="top" wrapText="1"/>
    </xf>
    <xf numFmtId="1" fontId="6" fillId="0" borderId="0" xfId="2" applyNumberFormat="1" applyFont="1" applyFill="1" applyBorder="1" applyProtection="1"/>
    <xf numFmtId="10" fontId="6" fillId="0" borderId="0" xfId="2" applyNumberFormat="1" applyFont="1" applyFill="1" applyBorder="1" applyProtection="1"/>
    <xf numFmtId="0" fontId="3" fillId="0" borderId="0" xfId="2" applyFont="1" applyFill="1" applyProtection="1">
      <protection locked="0"/>
    </xf>
    <xf numFmtId="0" fontId="133" fillId="0" borderId="0" xfId="2" applyFont="1" applyFill="1" applyBorder="1" applyProtection="1">
      <protection locked="0"/>
    </xf>
    <xf numFmtId="9" fontId="0" fillId="0" borderId="0" xfId="2" applyNumberFormat="1" applyFont="1" applyFill="1" applyBorder="1" applyProtection="1">
      <protection locked="0"/>
    </xf>
    <xf numFmtId="169" fontId="0" fillId="0" borderId="0" xfId="2" applyNumberFormat="1" applyFont="1" applyFill="1" applyBorder="1" applyProtection="1">
      <protection locked="0"/>
    </xf>
    <xf numFmtId="10" fontId="0" fillId="0" borderId="0" xfId="2" applyNumberFormat="1" applyFont="1" applyFill="1" applyBorder="1" applyProtection="1">
      <protection locked="0"/>
    </xf>
    <xf numFmtId="0" fontId="32" fillId="0" borderId="1" xfId="2" applyFont="1" applyBorder="1" applyAlignment="1">
      <alignment horizontal="center"/>
    </xf>
    <xf numFmtId="0" fontId="32" fillId="0" borderId="3" xfId="2" applyFont="1" applyBorder="1" applyAlignment="1">
      <alignment horizontal="center"/>
    </xf>
    <xf numFmtId="0" fontId="0" fillId="3" borderId="29" xfId="2" applyFont="1" applyFill="1" applyBorder="1" applyProtection="1">
      <protection locked="0"/>
    </xf>
    <xf numFmtId="0" fontId="12" fillId="0" borderId="27" xfId="2" applyFont="1" applyBorder="1" applyAlignment="1">
      <alignment horizontal="center"/>
    </xf>
    <xf numFmtId="0" fontId="12" fillId="0" borderId="0" xfId="2" applyFont="1" applyBorder="1" applyAlignment="1">
      <alignment horizontal="center"/>
    </xf>
    <xf numFmtId="0" fontId="12" fillId="0" borderId="4" xfId="2" applyFont="1" applyBorder="1" applyAlignment="1">
      <alignment horizontal="center"/>
    </xf>
    <xf numFmtId="0" fontId="12" fillId="3" borderId="4" xfId="2" applyFont="1" applyFill="1" applyBorder="1"/>
    <xf numFmtId="0" fontId="12" fillId="3" borderId="27" xfId="2" applyFont="1" applyFill="1" applyBorder="1"/>
    <xf numFmtId="0" fontId="12" fillId="3" borderId="18" xfId="2" applyFont="1" applyFill="1" applyBorder="1"/>
    <xf numFmtId="0" fontId="12" fillId="3" borderId="19" xfId="2" applyFont="1" applyFill="1" applyBorder="1"/>
    <xf numFmtId="0" fontId="12" fillId="3" borderId="5" xfId="2" applyFont="1" applyFill="1" applyBorder="1"/>
    <xf numFmtId="0" fontId="12" fillId="3" borderId="20" xfId="2" applyFont="1" applyFill="1" applyBorder="1"/>
    <xf numFmtId="0" fontId="134" fillId="0" borderId="0" xfId="2" applyFont="1" applyFill="1" applyBorder="1" applyAlignment="1" applyProtection="1">
      <alignment vertical="top"/>
    </xf>
    <xf numFmtId="0" fontId="134" fillId="0" borderId="0" xfId="2" applyFont="1" applyFill="1" applyBorder="1" applyProtection="1">
      <protection locked="0"/>
    </xf>
    <xf numFmtId="17" fontId="7" fillId="0" borderId="0" xfId="2" quotePrefix="1" applyNumberFormat="1" applyFont="1" applyFill="1" applyBorder="1" applyAlignment="1" applyProtection="1"/>
    <xf numFmtId="0" fontId="26" fillId="0" borderId="0" xfId="2" applyFont="1" applyFill="1" applyBorder="1" applyProtection="1">
      <protection locked="0"/>
    </xf>
    <xf numFmtId="17" fontId="68" fillId="0" borderId="0" xfId="2" quotePrefix="1" applyNumberFormat="1" applyFont="1" applyFill="1" applyBorder="1" applyAlignment="1" applyProtection="1"/>
    <xf numFmtId="1" fontId="26" fillId="0" borderId="0" xfId="2" applyNumberFormat="1" applyFont="1" applyFill="1" applyBorder="1" applyProtection="1">
      <protection locked="0"/>
    </xf>
    <xf numFmtId="0" fontId="68" fillId="0" borderId="0" xfId="2" applyFont="1" applyFill="1" applyBorder="1" applyAlignment="1" applyProtection="1">
      <alignment horizontal="right"/>
    </xf>
    <xf numFmtId="0" fontId="134" fillId="0" borderId="0" xfId="2" applyFont="1" applyFill="1" applyAlignment="1" applyProtection="1">
      <alignment vertical="top"/>
    </xf>
    <xf numFmtId="0" fontId="134" fillId="0" borderId="0" xfId="2" applyFont="1" applyFill="1" applyProtection="1">
      <protection locked="0"/>
    </xf>
    <xf numFmtId="0" fontId="67" fillId="0" borderId="6" xfId="2" applyFont="1" applyFill="1" applyBorder="1" applyProtection="1"/>
    <xf numFmtId="0" fontId="0" fillId="0" borderId="0" xfId="2" applyFont="1" applyAlignment="1" applyProtection="1">
      <alignment vertical="top"/>
    </xf>
    <xf numFmtId="0" fontId="0" fillId="0" borderId="0" xfId="2" applyFont="1" applyProtection="1"/>
    <xf numFmtId="0" fontId="0" fillId="0" borderId="0" xfId="2" applyFont="1" applyProtection="1">
      <protection locked="0"/>
    </xf>
    <xf numFmtId="0" fontId="5" fillId="0" borderId="0" xfId="2" applyFont="1" applyAlignment="1" applyProtection="1">
      <alignment vertical="top"/>
    </xf>
    <xf numFmtId="0" fontId="0" fillId="0" borderId="28" xfId="2" applyFont="1" applyBorder="1" applyAlignment="1" applyProtection="1">
      <alignment vertical="top"/>
    </xf>
    <xf numFmtId="0" fontId="0" fillId="0" borderId="0" xfId="2" applyFont="1" applyBorder="1" applyAlignment="1" applyProtection="1">
      <alignment vertical="top"/>
    </xf>
    <xf numFmtId="0" fontId="15" fillId="0" borderId="0" xfId="15" applyFont="1" applyBorder="1" applyAlignment="1"/>
    <xf numFmtId="0" fontId="7" fillId="2" borderId="26" xfId="15" applyFont="1" applyFill="1" applyBorder="1"/>
    <xf numFmtId="0" fontId="7" fillId="2" borderId="26" xfId="15" applyFont="1" applyFill="1" applyBorder="1" applyAlignment="1">
      <alignment horizontal="right"/>
    </xf>
    <xf numFmtId="0" fontId="8" fillId="0" borderId="0" xfId="15" applyFont="1" applyBorder="1" applyAlignment="1">
      <alignment horizontal="left"/>
    </xf>
    <xf numFmtId="164" fontId="8" fillId="0" borderId="0" xfId="15" applyNumberFormat="1" applyFont="1" applyBorder="1" applyAlignment="1">
      <alignment horizontal="right"/>
    </xf>
    <xf numFmtId="0" fontId="8" fillId="0" borderId="0" xfId="15" quotePrefix="1" applyFont="1" applyBorder="1" applyAlignment="1">
      <alignment horizontal="right"/>
    </xf>
    <xf numFmtId="0" fontId="8" fillId="0" borderId="6" xfId="15" applyFont="1" applyBorder="1" applyAlignment="1">
      <alignment horizontal="left"/>
    </xf>
    <xf numFmtId="164" fontId="8" fillId="0" borderId="6" xfId="15" applyNumberFormat="1" applyFont="1" applyBorder="1" applyAlignment="1">
      <alignment horizontal="right"/>
    </xf>
    <xf numFmtId="2" fontId="8" fillId="0" borderId="6" xfId="1" applyNumberFormat="1" applyFont="1" applyBorder="1" applyAlignment="1">
      <alignment horizontal="right"/>
    </xf>
    <xf numFmtId="2" fontId="8" fillId="0" borderId="6" xfId="1" quotePrefix="1" applyNumberFormat="1" applyFont="1" applyBorder="1" applyAlignment="1">
      <alignment horizontal="right"/>
    </xf>
    <xf numFmtId="0" fontId="0" fillId="0" borderId="0" xfId="2" applyFont="1" applyBorder="1" applyProtection="1">
      <protection locked="0"/>
    </xf>
    <xf numFmtId="0" fontId="8" fillId="0" borderId="0" xfId="15" applyFont="1" applyBorder="1" applyAlignment="1">
      <alignment horizontal="right"/>
    </xf>
    <xf numFmtId="0" fontId="8" fillId="0" borderId="0" xfId="15" quotePrefix="1" applyFont="1" applyBorder="1" applyAlignment="1"/>
    <xf numFmtId="0" fontId="8" fillId="0" borderId="26" xfId="15" applyFont="1" applyBorder="1" applyAlignment="1">
      <alignment horizontal="left"/>
    </xf>
    <xf numFmtId="0" fontId="7" fillId="0" borderId="87" xfId="15" applyFont="1" applyBorder="1" applyAlignment="1">
      <alignment horizontal="center"/>
    </xf>
    <xf numFmtId="0" fontId="8" fillId="0" borderId="28" xfId="15" applyFont="1" applyBorder="1" applyAlignment="1">
      <alignment horizontal="left"/>
    </xf>
    <xf numFmtId="0" fontId="8" fillId="0" borderId="17" xfId="15" applyFont="1" applyBorder="1" applyAlignment="1">
      <alignment horizontal="right" wrapText="1"/>
    </xf>
    <xf numFmtId="0" fontId="8" fillId="0" borderId="78" xfId="15" applyFont="1" applyBorder="1" applyAlignment="1">
      <alignment horizontal="right"/>
    </xf>
    <xf numFmtId="0" fontId="8" fillId="0" borderId="16" xfId="15" applyFont="1" applyBorder="1" applyAlignment="1">
      <alignment horizontal="right" wrapText="1"/>
    </xf>
    <xf numFmtId="0" fontId="8" fillId="0" borderId="78" xfId="15" applyFont="1" applyBorder="1" applyAlignment="1">
      <alignment horizontal="right" wrapText="1"/>
    </xf>
    <xf numFmtId="0" fontId="8" fillId="0" borderId="78" xfId="15" applyFont="1" applyFill="1" applyBorder="1" applyAlignment="1">
      <alignment horizontal="right" wrapText="1"/>
    </xf>
    <xf numFmtId="0" fontId="8" fillId="0" borderId="78" xfId="15" applyFont="1" applyFill="1" applyBorder="1" applyAlignment="1">
      <alignment horizontal="right"/>
    </xf>
    <xf numFmtId="0" fontId="44" fillId="0" borderId="78" xfId="15" applyFont="1" applyFill="1" applyBorder="1" applyAlignment="1">
      <alignment horizontal="right" wrapText="1"/>
    </xf>
    <xf numFmtId="0" fontId="44" fillId="0" borderId="78" xfId="15" applyFont="1" applyFill="1" applyBorder="1" applyAlignment="1">
      <alignment horizontal="right"/>
    </xf>
    <xf numFmtId="0" fontId="44" fillId="0" borderId="79" xfId="15" applyFont="1" applyFill="1" applyBorder="1" applyAlignment="1">
      <alignment horizontal="right"/>
    </xf>
    <xf numFmtId="164" fontId="8" fillId="0" borderId="28" xfId="15" quotePrefix="1" applyNumberFormat="1" applyFont="1" applyBorder="1" applyAlignment="1">
      <alignment horizontal="right"/>
    </xf>
    <xf numFmtId="164" fontId="8" fillId="0" borderId="58" xfId="15" quotePrefix="1" applyNumberFormat="1" applyFont="1" applyBorder="1" applyAlignment="1">
      <alignment horizontal="right"/>
    </xf>
    <xf numFmtId="164" fontId="8" fillId="0" borderId="0" xfId="15" quotePrefix="1" applyNumberFormat="1" applyFont="1" applyBorder="1" applyAlignment="1">
      <alignment horizontal="right"/>
    </xf>
    <xf numFmtId="164" fontId="8" fillId="0" borderId="24" xfId="15" quotePrefix="1" applyNumberFormat="1" applyFont="1" applyFill="1" applyBorder="1" applyAlignment="1">
      <alignment horizontal="right"/>
    </xf>
    <xf numFmtId="164" fontId="8" fillId="0" borderId="84" xfId="15" quotePrefix="1" applyNumberFormat="1" applyFont="1" applyFill="1" applyBorder="1" applyAlignment="1">
      <alignment horizontal="right"/>
    </xf>
    <xf numFmtId="164" fontId="8" fillId="0" borderId="23" xfId="15" quotePrefix="1" applyNumberFormat="1" applyFont="1" applyFill="1" applyBorder="1" applyAlignment="1">
      <alignment horizontal="right"/>
    </xf>
    <xf numFmtId="164" fontId="8" fillId="0" borderId="84" xfId="15" quotePrefix="1" applyNumberFormat="1" applyFont="1" applyBorder="1" applyAlignment="1">
      <alignment horizontal="right"/>
    </xf>
    <xf numFmtId="164" fontId="44" fillId="3" borderId="84" xfId="15" quotePrefix="1" applyNumberFormat="1" applyFont="1" applyFill="1" applyBorder="1" applyAlignment="1">
      <alignment horizontal="right"/>
    </xf>
    <xf numFmtId="164" fontId="44" fillId="3" borderId="85" xfId="15" quotePrefix="1" applyNumberFormat="1" applyFont="1" applyFill="1" applyBorder="1" applyAlignment="1">
      <alignment horizontal="right"/>
    </xf>
    <xf numFmtId="0" fontId="7" fillId="0" borderId="6" xfId="15" applyFont="1" applyBorder="1" applyAlignment="1">
      <alignment horizontal="left"/>
    </xf>
    <xf numFmtId="164" fontId="7" fillId="0" borderId="68" xfId="15" quotePrefix="1" applyNumberFormat="1" applyFont="1" applyBorder="1" applyAlignment="1">
      <alignment horizontal="right"/>
    </xf>
    <xf numFmtId="164" fontId="7" fillId="0" borderId="61" xfId="15" quotePrefix="1" applyNumberFormat="1" applyFont="1" applyBorder="1" applyAlignment="1">
      <alignment horizontal="right"/>
    </xf>
    <xf numFmtId="164" fontId="7" fillId="0" borderId="61" xfId="15" applyNumberFormat="1" applyFont="1" applyBorder="1" applyAlignment="1">
      <alignment horizontal="right"/>
    </xf>
    <xf numFmtId="164" fontId="7" fillId="0" borderId="6" xfId="15" applyNumberFormat="1" applyFont="1" applyBorder="1" applyAlignment="1">
      <alignment horizontal="right"/>
    </xf>
    <xf numFmtId="164" fontId="63" fillId="3" borderId="61" xfId="15" quotePrefix="1" applyNumberFormat="1" applyFont="1" applyFill="1" applyBorder="1" applyAlignment="1">
      <alignment horizontal="right"/>
    </xf>
    <xf numFmtId="164" fontId="63" fillId="3" borderId="68" xfId="15" quotePrefix="1" applyNumberFormat="1" applyFont="1" applyFill="1" applyBorder="1" applyAlignment="1">
      <alignment horizontal="right"/>
    </xf>
    <xf numFmtId="164" fontId="63" fillId="3" borderId="20" xfId="15" quotePrefix="1" applyNumberFormat="1" applyFont="1" applyFill="1" applyBorder="1" applyAlignment="1">
      <alignment horizontal="right"/>
    </xf>
    <xf numFmtId="0" fontId="4" fillId="0" borderId="0" xfId="15" applyBorder="1" applyAlignment="1">
      <alignment horizontal="left"/>
    </xf>
    <xf numFmtId="0" fontId="4" fillId="0" borderId="0" xfId="15" applyFont="1" applyBorder="1" applyAlignment="1">
      <alignment horizontal="right"/>
    </xf>
    <xf numFmtId="0" fontId="4" fillId="0" borderId="0" xfId="15" quotePrefix="1" applyFont="1" applyBorder="1" applyAlignment="1">
      <alignment horizontal="right"/>
    </xf>
    <xf numFmtId="0" fontId="15" fillId="0" borderId="6" xfId="15" applyFont="1" applyBorder="1" applyAlignment="1">
      <alignment vertical="top" wrapText="1"/>
    </xf>
    <xf numFmtId="0" fontId="69" fillId="3" borderId="0" xfId="15" applyFont="1" applyFill="1" applyBorder="1" applyAlignment="1">
      <alignment vertical="top"/>
    </xf>
    <xf numFmtId="0" fontId="4" fillId="3" borderId="0" xfId="15" applyFont="1" applyFill="1" applyBorder="1" applyAlignment="1">
      <alignment horizontal="right" wrapText="1"/>
    </xf>
    <xf numFmtId="0" fontId="4" fillId="3" borderId="0" xfId="15" applyFont="1" applyFill="1" applyBorder="1" applyAlignment="1">
      <alignment horizontal="left"/>
    </xf>
    <xf numFmtId="0" fontId="4" fillId="3" borderId="0" xfId="15" quotePrefix="1" applyFont="1" applyFill="1" applyBorder="1" applyAlignment="1">
      <alignment horizontal="right"/>
    </xf>
    <xf numFmtId="0" fontId="4" fillId="3" borderId="0" xfId="15" applyFont="1" applyFill="1" applyBorder="1" applyAlignment="1">
      <alignment horizontal="right"/>
    </xf>
    <xf numFmtId="0" fontId="7" fillId="0" borderId="26" xfId="15" applyFont="1" applyBorder="1" applyAlignment="1">
      <alignment horizontal="right"/>
    </xf>
    <xf numFmtId="0" fontId="63" fillId="0" borderId="26" xfId="15" applyFont="1" applyBorder="1" applyAlignment="1">
      <alignment horizontal="right"/>
    </xf>
    <xf numFmtId="164" fontId="8" fillId="2" borderId="0" xfId="15" applyNumberFormat="1" applyFont="1" applyFill="1" applyBorder="1" applyAlignment="1">
      <alignment horizontal="right"/>
    </xf>
    <xf numFmtId="0" fontId="8" fillId="0" borderId="23" xfId="15" applyFont="1" applyBorder="1" applyAlignment="1">
      <alignment horizontal="left"/>
    </xf>
    <xf numFmtId="164" fontId="8" fillId="2" borderId="23" xfId="15" applyNumberFormat="1" applyFont="1" applyFill="1" applyBorder="1" applyAlignment="1">
      <alignment horizontal="right"/>
    </xf>
    <xf numFmtId="164" fontId="7" fillId="2" borderId="6" xfId="15" applyNumberFormat="1" applyFont="1" applyFill="1" applyBorder="1" applyAlignment="1">
      <alignment horizontal="right"/>
    </xf>
    <xf numFmtId="0" fontId="4" fillId="2" borderId="0" xfId="2" applyFont="1" applyFill="1" applyProtection="1">
      <protection locked="0"/>
    </xf>
    <xf numFmtId="0" fontId="2" fillId="3" borderId="0" xfId="2" applyFont="1" applyFill="1" applyProtection="1">
      <protection locked="0"/>
    </xf>
    <xf numFmtId="0" fontId="0" fillId="3" borderId="0" xfId="2" applyFont="1" applyFill="1" applyProtection="1"/>
    <xf numFmtId="0" fontId="4" fillId="3" borderId="0" xfId="2" applyFont="1" applyFill="1" applyProtection="1">
      <protection locked="0"/>
    </xf>
    <xf numFmtId="0" fontId="63" fillId="0" borderId="26" xfId="15" applyFont="1" applyFill="1" applyBorder="1" applyAlignment="1">
      <alignment horizontal="right"/>
    </xf>
    <xf numFmtId="164" fontId="8" fillId="0" borderId="0" xfId="15" applyNumberFormat="1" applyFont="1" applyFill="1" applyBorder="1" applyAlignment="1">
      <alignment horizontal="right"/>
    </xf>
    <xf numFmtId="164" fontId="44" fillId="3" borderId="0" xfId="15" applyNumberFormat="1" applyFont="1" applyFill="1" applyBorder="1" applyAlignment="1">
      <alignment horizontal="right"/>
    </xf>
    <xf numFmtId="184" fontId="15" fillId="0" borderId="0" xfId="2" applyNumberFormat="1" applyFont="1" applyAlignment="1" applyProtection="1">
      <alignment vertical="top"/>
    </xf>
    <xf numFmtId="184" fontId="7" fillId="2" borderId="0" xfId="2" applyNumberFormat="1" applyFont="1" applyFill="1" applyBorder="1" applyProtection="1"/>
    <xf numFmtId="184" fontId="7" fillId="0" borderId="0" xfId="2" applyNumberFormat="1" applyFont="1" applyFill="1" applyBorder="1" applyProtection="1"/>
    <xf numFmtId="184" fontId="15" fillId="0" borderId="0" xfId="2" applyNumberFormat="1" applyFont="1" applyBorder="1" applyProtection="1">
      <protection locked="0"/>
    </xf>
    <xf numFmtId="184" fontId="15" fillId="0" borderId="0" xfId="2" applyNumberFormat="1" applyFont="1" applyProtection="1">
      <protection locked="0"/>
    </xf>
    <xf numFmtId="0" fontId="0" fillId="0" borderId="0" xfId="2" applyFont="1" applyAlignment="1" applyProtection="1">
      <alignment vertical="top"/>
      <protection locked="0"/>
    </xf>
    <xf numFmtId="0" fontId="8" fillId="0" borderId="23" xfId="2" applyFont="1" applyFill="1" applyBorder="1" applyProtection="1"/>
    <xf numFmtId="0" fontId="44" fillId="3" borderId="23" xfId="2" applyFont="1" applyFill="1" applyBorder="1" applyProtection="1"/>
    <xf numFmtId="204" fontId="0" fillId="0" borderId="0" xfId="2" applyNumberFormat="1" applyFont="1" applyProtection="1">
      <protection locked="0"/>
    </xf>
    <xf numFmtId="164" fontId="63" fillId="3" borderId="6" xfId="15" applyNumberFormat="1" applyFont="1" applyFill="1" applyBorder="1" applyAlignment="1">
      <alignment horizontal="right"/>
    </xf>
    <xf numFmtId="0" fontId="136" fillId="0" borderId="0" xfId="2" applyFont="1" applyAlignment="1">
      <alignment horizontal="right"/>
    </xf>
    <xf numFmtId="0" fontId="0" fillId="0" borderId="0" xfId="2" applyFont="1" applyAlignment="1">
      <alignment horizontal="right"/>
    </xf>
    <xf numFmtId="0" fontId="15" fillId="0" borderId="0" xfId="2" applyFont="1"/>
    <xf numFmtId="17" fontId="15" fillId="0" borderId="0" xfId="2" quotePrefix="1" applyNumberFormat="1" applyFont="1"/>
    <xf numFmtId="0" fontId="15" fillId="0" borderId="0" xfId="2" quotePrefix="1" applyFont="1"/>
    <xf numFmtId="0" fontId="15" fillId="0" borderId="0" xfId="2" quotePrefix="1" applyFont="1" applyAlignment="1">
      <alignment horizontal="right"/>
    </xf>
    <xf numFmtId="164" fontId="0" fillId="0" borderId="0" xfId="2" applyNumberFormat="1" applyFont="1" applyAlignment="1">
      <alignment vertical="top"/>
    </xf>
    <xf numFmtId="0" fontId="0" fillId="0" borderId="0" xfId="2" quotePrefix="1" applyFont="1"/>
    <xf numFmtId="17" fontId="0" fillId="0" borderId="0" xfId="2" quotePrefix="1" applyNumberFormat="1" applyFont="1"/>
    <xf numFmtId="0" fontId="15" fillId="0" borderId="0" xfId="2" applyFont="1" applyFill="1" applyBorder="1" applyProtection="1">
      <protection locked="0"/>
    </xf>
    <xf numFmtId="49" fontId="7" fillId="0" borderId="0" xfId="2" applyNumberFormat="1" applyFont="1" applyFill="1" applyBorder="1" applyAlignment="1" applyProtection="1">
      <alignment vertical="top"/>
    </xf>
    <xf numFmtId="0" fontId="5" fillId="0" borderId="0" xfId="2" applyFont="1" applyAlignment="1" applyProtection="1">
      <alignment vertical="top" wrapText="1"/>
    </xf>
    <xf numFmtId="0" fontId="6" fillId="0" borderId="0" xfId="2" applyFont="1" applyFill="1" applyBorder="1" applyAlignment="1" applyProtection="1">
      <alignment horizontal="left" vertical="top" wrapText="1"/>
      <protection locked="0"/>
    </xf>
    <xf numFmtId="0" fontId="4" fillId="0" borderId="0" xfId="2" applyFont="1" applyFill="1" applyBorder="1" applyAlignment="1" applyProtection="1">
      <alignment vertical="top" wrapText="1"/>
      <protection locked="0"/>
    </xf>
    <xf numFmtId="0" fontId="32" fillId="0" borderId="0" xfId="2" applyFont="1" applyFill="1" applyBorder="1" applyAlignment="1" applyProtection="1"/>
    <xf numFmtId="0" fontId="12" fillId="0" borderId="0" xfId="2" applyFont="1" applyFill="1" applyBorder="1" applyProtection="1"/>
    <xf numFmtId="0" fontId="36" fillId="0" borderId="0" xfId="2" applyFont="1" applyProtection="1">
      <protection locked="0"/>
    </xf>
    <xf numFmtId="0" fontId="36" fillId="0" borderId="0" xfId="2" applyFont="1" applyAlignment="1" applyProtection="1">
      <alignment wrapText="1"/>
      <protection locked="0"/>
    </xf>
    <xf numFmtId="0" fontId="12" fillId="0" borderId="26" xfId="2" applyFont="1" applyBorder="1"/>
    <xf numFmtId="0" fontId="32" fillId="0" borderId="26" xfId="2" applyFont="1" applyBorder="1" applyAlignment="1">
      <alignment horizontal="right"/>
    </xf>
    <xf numFmtId="0" fontId="32" fillId="0" borderId="26" xfId="2" quotePrefix="1" applyFont="1" applyBorder="1" applyAlignment="1">
      <alignment horizontal="right"/>
    </xf>
    <xf numFmtId="17" fontId="32" fillId="0" borderId="26" xfId="2" quotePrefix="1" applyNumberFormat="1" applyFont="1" applyBorder="1" applyAlignment="1">
      <alignment horizontal="right"/>
    </xf>
    <xf numFmtId="0" fontId="32" fillId="0" borderId="26" xfId="2" quotePrefix="1" applyFont="1" applyFill="1" applyBorder="1" applyAlignment="1">
      <alignment horizontal="right"/>
    </xf>
    <xf numFmtId="166" fontId="12" fillId="0" borderId="0" xfId="2" applyNumberFormat="1" applyFont="1" applyBorder="1"/>
    <xf numFmtId="166" fontId="12" fillId="0" borderId="0" xfId="2" applyNumberFormat="1" applyFont="1" applyFill="1" applyBorder="1"/>
    <xf numFmtId="0" fontId="12" fillId="0" borderId="0" xfId="2" applyNumberFormat="1" applyFont="1" applyBorder="1"/>
    <xf numFmtId="0" fontId="12" fillId="0" borderId="0" xfId="2" applyNumberFormat="1" applyFont="1" applyFill="1" applyBorder="1"/>
    <xf numFmtId="0" fontId="137" fillId="0" borderId="0" xfId="2" applyFont="1" applyFill="1" applyBorder="1"/>
    <xf numFmtId="0" fontId="32" fillId="0" borderId="42" xfId="2" applyFont="1" applyBorder="1"/>
    <xf numFmtId="166" fontId="32" fillId="2" borderId="42" xfId="2" applyNumberFormat="1" applyFont="1" applyFill="1" applyBorder="1"/>
    <xf numFmtId="166" fontId="32" fillId="0" borderId="42" xfId="2" applyNumberFormat="1" applyFont="1" applyFill="1" applyBorder="1"/>
    <xf numFmtId="184" fontId="7" fillId="0" borderId="0" xfId="2" applyNumberFormat="1" applyFont="1" applyBorder="1" applyProtection="1"/>
    <xf numFmtId="184" fontId="69" fillId="0" borderId="0" xfId="2" applyNumberFormat="1" applyFont="1" applyProtection="1">
      <protection locked="0"/>
    </xf>
    <xf numFmtId="49" fontId="8" fillId="0" borderId="0" xfId="2" applyNumberFormat="1" applyFont="1" applyFill="1" applyBorder="1" applyProtection="1"/>
    <xf numFmtId="204" fontId="2" fillId="0" borderId="0" xfId="2" applyNumberFormat="1" applyFont="1" applyProtection="1">
      <protection locked="0"/>
    </xf>
    <xf numFmtId="0" fontId="2" fillId="0" borderId="0" xfId="2" applyFont="1" applyProtection="1">
      <protection locked="0"/>
    </xf>
    <xf numFmtId="49" fontId="8" fillId="0" borderId="0" xfId="2" applyNumberFormat="1" applyFont="1" applyFill="1" applyBorder="1" applyAlignment="1" applyProtection="1">
      <alignment vertical="top"/>
    </xf>
    <xf numFmtId="0" fontId="1" fillId="0" borderId="0" xfId="2" applyFont="1" applyAlignment="1" applyProtection="1">
      <alignment vertical="top"/>
    </xf>
    <xf numFmtId="0" fontId="8" fillId="0" borderId="26" xfId="2" applyFont="1" applyBorder="1"/>
    <xf numFmtId="0" fontId="7" fillId="0" borderId="26" xfId="2" applyFont="1" applyBorder="1" applyAlignment="1">
      <alignment horizontal="right"/>
    </xf>
    <xf numFmtId="0" fontId="7" fillId="0" borderId="26" xfId="2" quotePrefix="1" applyFont="1" applyBorder="1" applyAlignment="1">
      <alignment horizontal="right"/>
    </xf>
    <xf numFmtId="17" fontId="7" fillId="0" borderId="26" xfId="2" quotePrefix="1" applyNumberFormat="1" applyFont="1" applyBorder="1" applyAlignment="1">
      <alignment horizontal="right"/>
    </xf>
    <xf numFmtId="0" fontId="7" fillId="21" borderId="26" xfId="2" quotePrefix="1" applyFont="1" applyFill="1" applyBorder="1" applyAlignment="1">
      <alignment horizontal="right"/>
    </xf>
    <xf numFmtId="0" fontId="63" fillId="0" borderId="26" xfId="2" quotePrefix="1" applyFont="1" applyBorder="1" applyAlignment="1">
      <alignment horizontal="right"/>
    </xf>
    <xf numFmtId="166" fontId="8" fillId="0" borderId="0" xfId="2" applyNumberFormat="1" applyFont="1" applyBorder="1"/>
    <xf numFmtId="166" fontId="8" fillId="21" borderId="0" xfId="2" applyNumberFormat="1" applyFont="1" applyFill="1" applyBorder="1"/>
    <xf numFmtId="0" fontId="8" fillId="21" borderId="0" xfId="2" applyFont="1" applyFill="1" applyProtection="1">
      <protection locked="0"/>
    </xf>
    <xf numFmtId="164" fontId="8" fillId="21" borderId="0" xfId="2" applyNumberFormat="1" applyFont="1" applyFill="1" applyProtection="1">
      <protection locked="0"/>
    </xf>
    <xf numFmtId="166" fontId="2" fillId="0" borderId="0" xfId="2" applyNumberFormat="1" applyFont="1" applyProtection="1">
      <protection locked="0"/>
    </xf>
    <xf numFmtId="0" fontId="8" fillId="21" borderId="0" xfId="2" applyFont="1" applyFill="1" applyBorder="1"/>
    <xf numFmtId="0" fontId="8" fillId="0" borderId="0" xfId="2" applyNumberFormat="1" applyFont="1" applyBorder="1"/>
    <xf numFmtId="0" fontId="8" fillId="21" borderId="23" xfId="2" applyFont="1" applyFill="1" applyBorder="1" applyProtection="1">
      <protection locked="0"/>
    </xf>
    <xf numFmtId="0" fontId="8" fillId="21" borderId="138" xfId="2" applyFont="1" applyFill="1" applyBorder="1" applyProtection="1">
      <protection locked="0"/>
    </xf>
    <xf numFmtId="166" fontId="8" fillId="0" borderId="138" xfId="2" applyNumberFormat="1" applyFont="1" applyBorder="1"/>
    <xf numFmtId="166" fontId="2" fillId="0" borderId="138" xfId="2" applyNumberFormat="1" applyFont="1" applyBorder="1" applyProtection="1">
      <protection locked="0"/>
    </xf>
    <xf numFmtId="0" fontId="7" fillId="0" borderId="42" xfId="2" applyFont="1" applyBorder="1"/>
    <xf numFmtId="166" fontId="7" fillId="2" borderId="42" xfId="2" applyNumberFormat="1" applyFont="1" applyFill="1" applyBorder="1"/>
    <xf numFmtId="166" fontId="7" fillId="21" borderId="42" xfId="2" applyNumberFormat="1" applyFont="1" applyFill="1" applyBorder="1"/>
    <xf numFmtId="166" fontId="7" fillId="21" borderId="6" xfId="2" applyNumberFormat="1" applyFont="1" applyFill="1" applyBorder="1" applyProtection="1">
      <protection locked="0"/>
    </xf>
    <xf numFmtId="166" fontId="7" fillId="0" borderId="6" xfId="2" applyNumberFormat="1" applyFont="1" applyBorder="1"/>
    <xf numFmtId="166" fontId="63" fillId="21" borderId="6" xfId="2" applyNumberFormat="1" applyFont="1" applyFill="1" applyBorder="1" applyProtection="1">
      <protection locked="0"/>
    </xf>
    <xf numFmtId="0" fontId="14" fillId="0" borderId="0" xfId="2" applyFont="1" applyBorder="1" applyProtection="1"/>
    <xf numFmtId="166" fontId="14" fillId="0" borderId="0" xfId="2" applyNumberFormat="1" applyFont="1" applyBorder="1" applyProtection="1"/>
    <xf numFmtId="166" fontId="14" fillId="0" borderId="0" xfId="2" applyNumberFormat="1" applyFont="1" applyBorder="1" applyAlignment="1" applyProtection="1">
      <alignment horizontal="left" indent="1"/>
    </xf>
    <xf numFmtId="0" fontId="1" fillId="0" borderId="26" xfId="2" applyFont="1" applyFill="1" applyBorder="1" applyProtection="1">
      <protection locked="0"/>
    </xf>
    <xf numFmtId="0" fontId="14" fillId="0" borderId="26" xfId="2" applyFont="1" applyBorder="1" applyAlignment="1" applyProtection="1">
      <alignment horizontal="right"/>
      <protection locked="0"/>
    </xf>
    <xf numFmtId="0" fontId="14" fillId="0" borderId="26" xfId="2" quotePrefix="1" applyFont="1" applyBorder="1" applyAlignment="1" applyProtection="1">
      <alignment horizontal="right"/>
      <protection locked="0"/>
    </xf>
    <xf numFmtId="17" fontId="14" fillId="0" borderId="26" xfId="2" quotePrefix="1" applyNumberFormat="1" applyFont="1" applyBorder="1" applyAlignment="1" applyProtection="1">
      <alignment horizontal="right"/>
      <protection locked="0"/>
    </xf>
    <xf numFmtId="0" fontId="7" fillId="12" borderId="26" xfId="2" quotePrefix="1" applyFont="1" applyFill="1" applyBorder="1" applyAlignment="1">
      <alignment horizontal="right"/>
    </xf>
    <xf numFmtId="0" fontId="7" fillId="22" borderId="26" xfId="2" quotePrefix="1" applyFont="1" applyFill="1" applyBorder="1" applyAlignment="1">
      <alignment horizontal="right"/>
    </xf>
    <xf numFmtId="0" fontId="63" fillId="22" borderId="26" xfId="2" quotePrefix="1" applyFont="1" applyFill="1" applyBorder="1" applyAlignment="1">
      <alignment horizontal="right"/>
    </xf>
    <xf numFmtId="0" fontId="11" fillId="0" borderId="0" xfId="2" applyFont="1" applyBorder="1" applyProtection="1">
      <protection locked="0"/>
    </xf>
    <xf numFmtId="2" fontId="1" fillId="0" borderId="0" xfId="17" applyNumberFormat="1" applyFont="1" applyFill="1" applyProtection="1">
      <protection locked="0"/>
    </xf>
    <xf numFmtId="2" fontId="26" fillId="0" borderId="0" xfId="17" applyNumberFormat="1" applyFont="1" applyFill="1" applyProtection="1">
      <protection locked="0"/>
    </xf>
    <xf numFmtId="2" fontId="2" fillId="0" borderId="0" xfId="17" applyNumberFormat="1" applyFont="1" applyFill="1" applyProtection="1">
      <protection locked="0"/>
    </xf>
    <xf numFmtId="0" fontId="11" fillId="0" borderId="23" xfId="2" applyFont="1" applyBorder="1" applyProtection="1">
      <protection locked="0"/>
    </xf>
    <xf numFmtId="2" fontId="1" fillId="0" borderId="23" xfId="17" applyNumberFormat="1" applyFont="1" applyFill="1" applyBorder="1" applyProtection="1">
      <protection locked="0"/>
    </xf>
    <xf numFmtId="2" fontId="1" fillId="0" borderId="138" xfId="17" applyNumberFormat="1" applyFont="1" applyFill="1" applyBorder="1" applyProtection="1">
      <protection locked="0"/>
    </xf>
    <xf numFmtId="2" fontId="26" fillId="0" borderId="138" xfId="17" applyNumberFormat="1" applyFont="1" applyFill="1" applyBorder="1" applyProtection="1">
      <protection locked="0"/>
    </xf>
    <xf numFmtId="2" fontId="2" fillId="0" borderId="138" xfId="17" applyNumberFormat="1" applyFont="1" applyFill="1" applyBorder="1" applyProtection="1">
      <protection locked="0"/>
    </xf>
    <xf numFmtId="0" fontId="14" fillId="0" borderId="6" xfId="2" applyFont="1" applyBorder="1" applyProtection="1">
      <protection locked="0"/>
    </xf>
    <xf numFmtId="2" fontId="3" fillId="0" borderId="6" xfId="17" applyNumberFormat="1" applyFont="1" applyFill="1" applyBorder="1" applyProtection="1">
      <protection locked="0"/>
    </xf>
    <xf numFmtId="2" fontId="133" fillId="0" borderId="6" xfId="17" applyNumberFormat="1" applyFont="1" applyFill="1" applyBorder="1" applyProtection="1">
      <protection locked="0"/>
    </xf>
    <xf numFmtId="2" fontId="138" fillId="0" borderId="6" xfId="17" applyNumberFormat="1" applyFont="1" applyFill="1" applyBorder="1" applyProtection="1">
      <protection locked="0"/>
    </xf>
    <xf numFmtId="2" fontId="2" fillId="0" borderId="6" xfId="17" applyNumberFormat="1" applyFont="1" applyFill="1" applyBorder="1" applyProtection="1">
      <protection locked="0"/>
    </xf>
    <xf numFmtId="9" fontId="1" fillId="0" borderId="0" xfId="17" applyFont="1" applyFill="1" applyProtection="1">
      <protection locked="0"/>
    </xf>
    <xf numFmtId="9" fontId="1" fillId="0" borderId="0" xfId="17" applyFont="1" applyFill="1" applyProtection="1"/>
    <xf numFmtId="177" fontId="8" fillId="0" borderId="0" xfId="2" applyNumberFormat="1" applyFont="1" applyFill="1" applyProtection="1">
      <protection locked="0"/>
    </xf>
    <xf numFmtId="177" fontId="8" fillId="0" borderId="0" xfId="2" applyNumberFormat="1" applyFont="1" applyBorder="1" applyProtection="1">
      <protection locked="0"/>
    </xf>
    <xf numFmtId="166" fontId="7" fillId="0" borderId="0" xfId="2" applyNumberFormat="1" applyFont="1" applyBorder="1"/>
    <xf numFmtId="164" fontId="0" fillId="0" borderId="0" xfId="2" applyNumberFormat="1" applyFont="1"/>
    <xf numFmtId="204" fontId="7" fillId="0" borderId="0" xfId="2" applyNumberFormat="1" applyFont="1" applyFill="1" applyBorder="1" applyProtection="1">
      <protection locked="0"/>
    </xf>
    <xf numFmtId="204" fontId="8" fillId="0" borderId="0" xfId="2" applyNumberFormat="1" applyFont="1" applyFill="1" applyBorder="1" applyProtection="1">
      <protection locked="0"/>
    </xf>
    <xf numFmtId="0" fontId="8" fillId="11" borderId="0" xfId="2" applyFont="1" applyFill="1" applyBorder="1"/>
    <xf numFmtId="0" fontId="8" fillId="11" borderId="6" xfId="2" applyFont="1" applyFill="1" applyBorder="1"/>
    <xf numFmtId="0" fontId="15" fillId="0" borderId="0" xfId="2" applyFont="1" applyProtection="1">
      <protection locked="0"/>
    </xf>
    <xf numFmtId="0" fontId="7" fillId="0" borderId="0" xfId="2" applyFont="1"/>
    <xf numFmtId="0" fontId="8" fillId="0" borderId="2" xfId="2" applyFont="1" applyBorder="1"/>
    <xf numFmtId="0" fontId="7" fillId="0" borderId="2" xfId="2" applyFont="1" applyBorder="1" applyAlignment="1">
      <alignment horizontal="right"/>
    </xf>
    <xf numFmtId="0" fontId="7" fillId="0" borderId="2" xfId="2" quotePrefix="1" applyFont="1" applyBorder="1" applyAlignment="1">
      <alignment horizontal="right"/>
    </xf>
    <xf numFmtId="17" fontId="7" fillId="0" borderId="2" xfId="2" quotePrefix="1" applyNumberFormat="1" applyFont="1" applyBorder="1" applyAlignment="1">
      <alignment horizontal="right"/>
    </xf>
    <xf numFmtId="166" fontId="8" fillId="0" borderId="0" xfId="40" applyNumberFormat="1" applyFont="1" applyBorder="1" applyAlignment="1">
      <alignment horizontal="right"/>
    </xf>
    <xf numFmtId="0" fontId="44" fillId="0" borderId="0" xfId="2" applyFont="1" applyFill="1" applyBorder="1"/>
    <xf numFmtId="0" fontId="15" fillId="0" borderId="0" xfId="2" applyFont="1" applyAlignment="1" applyProtection="1">
      <alignment vertical="top"/>
    </xf>
    <xf numFmtId="166" fontId="8" fillId="0" borderId="138" xfId="40" applyNumberFormat="1" applyFont="1" applyBorder="1" applyAlignment="1">
      <alignment horizontal="right"/>
    </xf>
    <xf numFmtId="166" fontId="7" fillId="0" borderId="42" xfId="40" applyNumberFormat="1" applyFont="1" applyBorder="1" applyAlignment="1">
      <alignment horizontal="right"/>
    </xf>
    <xf numFmtId="166" fontId="7" fillId="0" borderId="6" xfId="40" applyNumberFormat="1" applyFont="1" applyBorder="1" applyAlignment="1">
      <alignment horizontal="right"/>
    </xf>
    <xf numFmtId="0" fontId="139" fillId="0" borderId="0" xfId="2" applyFont="1" applyFill="1" applyProtection="1">
      <protection locked="0"/>
    </xf>
    <xf numFmtId="0" fontId="8" fillId="0" borderId="0" xfId="2" applyFont="1" applyBorder="1" applyAlignment="1" applyProtection="1">
      <alignment vertical="top"/>
    </xf>
    <xf numFmtId="17" fontId="14" fillId="0" borderId="26" xfId="2" quotePrefix="1" applyNumberFormat="1" applyFont="1" applyBorder="1" applyAlignment="1">
      <alignment horizontal="right"/>
    </xf>
    <xf numFmtId="17" fontId="14" fillId="3" borderId="26" xfId="2" quotePrefix="1" applyNumberFormat="1" applyFont="1" applyFill="1" applyBorder="1" applyAlignment="1">
      <alignment horizontal="right"/>
    </xf>
    <xf numFmtId="17" fontId="63" fillId="3" borderId="26" xfId="2" quotePrefix="1" applyNumberFormat="1" applyFont="1" applyFill="1" applyBorder="1" applyAlignment="1">
      <alignment horizontal="right"/>
    </xf>
    <xf numFmtId="166" fontId="11" fillId="0" borderId="0" xfId="40" applyNumberFormat="1" applyFont="1" applyBorder="1" applyAlignment="1">
      <alignment horizontal="right"/>
    </xf>
    <xf numFmtId="166" fontId="11" fillId="3" borderId="0" xfId="40" applyNumberFormat="1" applyFont="1" applyFill="1" applyBorder="1" applyAlignment="1">
      <alignment horizontal="right"/>
    </xf>
    <xf numFmtId="0" fontId="11" fillId="0" borderId="0" xfId="2" applyFont="1" applyProtection="1">
      <protection locked="0"/>
    </xf>
    <xf numFmtId="166" fontId="11" fillId="0" borderId="0" xfId="2" applyNumberFormat="1" applyFont="1" applyBorder="1"/>
    <xf numFmtId="166" fontId="44" fillId="3" borderId="0" xfId="2" applyNumberFormat="1" applyFont="1" applyFill="1" applyBorder="1"/>
    <xf numFmtId="0" fontId="25" fillId="0" borderId="0" xfId="2" applyFont="1"/>
    <xf numFmtId="0" fontId="40" fillId="0" borderId="0" xfId="2" applyFont="1"/>
    <xf numFmtId="0" fontId="4" fillId="0" borderId="0" xfId="2" quotePrefix="1" applyFont="1"/>
    <xf numFmtId="17" fontId="4" fillId="0" borderId="0" xfId="2" quotePrefix="1" applyNumberFormat="1" applyFont="1"/>
    <xf numFmtId="0" fontId="25" fillId="0" borderId="0" xfId="2" applyFont="1" applyBorder="1"/>
    <xf numFmtId="3" fontId="4" fillId="0" borderId="0" xfId="40" applyFont="1" applyAlignment="1">
      <alignment vertical="top"/>
    </xf>
    <xf numFmtId="0" fontId="8" fillId="0" borderId="0" xfId="17" applyNumberFormat="1" applyFont="1" applyBorder="1" applyAlignment="1">
      <alignment horizontal="right"/>
    </xf>
    <xf numFmtId="164" fontId="8" fillId="0" borderId="0" xfId="17" applyNumberFormat="1" applyFont="1" applyBorder="1" applyAlignment="1">
      <alignment horizontal="right"/>
    </xf>
    <xf numFmtId="164" fontId="11" fillId="0" borderId="0" xfId="17" applyNumberFormat="1" applyFont="1" applyBorder="1" applyAlignment="1">
      <alignment horizontal="right"/>
    </xf>
    <xf numFmtId="164" fontId="11" fillId="0" borderId="0" xfId="2" applyNumberFormat="1" applyFont="1"/>
    <xf numFmtId="164" fontId="44" fillId="0" borderId="0" xfId="2" applyNumberFormat="1" applyFont="1"/>
    <xf numFmtId="164" fontId="44" fillId="0" borderId="0" xfId="2" applyNumberFormat="1" applyFont="1" applyBorder="1"/>
    <xf numFmtId="0" fontId="8" fillId="0" borderId="6" xfId="17" applyNumberFormat="1" applyFont="1" applyBorder="1" applyAlignment="1">
      <alignment horizontal="right"/>
    </xf>
    <xf numFmtId="164" fontId="8" fillId="0" borderId="6" xfId="17" applyNumberFormat="1" applyFont="1" applyBorder="1" applyAlignment="1">
      <alignment horizontal="right"/>
    </xf>
    <xf numFmtId="164" fontId="11" fillId="0" borderId="6" xfId="17" applyNumberFormat="1" applyFont="1" applyBorder="1" applyAlignment="1">
      <alignment horizontal="right"/>
    </xf>
    <xf numFmtId="164" fontId="44" fillId="0" borderId="6" xfId="17" applyNumberFormat="1" applyFont="1" applyBorder="1" applyAlignment="1">
      <alignment horizontal="right"/>
    </xf>
    <xf numFmtId="164" fontId="44" fillId="0" borderId="6" xfId="2" applyNumberFormat="1" applyFont="1" applyBorder="1"/>
    <xf numFmtId="166" fontId="63" fillId="3" borderId="0" xfId="40" applyNumberFormat="1" applyFont="1" applyFill="1" applyBorder="1" applyAlignment="1">
      <alignment horizontal="right"/>
    </xf>
    <xf numFmtId="164" fontId="4" fillId="0" borderId="0" xfId="2" applyNumberFormat="1" applyFont="1" applyAlignment="1">
      <alignment vertical="top"/>
    </xf>
    <xf numFmtId="164" fontId="4" fillId="0" borderId="0" xfId="2" applyNumberFormat="1" applyFont="1"/>
    <xf numFmtId="0" fontId="4" fillId="0" borderId="0" xfId="2" applyFont="1" applyBorder="1"/>
    <xf numFmtId="0" fontId="0" fillId="0" borderId="0" xfId="2" applyFont="1" applyBorder="1" applyAlignment="1">
      <alignment vertical="top"/>
    </xf>
    <xf numFmtId="0" fontId="0" fillId="0" borderId="0" xfId="2" applyFont="1" applyBorder="1" applyAlignment="1">
      <alignment horizontal="right"/>
    </xf>
    <xf numFmtId="0" fontId="15" fillId="0" borderId="0" xfId="2" applyFont="1" applyBorder="1" applyAlignment="1">
      <alignment vertical="top"/>
    </xf>
    <xf numFmtId="0" fontId="15" fillId="0" borderId="0" xfId="2" applyFont="1" applyBorder="1"/>
    <xf numFmtId="0" fontId="15" fillId="0" borderId="0" xfId="2" quotePrefix="1" applyFont="1" applyBorder="1"/>
    <xf numFmtId="17" fontId="15" fillId="0" borderId="0" xfId="2" quotePrefix="1" applyNumberFormat="1" applyFont="1" applyBorder="1"/>
    <xf numFmtId="0" fontId="140" fillId="0" borderId="0" xfId="2" quotePrefix="1" applyFont="1" applyBorder="1" applyAlignment="1">
      <alignment horizontal="right"/>
    </xf>
    <xf numFmtId="0" fontId="7" fillId="0" borderId="0" xfId="2" quotePrefix="1" applyFont="1" applyBorder="1" applyAlignment="1">
      <alignment horizontal="right"/>
    </xf>
    <xf numFmtId="3" fontId="4" fillId="0" borderId="0" xfId="40" applyBorder="1" applyAlignment="1">
      <alignment vertical="top"/>
    </xf>
    <xf numFmtId="3" fontId="4" fillId="0" borderId="0" xfId="40" applyBorder="1"/>
    <xf numFmtId="3" fontId="141" fillId="0" borderId="0" xfId="40" applyFont="1" applyBorder="1" applyAlignment="1">
      <alignment horizontal="right"/>
    </xf>
    <xf numFmtId="0" fontId="0" fillId="23" borderId="0" xfId="2" applyFont="1" applyFill="1" applyBorder="1" applyProtection="1">
      <protection locked="0"/>
    </xf>
    <xf numFmtId="3" fontId="4" fillId="0" borderId="0" xfId="40" applyFill="1" applyBorder="1"/>
    <xf numFmtId="3" fontId="141" fillId="0" borderId="0" xfId="40" applyFont="1" applyFill="1" applyBorder="1" applyAlignment="1">
      <alignment horizontal="right"/>
    </xf>
    <xf numFmtId="166" fontId="8" fillId="0" borderId="0" xfId="40" applyNumberFormat="1" applyFont="1" applyFill="1" applyBorder="1" applyAlignment="1">
      <alignment horizontal="right"/>
    </xf>
    <xf numFmtId="0" fontId="142" fillId="0" borderId="0" xfId="2" applyFont="1" applyBorder="1" applyAlignment="1">
      <alignment horizontal="right"/>
    </xf>
    <xf numFmtId="164" fontId="0" fillId="0" borderId="0" xfId="2" applyNumberFormat="1" applyFont="1" applyBorder="1" applyAlignment="1">
      <alignment vertical="top"/>
    </xf>
    <xf numFmtId="164" fontId="0" fillId="0" borderId="0" xfId="2" applyNumberFormat="1" applyFont="1" applyBorder="1"/>
    <xf numFmtId="164" fontId="136" fillId="0" borderId="0" xfId="2" applyNumberFormat="1" applyFont="1" applyAlignment="1">
      <alignment horizontal="right"/>
    </xf>
    <xf numFmtId="169" fontId="4" fillId="0" borderId="0" xfId="17" applyNumberFormat="1" applyFont="1" applyProtection="1"/>
    <xf numFmtId="0" fontId="4" fillId="0" borderId="15" xfId="3" applyFont="1" applyFill="1" applyBorder="1" applyAlignment="1" applyProtection="1">
      <alignment vertical="top" wrapText="1"/>
    </xf>
    <xf numFmtId="0" fontId="4" fillId="0" borderId="16" xfId="3" applyFont="1" applyFill="1" applyBorder="1" applyAlignment="1" applyProtection="1">
      <alignment vertical="top" wrapText="1"/>
    </xf>
    <xf numFmtId="0" fontId="26" fillId="0" borderId="16" xfId="3" applyFont="1" applyBorder="1" applyAlignment="1" applyProtection="1"/>
    <xf numFmtId="0" fontId="26" fillId="0" borderId="17" xfId="3" applyFont="1" applyBorder="1" applyAlignment="1"/>
    <xf numFmtId="0" fontId="4" fillId="0" borderId="0" xfId="3" applyFont="1" applyFill="1" applyBorder="1" applyAlignment="1" applyProtection="1">
      <alignment vertical="top" wrapText="1"/>
    </xf>
    <xf numFmtId="0" fontId="26" fillId="0" borderId="0" xfId="3" applyFont="1" applyBorder="1" applyAlignment="1" applyProtection="1"/>
    <xf numFmtId="0" fontId="26" fillId="0" borderId="0" xfId="3" applyFont="1" applyBorder="1" applyAlignment="1"/>
    <xf numFmtId="169" fontId="8" fillId="0" borderId="0" xfId="17" applyNumberFormat="1" applyFont="1" applyProtection="1"/>
    <xf numFmtId="0" fontId="5" fillId="0" borderId="0" xfId="2" applyFont="1" applyBorder="1" applyAlignment="1" applyProtection="1">
      <alignment vertical="top"/>
    </xf>
    <xf numFmtId="0" fontId="7" fillId="0" borderId="86" xfId="2" applyFont="1" applyBorder="1" applyAlignment="1">
      <alignment horizontal="right"/>
    </xf>
    <xf numFmtId="0" fontId="7" fillId="0" borderId="86" xfId="2" quotePrefix="1" applyFont="1" applyBorder="1" applyAlignment="1">
      <alignment horizontal="right"/>
    </xf>
    <xf numFmtId="17" fontId="7" fillId="0" borderId="86" xfId="2" quotePrefix="1" applyNumberFormat="1" applyFont="1" applyBorder="1" applyAlignment="1">
      <alignment horizontal="right"/>
    </xf>
    <xf numFmtId="17" fontId="7" fillId="0" borderId="0" xfId="2" quotePrefix="1" applyNumberFormat="1" applyFont="1" applyBorder="1" applyAlignment="1">
      <alignment horizontal="right"/>
    </xf>
    <xf numFmtId="0" fontId="144" fillId="0" borderId="0" xfId="2" applyFont="1" applyBorder="1" applyAlignment="1" applyProtection="1">
      <alignment horizontal="right" vertical="top" textRotation="90" wrapText="1"/>
    </xf>
    <xf numFmtId="0" fontId="143" fillId="0" borderId="0" xfId="2" applyFont="1" applyBorder="1" applyAlignment="1" applyProtection="1">
      <alignment horizontal="right" vertical="top" textRotation="90" wrapText="1"/>
    </xf>
    <xf numFmtId="0" fontId="7" fillId="0" borderId="2" xfId="2" applyFont="1" applyBorder="1" applyAlignment="1">
      <alignment horizontal="left"/>
    </xf>
    <xf numFmtId="166" fontId="7" fillId="0" borderId="2" xfId="2" applyNumberFormat="1" applyFont="1" applyBorder="1" applyAlignment="1">
      <alignment horizontal="right"/>
    </xf>
    <xf numFmtId="166" fontId="8" fillId="0" borderId="0" xfId="2" applyNumberFormat="1" applyFont="1" applyBorder="1" applyAlignment="1">
      <alignment horizontal="right"/>
    </xf>
    <xf numFmtId="169" fontId="4" fillId="0" borderId="0" xfId="17" applyNumberFormat="1" applyFont="1" applyFill="1" applyProtection="1"/>
    <xf numFmtId="169" fontId="4" fillId="0" borderId="0" xfId="17" applyNumberFormat="1" applyFont="1" applyProtection="1">
      <protection locked="0"/>
    </xf>
    <xf numFmtId="0" fontId="4" fillId="0" borderId="6" xfId="15" applyBorder="1"/>
    <xf numFmtId="0" fontId="0" fillId="0" borderId="6" xfId="2" applyFont="1" applyBorder="1"/>
    <xf numFmtId="0" fontId="8" fillId="0" borderId="0" xfId="2" applyFont="1" applyBorder="1" applyAlignment="1">
      <alignment vertical="top" wrapText="1"/>
    </xf>
    <xf numFmtId="180" fontId="8" fillId="0" borderId="0" xfId="2" applyNumberFormat="1" applyFont="1" applyFill="1" applyBorder="1" applyAlignment="1">
      <alignment horizontal="right" vertical="top" wrapText="1"/>
    </xf>
    <xf numFmtId="180" fontId="8" fillId="2" borderId="0" xfId="2" applyNumberFormat="1" applyFont="1" applyFill="1" applyBorder="1" applyAlignment="1">
      <alignment horizontal="right" vertical="top" wrapText="1"/>
    </xf>
    <xf numFmtId="9" fontId="145" fillId="0" borderId="0" xfId="1" applyFont="1" applyBorder="1"/>
    <xf numFmtId="0" fontId="8" fillId="0" borderId="6" xfId="2" applyFont="1" applyBorder="1" applyAlignment="1">
      <alignment vertical="top" wrapText="1"/>
    </xf>
    <xf numFmtId="180" fontId="8" fillId="0" borderId="6" xfId="2" applyNumberFormat="1" applyFont="1" applyFill="1" applyBorder="1" applyAlignment="1">
      <alignment horizontal="right" vertical="top" wrapText="1"/>
    </xf>
    <xf numFmtId="169" fontId="0" fillId="0" borderId="0" xfId="1" applyNumberFormat="1" applyFont="1" applyBorder="1"/>
    <xf numFmtId="169" fontId="4" fillId="0" borderId="0" xfId="1" applyNumberFormat="1" applyFont="1"/>
    <xf numFmtId="0" fontId="4" fillId="0" borderId="0" xfId="15" applyAlignment="1">
      <alignment vertical="top"/>
    </xf>
    <xf numFmtId="172" fontId="44" fillId="0" borderId="0" xfId="7" applyNumberFormat="1" applyFont="1" applyFill="1"/>
    <xf numFmtId="172" fontId="40" fillId="0" borderId="0" xfId="7" applyNumberFormat="1" applyFont="1"/>
    <xf numFmtId="0" fontId="40" fillId="0" borderId="0" xfId="15" applyFont="1"/>
    <xf numFmtId="169" fontId="40" fillId="0" borderId="0" xfId="1" applyNumberFormat="1" applyFont="1"/>
    <xf numFmtId="164" fontId="7" fillId="0" borderId="26" xfId="2" quotePrefix="1" applyNumberFormat="1" applyFont="1" applyFill="1" applyBorder="1" applyAlignment="1">
      <alignment horizontal="right"/>
    </xf>
    <xf numFmtId="164" fontId="4" fillId="0" borderId="0" xfId="15" applyNumberFormat="1"/>
    <xf numFmtId="164" fontId="4" fillId="0" borderId="0" xfId="15" applyNumberFormat="1" applyFont="1"/>
    <xf numFmtId="164" fontId="4" fillId="0" borderId="6" xfId="15" applyNumberFormat="1" applyBorder="1"/>
    <xf numFmtId="164" fontId="4" fillId="0" borderId="6" xfId="15" applyNumberFormat="1" applyFont="1" applyBorder="1"/>
    <xf numFmtId="0" fontId="0" fillId="0" borderId="0" xfId="2" applyFont="1" applyAlignment="1" applyProtection="1">
      <protection locked="0"/>
    </xf>
    <xf numFmtId="0" fontId="7" fillId="0" borderId="0" xfId="2" quotePrefix="1" applyFont="1" applyFill="1" applyBorder="1" applyAlignment="1">
      <alignment horizontal="right"/>
    </xf>
    <xf numFmtId="0" fontId="8" fillId="0" borderId="23" xfId="2" applyFont="1" applyBorder="1"/>
    <xf numFmtId="0" fontId="8" fillId="0" borderId="23" xfId="2" applyFont="1" applyBorder="1" applyAlignment="1" applyProtection="1">
      <protection locked="0"/>
    </xf>
    <xf numFmtId="3" fontId="11" fillId="24" borderId="0" xfId="15" applyNumberFormat="1" applyFont="1" applyFill="1" applyBorder="1"/>
    <xf numFmtId="3" fontId="14" fillId="2" borderId="6" xfId="15" applyNumberFormat="1" applyFont="1" applyFill="1" applyBorder="1"/>
    <xf numFmtId="3" fontId="7" fillId="0" borderId="6" xfId="15" applyNumberFormat="1" applyFont="1" applyFill="1" applyBorder="1"/>
    <xf numFmtId="3" fontId="14" fillId="2" borderId="0" xfId="15" applyNumberFormat="1" applyFont="1" applyFill="1" applyBorder="1"/>
    <xf numFmtId="166" fontId="63" fillId="0" borderId="0" xfId="15" applyNumberFormat="1" applyFont="1" applyFill="1" applyBorder="1"/>
    <xf numFmtId="3" fontId="7" fillId="0" borderId="0" xfId="2" applyNumberFormat="1" applyFont="1" applyBorder="1" applyAlignment="1">
      <alignment horizontal="right"/>
    </xf>
    <xf numFmtId="0" fontId="8" fillId="0" borderId="86" xfId="2" applyFont="1" applyFill="1" applyBorder="1"/>
    <xf numFmtId="0" fontId="14" fillId="0" borderId="86" xfId="2" quotePrefix="1" applyFont="1" applyFill="1" applyBorder="1" applyAlignment="1">
      <alignment horizontal="right"/>
    </xf>
    <xf numFmtId="0" fontId="11" fillId="24" borderId="0" xfId="15" applyFont="1" applyFill="1" applyBorder="1"/>
    <xf numFmtId="164" fontId="11" fillId="0" borderId="0" xfId="2" applyNumberFormat="1" applyFont="1" applyFill="1" applyBorder="1" applyAlignment="1">
      <alignment horizontal="right"/>
    </xf>
    <xf numFmtId="164" fontId="11" fillId="0" borderId="0" xfId="40" applyNumberFormat="1" applyFont="1" applyFill="1" applyBorder="1" applyAlignment="1">
      <alignment horizontal="right"/>
    </xf>
    <xf numFmtId="166" fontId="8" fillId="2" borderId="0" xfId="40" applyNumberFormat="1" applyFont="1" applyFill="1" applyBorder="1" applyAlignment="1">
      <alignment horizontal="right"/>
    </xf>
    <xf numFmtId="0" fontId="11" fillId="2" borderId="0" xfId="15" applyFont="1" applyFill="1" applyBorder="1"/>
    <xf numFmtId="0" fontId="14" fillId="2" borderId="6" xfId="15" applyFont="1" applyFill="1" applyBorder="1"/>
    <xf numFmtId="164" fontId="14" fillId="2" borderId="6" xfId="15" applyNumberFormat="1" applyFont="1" applyFill="1" applyBorder="1"/>
    <xf numFmtId="166" fontId="7" fillId="2" borderId="6" xfId="40" applyNumberFormat="1" applyFont="1" applyFill="1" applyBorder="1" applyAlignment="1">
      <alignment horizontal="right"/>
    </xf>
    <xf numFmtId="166" fontId="14" fillId="0" borderId="6" xfId="40" applyNumberFormat="1" applyFont="1" applyFill="1" applyBorder="1" applyAlignment="1">
      <alignment horizontal="right"/>
    </xf>
    <xf numFmtId="0" fontId="7" fillId="0" borderId="0" xfId="2" applyFont="1" applyFill="1" applyBorder="1" applyAlignment="1">
      <alignment horizontal="center" wrapText="1"/>
    </xf>
    <xf numFmtId="0" fontId="13" fillId="0" borderId="0" xfId="2" applyFont="1" applyAlignment="1" applyProtection="1">
      <alignment vertical="top"/>
    </xf>
    <xf numFmtId="0" fontId="109" fillId="0" borderId="0" xfId="2" applyFont="1" applyBorder="1" applyAlignment="1" applyProtection="1">
      <alignment horizontal="right" vertical="top" textRotation="90" wrapText="1"/>
    </xf>
    <xf numFmtId="0" fontId="146" fillId="0" borderId="0" xfId="2" applyFont="1" applyBorder="1" applyAlignment="1" applyProtection="1">
      <alignment horizontal="right" vertical="top" textRotation="90" wrapText="1"/>
    </xf>
    <xf numFmtId="0" fontId="8" fillId="0" borderId="86" xfId="2" applyFont="1" applyFill="1" applyBorder="1" applyAlignment="1">
      <alignment horizontal="left" vertical="top"/>
    </xf>
    <xf numFmtId="0" fontId="7" fillId="2" borderId="86" xfId="15" applyFont="1" applyFill="1" applyBorder="1" applyAlignment="1">
      <alignment horizontal="right" wrapText="1"/>
    </xf>
    <xf numFmtId="0" fontId="99" fillId="0" borderId="0" xfId="2" applyFont="1" applyProtection="1">
      <protection locked="0"/>
    </xf>
    <xf numFmtId="169" fontId="8" fillId="2" borderId="0" xfId="15" applyNumberFormat="1" applyFont="1" applyFill="1" applyBorder="1" applyAlignment="1">
      <alignment horizontal="right"/>
    </xf>
    <xf numFmtId="169" fontId="7" fillId="2" borderId="6" xfId="15" applyNumberFormat="1" applyFont="1" applyFill="1" applyBorder="1" applyAlignment="1">
      <alignment horizontal="right"/>
    </xf>
    <xf numFmtId="0" fontId="4" fillId="0" borderId="16" xfId="2" applyFont="1" applyFill="1" applyBorder="1" applyAlignment="1" applyProtection="1"/>
    <xf numFmtId="0" fontId="4" fillId="0" borderId="17" xfId="2" applyFont="1" applyBorder="1" applyAlignment="1"/>
    <xf numFmtId="0" fontId="147" fillId="0" borderId="29" xfId="2" applyFont="1" applyBorder="1" applyProtection="1">
      <protection locked="0"/>
    </xf>
    <xf numFmtId="0" fontId="148" fillId="0" borderId="29" xfId="2" applyFont="1" applyBorder="1" applyProtection="1">
      <protection locked="0"/>
    </xf>
    <xf numFmtId="0" fontId="149" fillId="0" borderId="29" xfId="2" applyFont="1" applyBorder="1" applyProtection="1">
      <protection locked="0"/>
    </xf>
    <xf numFmtId="0" fontId="150" fillId="0" borderId="29" xfId="2" applyFont="1" applyBorder="1" applyAlignment="1" applyProtection="1">
      <alignment wrapText="1"/>
      <protection locked="0"/>
    </xf>
    <xf numFmtId="172" fontId="150" fillId="0" borderId="29" xfId="7" applyNumberFormat="1" applyFont="1" applyBorder="1" applyProtection="1">
      <protection locked="0"/>
    </xf>
    <xf numFmtId="172" fontId="151" fillId="0" borderId="29" xfId="7" applyNumberFormat="1" applyFont="1" applyBorder="1" applyProtection="1">
      <protection locked="0"/>
    </xf>
    <xf numFmtId="172" fontId="152" fillId="0" borderId="29" xfId="7" applyNumberFormat="1" applyFont="1" applyBorder="1" applyProtection="1">
      <protection locked="0"/>
    </xf>
    <xf numFmtId="172" fontId="152" fillId="3" borderId="29" xfId="7" applyNumberFormat="1" applyFont="1" applyFill="1" applyBorder="1" applyProtection="1">
      <protection locked="0"/>
    </xf>
    <xf numFmtId="0" fontId="150" fillId="0" borderId="29" xfId="2" applyFont="1" applyBorder="1" applyProtection="1">
      <protection locked="0"/>
    </xf>
    <xf numFmtId="0" fontId="151" fillId="0" borderId="29" xfId="2" applyFont="1" applyBorder="1" applyProtection="1">
      <protection locked="0"/>
    </xf>
    <xf numFmtId="0" fontId="152" fillId="0" borderId="29" xfId="2" applyFont="1" applyBorder="1" applyProtection="1">
      <protection locked="0"/>
    </xf>
    <xf numFmtId="0" fontId="152" fillId="3" borderId="29" xfId="2" applyFont="1" applyFill="1" applyBorder="1" applyProtection="1">
      <protection locked="0"/>
    </xf>
    <xf numFmtId="0" fontId="4" fillId="0" borderId="25" xfId="2" applyFont="1" applyFill="1" applyBorder="1" applyAlignment="1" applyProtection="1">
      <alignment vertical="top" wrapText="1"/>
    </xf>
    <xf numFmtId="0" fontId="7" fillId="0" borderId="86" xfId="15" applyFont="1" applyFill="1" applyBorder="1" applyAlignment="1">
      <alignment horizontal="right" wrapText="1"/>
    </xf>
    <xf numFmtId="0" fontId="14" fillId="24" borderId="0" xfId="15" applyFont="1" applyFill="1" applyBorder="1" applyAlignment="1">
      <alignment horizontal="right" wrapText="1"/>
    </xf>
    <xf numFmtId="10" fontId="7" fillId="0" borderId="0" xfId="1" applyNumberFormat="1" applyFont="1" applyBorder="1" applyAlignment="1">
      <alignment horizontal="right"/>
    </xf>
    <xf numFmtId="0" fontId="3" fillId="0" borderId="29" xfId="2" applyFont="1" applyBorder="1" applyAlignment="1" applyProtection="1">
      <alignment vertical="top"/>
    </xf>
    <xf numFmtId="0" fontId="0" fillId="0" borderId="29" xfId="2" applyFont="1" applyBorder="1" applyAlignment="1" applyProtection="1">
      <alignment vertical="top"/>
    </xf>
    <xf numFmtId="0" fontId="0" fillId="0" borderId="29" xfId="2" applyFont="1" applyBorder="1" applyAlignment="1" applyProtection="1">
      <alignment vertical="top" wrapText="1"/>
    </xf>
    <xf numFmtId="0" fontId="118" fillId="0" borderId="0" xfId="2" applyFont="1" applyAlignment="1" applyProtection="1">
      <alignment vertical="top"/>
    </xf>
    <xf numFmtId="0" fontId="118" fillId="0" borderId="0" xfId="2" applyFont="1" applyProtection="1"/>
    <xf numFmtId="0" fontId="118" fillId="0" borderId="0" xfId="2" applyFont="1" applyProtection="1">
      <protection locked="0"/>
    </xf>
    <xf numFmtId="0" fontId="118" fillId="0" borderId="0" xfId="2" applyFont="1" applyAlignment="1" applyProtection="1">
      <alignment horizontal="right"/>
      <protection locked="0"/>
    </xf>
    <xf numFmtId="0" fontId="153" fillId="0" borderId="0" xfId="2" applyFont="1" applyFill="1" applyBorder="1" applyProtection="1">
      <protection locked="0"/>
    </xf>
    <xf numFmtId="0" fontId="118" fillId="0" borderId="0" xfId="2" applyFont="1" applyFill="1" applyAlignment="1" applyProtection="1">
      <alignment horizontal="right"/>
      <protection locked="0"/>
    </xf>
    <xf numFmtId="172" fontId="118" fillId="0" borderId="0" xfId="7" applyNumberFormat="1" applyFont="1" applyFill="1" applyProtection="1">
      <protection locked="0"/>
    </xf>
    <xf numFmtId="185" fontId="15" fillId="0" borderId="6" xfId="2" applyNumberFormat="1" applyFont="1" applyBorder="1" applyAlignment="1">
      <alignment horizontal="left"/>
    </xf>
    <xf numFmtId="0" fontId="40" fillId="0" borderId="0" xfId="2" applyFont="1" applyFill="1" applyBorder="1" applyProtection="1">
      <protection locked="0"/>
    </xf>
    <xf numFmtId="0" fontId="25" fillId="0" borderId="0" xfId="2" applyFont="1" applyProtection="1">
      <protection locked="0"/>
    </xf>
    <xf numFmtId="0" fontId="25" fillId="0" borderId="0" xfId="2" applyFont="1" applyAlignment="1" applyProtection="1">
      <alignment horizontal="right"/>
      <protection locked="0"/>
    </xf>
    <xf numFmtId="172" fontId="118" fillId="0" borderId="0" xfId="7" applyNumberFormat="1" applyFont="1" applyProtection="1">
      <protection locked="0"/>
    </xf>
    <xf numFmtId="185" fontId="15" fillId="0" borderId="0" xfId="2" applyNumberFormat="1" applyFont="1" applyBorder="1" applyAlignment="1">
      <alignment horizontal="left"/>
    </xf>
    <xf numFmtId="0" fontId="148" fillId="0" borderId="26" xfId="0" applyFont="1" applyFill="1" applyBorder="1" applyAlignment="1">
      <alignment horizontal="center" wrapText="1"/>
    </xf>
    <xf numFmtId="0" fontId="148" fillId="0" borderId="26" xfId="0" applyFont="1" applyFill="1" applyBorder="1" applyAlignment="1">
      <alignment horizontal="right" wrapText="1"/>
    </xf>
    <xf numFmtId="185" fontId="4" fillId="0" borderId="0" xfId="2" applyNumberFormat="1" applyFont="1" applyBorder="1" applyAlignment="1">
      <alignment horizontal="left"/>
    </xf>
    <xf numFmtId="0" fontId="151" fillId="0" borderId="0" xfId="0" applyFont="1" applyBorder="1" applyAlignment="1">
      <alignment horizontal="center" wrapText="1"/>
    </xf>
    <xf numFmtId="185" fontId="4" fillId="0" borderId="6" xfId="2" applyNumberFormat="1" applyFont="1" applyBorder="1" applyAlignment="1">
      <alignment horizontal="left"/>
    </xf>
    <xf numFmtId="0" fontId="151" fillId="0" borderId="6" xfId="0" applyFont="1" applyBorder="1" applyAlignment="1">
      <alignment horizontal="center" wrapText="1"/>
    </xf>
    <xf numFmtId="0" fontId="151" fillId="0" borderId="6" xfId="0" applyFont="1" applyBorder="1" applyAlignment="1">
      <alignment horizontal="right" wrapText="1"/>
    </xf>
    <xf numFmtId="0" fontId="151" fillId="2" borderId="6" xfId="0" applyFont="1" applyFill="1" applyBorder="1" applyAlignment="1">
      <alignment horizontal="right" wrapText="1"/>
    </xf>
    <xf numFmtId="0" fontId="152" fillId="0" borderId="0" xfId="0" applyFont="1" applyBorder="1" applyAlignment="1">
      <alignment wrapText="1"/>
    </xf>
    <xf numFmtId="0" fontId="152" fillId="0" borderId="0" xfId="0" applyFont="1" applyBorder="1" applyAlignment="1">
      <alignment horizontal="center" wrapText="1"/>
    </xf>
    <xf numFmtId="185" fontId="15" fillId="0" borderId="6" xfId="2" applyNumberFormat="1" applyFont="1" applyBorder="1" applyAlignment="1">
      <alignment horizontal="center"/>
    </xf>
    <xf numFmtId="185" fontId="69" fillId="0" borderId="6" xfId="2" applyNumberFormat="1" applyFont="1" applyBorder="1" applyAlignment="1">
      <alignment horizontal="center" vertical="top"/>
    </xf>
    <xf numFmtId="185" fontId="69" fillId="2" borderId="6" xfId="2" applyNumberFormat="1" applyFont="1" applyFill="1" applyBorder="1" applyAlignment="1">
      <alignment horizontal="center" vertical="top"/>
    </xf>
    <xf numFmtId="0" fontId="40" fillId="2" borderId="6" xfId="2" applyFont="1" applyFill="1" applyBorder="1" applyProtection="1">
      <protection locked="0"/>
    </xf>
    <xf numFmtId="0" fontId="40" fillId="0" borderId="6" xfId="2" applyFont="1" applyBorder="1" applyProtection="1">
      <protection locked="0"/>
    </xf>
    <xf numFmtId="0" fontId="4" fillId="2" borderId="26" xfId="0" applyFont="1" applyFill="1" applyBorder="1" applyAlignment="1">
      <alignment horizontal="left" vertical="top" wrapText="1"/>
    </xf>
    <xf numFmtId="0" fontId="4" fillId="0" borderId="26" xfId="2" applyFont="1" applyBorder="1" applyProtection="1">
      <protection locked="0"/>
    </xf>
    <xf numFmtId="17" fontId="15" fillId="2" borderId="26" xfId="2" quotePrefix="1" applyNumberFormat="1" applyFont="1" applyFill="1" applyBorder="1" applyAlignment="1">
      <alignment horizontal="center" vertical="top" wrapText="1"/>
    </xf>
    <xf numFmtId="0" fontId="15" fillId="2" borderId="26" xfId="2" applyFont="1" applyFill="1" applyBorder="1" applyAlignment="1" applyProtection="1">
      <alignment horizontal="center" vertical="top" wrapText="1"/>
      <protection locked="0"/>
    </xf>
    <xf numFmtId="185" fontId="4" fillId="0" borderId="0" xfId="2" applyNumberFormat="1" applyFont="1" applyFill="1" applyBorder="1" applyAlignment="1">
      <alignment horizontal="left" wrapText="1"/>
    </xf>
    <xf numFmtId="206" fontId="151" fillId="0" borderId="0" xfId="0" applyNumberFormat="1" applyFont="1" applyBorder="1" applyAlignment="1">
      <alignment horizontal="center" wrapText="1"/>
    </xf>
    <xf numFmtId="185" fontId="4" fillId="0" borderId="6" xfId="2" applyNumberFormat="1" applyFont="1" applyFill="1" applyBorder="1" applyAlignment="1">
      <alignment horizontal="left" wrapText="1"/>
    </xf>
    <xf numFmtId="0" fontId="4" fillId="0" borderId="6" xfId="2" applyFont="1" applyBorder="1" applyProtection="1">
      <protection locked="0"/>
    </xf>
    <xf numFmtId="0" fontId="148" fillId="0" borderId="0" xfId="0" applyFont="1" applyBorder="1" applyAlignment="1">
      <alignment horizontal="left" wrapText="1"/>
    </xf>
    <xf numFmtId="0" fontId="148" fillId="0" borderId="0" xfId="0" applyFont="1" applyBorder="1" applyAlignment="1">
      <alignment horizontal="center" wrapText="1"/>
    </xf>
    <xf numFmtId="0" fontId="148" fillId="0" borderId="0" xfId="0" applyFont="1" applyBorder="1" applyAlignment="1">
      <alignment horizontal="right" wrapText="1"/>
    </xf>
    <xf numFmtId="0" fontId="148" fillId="2" borderId="0" xfId="0" applyFont="1" applyFill="1" applyBorder="1" applyAlignment="1">
      <alignment horizontal="right" wrapText="1"/>
    </xf>
    <xf numFmtId="0" fontId="27" fillId="0" borderId="0" xfId="2" applyFont="1" applyBorder="1" applyAlignment="1" applyProtection="1">
      <alignment vertical="top"/>
    </xf>
    <xf numFmtId="0" fontId="118" fillId="0" borderId="0" xfId="2" applyFont="1" applyBorder="1" applyAlignment="1" applyProtection="1">
      <alignment vertical="top"/>
    </xf>
    <xf numFmtId="185" fontId="11" fillId="0" borderId="0" xfId="2" applyNumberFormat="1" applyFont="1" applyBorder="1" applyAlignment="1">
      <alignment horizontal="left" vertical="top" wrapText="1"/>
    </xf>
    <xf numFmtId="185" fontId="14" fillId="0" borderId="0" xfId="2" applyNumberFormat="1" applyFont="1" applyBorder="1" applyAlignment="1">
      <alignment horizontal="center" vertical="top"/>
    </xf>
    <xf numFmtId="185" fontId="7" fillId="2" borderId="0" xfId="2" applyNumberFormat="1" applyFont="1" applyFill="1" applyBorder="1" applyAlignment="1">
      <alignment horizontal="center" vertical="top"/>
    </xf>
    <xf numFmtId="0" fontId="6" fillId="2" borderId="0" xfId="2" applyFont="1" applyFill="1" applyBorder="1" applyProtection="1">
      <protection locked="0"/>
    </xf>
    <xf numFmtId="0" fontId="118" fillId="0" borderId="0" xfId="2" applyFont="1" applyBorder="1" applyProtection="1">
      <protection locked="0"/>
    </xf>
    <xf numFmtId="0" fontId="119" fillId="0" borderId="0" xfId="2" applyFont="1" applyBorder="1" applyAlignment="1" applyProtection="1">
      <alignment horizontal="right"/>
      <protection locked="0"/>
    </xf>
    <xf numFmtId="0" fontId="119" fillId="0" borderId="0" xfId="2" applyFont="1" applyBorder="1" applyProtection="1">
      <protection locked="0"/>
    </xf>
    <xf numFmtId="204" fontId="118" fillId="0" borderId="0" xfId="2" applyNumberFormat="1" applyFont="1" applyBorder="1" applyProtection="1">
      <protection locked="0"/>
    </xf>
    <xf numFmtId="0" fontId="4" fillId="0" borderId="0" xfId="35"/>
    <xf numFmtId="0" fontId="4" fillId="0" borderId="0" xfId="2" applyFont="1" applyFill="1" applyBorder="1" applyAlignment="1">
      <alignment vertical="top"/>
    </xf>
    <xf numFmtId="0" fontId="4" fillId="0" borderId="0" xfId="2" applyFont="1" applyFill="1" applyBorder="1" applyAlignment="1">
      <alignment horizontal="left" vertical="top"/>
    </xf>
    <xf numFmtId="0" fontId="4" fillId="0" borderId="0" xfId="35" applyBorder="1"/>
    <xf numFmtId="0" fontId="60" fillId="0" borderId="0" xfId="2" applyFont="1" applyFill="1" applyBorder="1" applyAlignment="1">
      <alignment vertical="top"/>
    </xf>
    <xf numFmtId="184" fontId="8" fillId="2" borderId="0" xfId="2" applyNumberFormat="1" applyFont="1" applyFill="1" applyBorder="1" applyAlignment="1">
      <alignment horizontal="right"/>
    </xf>
    <xf numFmtId="9" fontId="8" fillId="0" borderId="0" xfId="25" applyFont="1" applyFill="1" applyBorder="1" applyAlignment="1">
      <alignment horizontal="right"/>
    </xf>
    <xf numFmtId="0" fontId="4" fillId="0" borderId="0" xfId="35" applyFont="1" applyBorder="1"/>
    <xf numFmtId="0" fontId="48" fillId="0" borderId="23" xfId="2" applyFont="1" applyFill="1" applyBorder="1"/>
    <xf numFmtId="0" fontId="48" fillId="0" borderId="6" xfId="2" applyFont="1" applyFill="1" applyBorder="1"/>
    <xf numFmtId="0" fontId="48" fillId="0" borderId="0" xfId="2" applyFont="1" applyFill="1" applyBorder="1"/>
    <xf numFmtId="169" fontId="8" fillId="0" borderId="0" xfId="25" applyNumberFormat="1" applyFont="1" applyFill="1" applyBorder="1" applyAlignment="1">
      <alignment horizontal="left"/>
    </xf>
    <xf numFmtId="0" fontId="5" fillId="0" borderId="15" xfId="2" applyFont="1" applyFill="1" applyBorder="1" applyAlignment="1">
      <alignment vertical="top"/>
    </xf>
    <xf numFmtId="0" fontId="8" fillId="0" borderId="16" xfId="2" applyFont="1" applyFill="1" applyBorder="1" applyAlignment="1">
      <alignment horizontal="left"/>
    </xf>
    <xf numFmtId="49" fontId="7" fillId="0" borderId="16" xfId="2" applyNumberFormat="1" applyFont="1" applyFill="1" applyBorder="1" applyAlignment="1">
      <alignment horizontal="right"/>
    </xf>
    <xf numFmtId="49" fontId="7" fillId="0" borderId="23" xfId="2" applyNumberFormat="1" applyFont="1" applyFill="1" applyBorder="1" applyAlignment="1">
      <alignment horizontal="right"/>
    </xf>
    <xf numFmtId="0" fontId="60" fillId="0" borderId="23" xfId="2" applyFont="1" applyFill="1" applyBorder="1" applyAlignment="1">
      <alignment horizontal="right" vertical="top"/>
    </xf>
    <xf numFmtId="0" fontId="8" fillId="0" borderId="23" xfId="2" applyFont="1" applyFill="1" applyBorder="1" applyAlignment="1">
      <alignment horizontal="left"/>
    </xf>
    <xf numFmtId="0" fontId="60" fillId="4" borderId="0" xfId="2" applyFont="1" applyFill="1" applyAlignment="1">
      <alignment horizontal="right" vertical="top"/>
    </xf>
    <xf numFmtId="184" fontId="8" fillId="0" borderId="16" xfId="2" applyNumberFormat="1" applyFont="1" applyFill="1" applyBorder="1" applyAlignment="1">
      <alignment horizontal="right"/>
    </xf>
    <xf numFmtId="0" fontId="60" fillId="25" borderId="0" xfId="2" applyFont="1" applyFill="1" applyAlignment="1">
      <alignment horizontal="right" vertical="top"/>
    </xf>
    <xf numFmtId="0" fontId="60" fillId="0" borderId="0" xfId="2" applyFont="1" applyFill="1" applyAlignment="1">
      <alignment horizontal="right" vertical="top"/>
    </xf>
    <xf numFmtId="169" fontId="8" fillId="0" borderId="0" xfId="1" applyNumberFormat="1" applyFont="1" applyFill="1" applyBorder="1"/>
    <xf numFmtId="0" fontId="8" fillId="0" borderId="143" xfId="2" applyFont="1" applyFill="1" applyBorder="1" applyAlignment="1">
      <alignment horizontal="left"/>
    </xf>
    <xf numFmtId="49" fontId="7" fillId="0" borderId="138" xfId="2" applyNumberFormat="1" applyFont="1" applyFill="1" applyBorder="1" applyAlignment="1">
      <alignment horizontal="right"/>
    </xf>
    <xf numFmtId="49" fontId="7" fillId="0" borderId="144" xfId="2" applyNumberFormat="1" applyFont="1" applyFill="1" applyBorder="1" applyAlignment="1">
      <alignment horizontal="right"/>
    </xf>
    <xf numFmtId="49" fontId="7" fillId="0" borderId="86" xfId="2" applyNumberFormat="1" applyFont="1" applyFill="1" applyBorder="1" applyAlignment="1">
      <alignment horizontal="right"/>
    </xf>
    <xf numFmtId="169" fontId="7" fillId="0" borderId="0" xfId="2" applyNumberFormat="1" applyFont="1" applyFill="1" applyBorder="1" applyAlignment="1">
      <alignment horizontal="right"/>
    </xf>
    <xf numFmtId="169" fontId="7" fillId="0" borderId="6" xfId="2" applyNumberFormat="1" applyFont="1" applyFill="1" applyBorder="1" applyAlignment="1">
      <alignment horizontal="right"/>
    </xf>
    <xf numFmtId="0" fontId="60" fillId="0" borderId="0" xfId="2" applyFont="1" applyFill="1" applyBorder="1" applyAlignment="1">
      <alignment horizontal="right" vertical="top"/>
    </xf>
    <xf numFmtId="0" fontId="8" fillId="0" borderId="138" xfId="2" applyFont="1" applyFill="1" applyBorder="1" applyAlignment="1">
      <alignment horizontal="left"/>
    </xf>
    <xf numFmtId="9" fontId="8" fillId="0" borderId="0" xfId="25" applyNumberFormat="1" applyFont="1" applyFill="1" applyBorder="1"/>
    <xf numFmtId="0" fontId="4" fillId="0" borderId="0" xfId="35" applyFont="1" applyFill="1"/>
    <xf numFmtId="184" fontId="4" fillId="0" borderId="0" xfId="35" applyNumberFormat="1"/>
    <xf numFmtId="0" fontId="150" fillId="0" borderId="0" xfId="2" applyFont="1" applyAlignment="1" applyProtection="1">
      <alignment vertical="top"/>
    </xf>
    <xf numFmtId="0" fontId="150" fillId="0" borderId="0" xfId="2" applyFont="1" applyProtection="1"/>
    <xf numFmtId="0" fontId="150" fillId="0" borderId="0" xfId="2" applyFont="1" applyProtection="1">
      <protection locked="0"/>
    </xf>
    <xf numFmtId="0" fontId="155" fillId="0" borderId="0" xfId="2" applyFont="1" applyProtection="1">
      <protection locked="0"/>
    </xf>
    <xf numFmtId="175" fontId="150" fillId="0" borderId="0" xfId="2" applyNumberFormat="1" applyFont="1" applyProtection="1">
      <protection locked="0"/>
    </xf>
    <xf numFmtId="0" fontId="150" fillId="0" borderId="0" xfId="2" applyFont="1" applyAlignment="1" applyProtection="1">
      <alignment horizontal="center" vertical="top"/>
    </xf>
    <xf numFmtId="0" fontId="15" fillId="0" borderId="6" xfId="2" applyFont="1" applyBorder="1" applyAlignment="1" applyProtection="1"/>
    <xf numFmtId="0" fontId="15" fillId="0" borderId="0" xfId="2" applyFont="1" applyBorder="1" applyAlignment="1" applyProtection="1"/>
    <xf numFmtId="0" fontId="27" fillId="0" borderId="0" xfId="2" quotePrefix="1" applyFont="1" applyFill="1" applyBorder="1" applyAlignment="1" applyProtection="1">
      <alignment horizontal="left"/>
    </xf>
    <xf numFmtId="0" fontId="15" fillId="0" borderId="0" xfId="2" applyFont="1" applyBorder="1" applyAlignment="1" applyProtection="1">
      <alignment horizontal="left"/>
    </xf>
    <xf numFmtId="0" fontId="4" fillId="0" borderId="0" xfId="2" applyFont="1" applyBorder="1" applyAlignment="1" applyProtection="1">
      <alignment horizontal="center"/>
    </xf>
    <xf numFmtId="0" fontId="15" fillId="0" borderId="0" xfId="2" applyFont="1" applyBorder="1" applyAlignment="1" applyProtection="1">
      <alignment horizontal="center"/>
    </xf>
    <xf numFmtId="0" fontId="150" fillId="0" borderId="0" xfId="2" applyFont="1" applyBorder="1" applyAlignment="1" applyProtection="1">
      <alignment horizontal="center"/>
    </xf>
    <xf numFmtId="0" fontId="4" fillId="0" borderId="0" xfId="2" applyFont="1" applyAlignment="1" applyProtection="1">
      <alignment horizontal="center"/>
    </xf>
    <xf numFmtId="204" fontId="4" fillId="0" borderId="0" xfId="2" applyNumberFormat="1" applyFont="1" applyAlignment="1" applyProtection="1">
      <alignment horizontal="center"/>
    </xf>
    <xf numFmtId="0" fontId="36" fillId="0" borderId="0" xfId="2" applyFont="1" applyAlignment="1" applyProtection="1">
      <alignment horizontal="center"/>
      <protection locked="0"/>
    </xf>
    <xf numFmtId="0" fontId="4" fillId="0" borderId="0" xfId="2" applyFont="1" applyProtection="1"/>
    <xf numFmtId="0" fontId="69" fillId="0" borderId="0" xfId="2" applyFont="1" applyFill="1" applyBorder="1" applyAlignment="1" applyProtection="1">
      <alignment vertical="top"/>
    </xf>
    <xf numFmtId="0" fontId="156" fillId="0" borderId="0" xfId="2" applyFont="1" applyFill="1" applyBorder="1" applyAlignment="1" applyProtection="1">
      <alignment vertical="top"/>
    </xf>
    <xf numFmtId="0" fontId="24" fillId="0" borderId="0" xfId="2" quotePrefix="1" applyFont="1" applyFill="1" applyBorder="1" applyAlignment="1" applyProtection="1">
      <alignment horizontal="left"/>
    </xf>
    <xf numFmtId="175" fontId="12" fillId="0" borderId="0" xfId="2" applyNumberFormat="1" applyFont="1" applyFill="1" applyBorder="1" applyAlignment="1" applyProtection="1">
      <alignment horizontal="right"/>
    </xf>
    <xf numFmtId="175" fontId="12" fillId="2" borderId="0" xfId="2" applyNumberFormat="1" applyFont="1" applyFill="1" applyBorder="1" applyAlignment="1" applyProtection="1">
      <alignment horizontal="right"/>
    </xf>
    <xf numFmtId="0" fontId="157" fillId="0" borderId="0" xfId="2" applyFont="1" applyFill="1" applyBorder="1" applyProtection="1">
      <protection locked="0"/>
    </xf>
    <xf numFmtId="0" fontId="4" fillId="0" borderId="23" xfId="2" quotePrefix="1" applyFont="1" applyFill="1" applyBorder="1" applyAlignment="1" applyProtection="1">
      <alignment horizontal="left" wrapText="1"/>
    </xf>
    <xf numFmtId="175" fontId="12" fillId="0" borderId="23" xfId="2" applyNumberFormat="1" applyFont="1" applyFill="1" applyBorder="1" applyAlignment="1" applyProtection="1">
      <alignment horizontal="right"/>
    </xf>
    <xf numFmtId="175" fontId="12" fillId="0" borderId="23" xfId="2" applyNumberFormat="1" applyFont="1" applyFill="1" applyBorder="1" applyProtection="1">
      <protection locked="0"/>
    </xf>
    <xf numFmtId="175" fontId="12" fillId="2" borderId="23" xfId="2" applyNumberFormat="1" applyFont="1" applyFill="1" applyBorder="1" applyProtection="1">
      <protection locked="0"/>
    </xf>
    <xf numFmtId="175" fontId="157" fillId="0" borderId="0" xfId="2" applyNumberFormat="1" applyFont="1" applyFill="1" applyBorder="1" applyProtection="1">
      <protection locked="0"/>
    </xf>
    <xf numFmtId="0" fontId="27" fillId="0" borderId="0" xfId="2" applyFont="1" applyFill="1" applyBorder="1" applyAlignment="1" applyProtection="1">
      <alignment wrapText="1"/>
    </xf>
    <xf numFmtId="175" fontId="155" fillId="0" borderId="0" xfId="2" applyNumberFormat="1" applyFont="1" applyFill="1" applyBorder="1" applyAlignment="1" applyProtection="1">
      <alignment horizontal="right"/>
    </xf>
    <xf numFmtId="0" fontId="4" fillId="0" borderId="0" xfId="2" quotePrefix="1" applyFont="1" applyFill="1" applyBorder="1" applyAlignment="1" applyProtection="1">
      <alignment horizontal="left"/>
    </xf>
    <xf numFmtId="175" fontId="12" fillId="0" borderId="0" xfId="2" applyNumberFormat="1" applyFont="1" applyFill="1" applyBorder="1" applyProtection="1">
      <protection locked="0"/>
    </xf>
    <xf numFmtId="175" fontId="12" fillId="2" borderId="0" xfId="2" applyNumberFormat="1" applyFont="1" applyFill="1" applyBorder="1" applyProtection="1">
      <protection locked="0"/>
    </xf>
    <xf numFmtId="0" fontId="4" fillId="0" borderId="23" xfId="2" quotePrefix="1" applyFont="1" applyFill="1" applyBorder="1" applyAlignment="1" applyProtection="1">
      <alignment horizontal="left"/>
    </xf>
    <xf numFmtId="0" fontId="150" fillId="0" borderId="0" xfId="2" applyFont="1" applyBorder="1" applyAlignment="1" applyProtection="1">
      <alignment vertical="top"/>
    </xf>
    <xf numFmtId="204" fontId="150" fillId="0" borderId="0" xfId="2" applyNumberFormat="1" applyFont="1" applyBorder="1" applyAlignment="1" applyProtection="1">
      <alignment vertical="top"/>
    </xf>
    <xf numFmtId="204" fontId="150" fillId="0" borderId="0" xfId="2" applyNumberFormat="1" applyFont="1" applyFill="1" applyBorder="1" applyProtection="1"/>
    <xf numFmtId="175" fontId="4" fillId="0" borderId="0" xfId="2" applyNumberFormat="1" applyFont="1" applyFill="1" applyBorder="1" applyProtection="1">
      <protection locked="0"/>
    </xf>
    <xf numFmtId="175" fontId="4" fillId="2" borderId="0" xfId="2" applyNumberFormat="1" applyFont="1" applyFill="1" applyBorder="1" applyProtection="1">
      <protection locked="0"/>
    </xf>
    <xf numFmtId="0" fontId="4" fillId="0" borderId="0" xfId="2" applyFont="1" applyBorder="1" applyAlignment="1">
      <alignment horizontal="left"/>
    </xf>
    <xf numFmtId="185" fontId="4" fillId="0" borderId="0" xfId="2" applyNumberFormat="1" applyFont="1" applyBorder="1" applyAlignment="1">
      <alignment horizontal="right"/>
    </xf>
    <xf numFmtId="185" fontId="4" fillId="2" borderId="0" xfId="2" applyNumberFormat="1" applyFont="1" applyFill="1" applyBorder="1" applyAlignment="1">
      <alignment horizontal="right"/>
    </xf>
    <xf numFmtId="175" fontId="8" fillId="2" borderId="0" xfId="2" applyNumberFormat="1" applyFont="1" applyFill="1" applyBorder="1" applyProtection="1">
      <protection locked="0"/>
    </xf>
    <xf numFmtId="0" fontId="4" fillId="0" borderId="0" xfId="2" applyFont="1" applyFill="1" applyAlignment="1" applyProtection="1">
      <alignment horizontal="left"/>
    </xf>
    <xf numFmtId="204" fontId="150" fillId="0" borderId="0" xfId="2" applyNumberFormat="1" applyFont="1" applyBorder="1" applyProtection="1"/>
    <xf numFmtId="0" fontId="25" fillId="0" borderId="0" xfId="2" applyFont="1" applyAlignment="1" applyProtection="1">
      <alignment vertical="top"/>
    </xf>
    <xf numFmtId="204" fontId="150" fillId="0" borderId="0" xfId="2" applyNumberFormat="1" applyFont="1" applyBorder="1" applyProtection="1">
      <protection locked="0"/>
    </xf>
    <xf numFmtId="0" fontId="34" fillId="0" borderId="0" xfId="2" applyFont="1" applyAlignment="1" applyProtection="1">
      <alignment vertical="top"/>
    </xf>
    <xf numFmtId="0" fontId="36" fillId="0" borderId="0" xfId="2" applyFont="1" applyAlignment="1" applyProtection="1">
      <alignment vertical="top"/>
    </xf>
    <xf numFmtId="0" fontId="0" fillId="0" borderId="0" xfId="2" applyFont="1" applyAlignment="1" applyProtection="1">
      <alignment horizontal="center" vertical="top"/>
    </xf>
    <xf numFmtId="0" fontId="41" fillId="0" borderId="6" xfId="2" applyFont="1" applyBorder="1" applyAlignment="1" applyProtection="1"/>
    <xf numFmtId="0" fontId="41" fillId="0" borderId="0" xfId="2" applyFont="1" applyFill="1" applyBorder="1" applyAlignment="1" applyProtection="1">
      <alignment horizontal="left"/>
    </xf>
    <xf numFmtId="0" fontId="41" fillId="0" borderId="0" xfId="2" applyFont="1" applyBorder="1" applyAlignment="1" applyProtection="1">
      <alignment horizontal="left"/>
    </xf>
    <xf numFmtId="0" fontId="28" fillId="0" borderId="0" xfId="2" applyFont="1" applyBorder="1" applyAlignment="1" applyProtection="1">
      <alignment horizontal="center"/>
    </xf>
    <xf numFmtId="0" fontId="41" fillId="0" borderId="0" xfId="2" applyFont="1" applyBorder="1" applyAlignment="1" applyProtection="1">
      <alignment horizontal="center"/>
    </xf>
    <xf numFmtId="0" fontId="75" fillId="0" borderId="0" xfId="2" applyFont="1" applyBorder="1" applyAlignment="1" applyProtection="1">
      <alignment horizontal="center"/>
    </xf>
    <xf numFmtId="0" fontId="28" fillId="0" borderId="0" xfId="2" applyFont="1" applyAlignment="1" applyProtection="1">
      <alignment horizontal="center"/>
    </xf>
    <xf numFmtId="0" fontId="75" fillId="0" borderId="0" xfId="2" applyFont="1" applyAlignment="1" applyProtection="1">
      <alignment horizontal="center"/>
      <protection locked="0"/>
    </xf>
    <xf numFmtId="0" fontId="0" fillId="0" borderId="0" xfId="2" applyFont="1" applyAlignment="1" applyProtection="1">
      <alignment horizontal="center"/>
      <protection locked="0"/>
    </xf>
    <xf numFmtId="0" fontId="28" fillId="0" borderId="0" xfId="2" applyFont="1" applyProtection="1"/>
    <xf numFmtId="0" fontId="41" fillId="0" borderId="26" xfId="2" quotePrefix="1" applyFont="1" applyBorder="1" applyAlignment="1">
      <alignment horizontal="right"/>
    </xf>
    <xf numFmtId="17" fontId="41" fillId="0" borderId="26" xfId="2" quotePrefix="1" applyNumberFormat="1" applyFont="1" applyBorder="1" applyAlignment="1">
      <alignment horizontal="right"/>
    </xf>
    <xf numFmtId="0" fontId="57" fillId="0" borderId="26" xfId="2" quotePrefix="1" applyFont="1" applyFill="1" applyBorder="1" applyAlignment="1">
      <alignment horizontal="right"/>
    </xf>
    <xf numFmtId="0" fontId="28" fillId="0" borderId="23" xfId="2" applyFont="1" applyBorder="1" applyProtection="1"/>
    <xf numFmtId="204" fontId="28" fillId="0" borderId="23" xfId="2" applyNumberFormat="1" applyFont="1" applyBorder="1" applyAlignment="1" applyProtection="1">
      <alignment horizontal="right"/>
    </xf>
    <xf numFmtId="0" fontId="28" fillId="0" borderId="23" xfId="2" applyFont="1" applyBorder="1" applyProtection="1">
      <protection locked="0"/>
    </xf>
    <xf numFmtId="204" fontId="28" fillId="2" borderId="23" xfId="2" applyNumberFormat="1" applyFont="1" applyFill="1" applyBorder="1" applyAlignment="1" applyProtection="1">
      <alignment horizontal="right"/>
    </xf>
    <xf numFmtId="204" fontId="28" fillId="0" borderId="23" xfId="2" applyNumberFormat="1" applyFont="1" applyFill="1" applyBorder="1" applyAlignment="1" applyProtection="1">
      <alignment horizontal="right"/>
    </xf>
    <xf numFmtId="204" fontId="28" fillId="26" borderId="23" xfId="2" applyNumberFormat="1" applyFont="1" applyFill="1" applyBorder="1" applyAlignment="1" applyProtection="1">
      <alignment horizontal="right"/>
    </xf>
    <xf numFmtId="0" fontId="28" fillId="0" borderId="0" xfId="2" applyFont="1" applyBorder="1" applyAlignment="1" applyProtection="1">
      <alignment horizontal="left"/>
    </xf>
    <xf numFmtId="204" fontId="41" fillId="0" borderId="0" xfId="2" applyNumberFormat="1" applyFont="1" applyBorder="1" applyAlignment="1" applyProtection="1">
      <alignment horizontal="right"/>
    </xf>
    <xf numFmtId="204" fontId="41" fillId="2" borderId="0" xfId="2" applyNumberFormat="1" applyFont="1" applyFill="1" applyBorder="1" applyAlignment="1" applyProtection="1">
      <alignment horizontal="right"/>
    </xf>
    <xf numFmtId="0" fontId="28" fillId="0" borderId="0" xfId="2" applyFont="1" applyFill="1" applyBorder="1" applyAlignment="1" applyProtection="1">
      <alignment horizontal="left"/>
    </xf>
    <xf numFmtId="204" fontId="28" fillId="0" borderId="0" xfId="2" applyNumberFormat="1" applyFont="1" applyFill="1" applyBorder="1" applyAlignment="1" applyProtection="1">
      <alignment horizontal="right"/>
    </xf>
    <xf numFmtId="0" fontId="28" fillId="0" borderId="0" xfId="2" applyFont="1" applyFill="1" applyProtection="1">
      <protection locked="0"/>
    </xf>
    <xf numFmtId="0" fontId="28" fillId="0" borderId="0" xfId="2" quotePrefix="1" applyFont="1" applyFill="1" applyBorder="1" applyAlignment="1">
      <alignment horizontal="left"/>
    </xf>
    <xf numFmtId="0" fontId="41" fillId="0" borderId="0" xfId="2" quotePrefix="1" applyFont="1" applyFill="1" applyBorder="1" applyAlignment="1">
      <alignment horizontal="right"/>
    </xf>
    <xf numFmtId="185" fontId="28" fillId="0" borderId="0" xfId="2" applyNumberFormat="1" applyFont="1" applyFill="1" applyBorder="1" applyAlignment="1">
      <alignment horizontal="right"/>
    </xf>
    <xf numFmtId="0" fontId="28" fillId="0" borderId="23" xfId="2" applyFont="1" applyFill="1" applyBorder="1" applyAlignment="1">
      <alignment horizontal="left"/>
    </xf>
    <xf numFmtId="185" fontId="28" fillId="0" borderId="23" xfId="2" applyNumberFormat="1" applyFont="1" applyFill="1" applyBorder="1" applyAlignment="1">
      <alignment horizontal="right"/>
    </xf>
    <xf numFmtId="0" fontId="28" fillId="0" borderId="0" xfId="2" applyFont="1" applyBorder="1" applyAlignment="1">
      <alignment horizontal="left"/>
    </xf>
    <xf numFmtId="185" fontId="28" fillId="0" borderId="0" xfId="2" applyNumberFormat="1" applyFont="1" applyBorder="1" applyAlignment="1">
      <alignment horizontal="right"/>
    </xf>
    <xf numFmtId="185" fontId="28" fillId="2" borderId="0" xfId="2" applyNumberFormat="1" applyFont="1" applyFill="1" applyBorder="1" applyAlignment="1">
      <alignment horizontal="right"/>
    </xf>
    <xf numFmtId="204" fontId="28" fillId="0" borderId="0" xfId="2" applyNumberFormat="1" applyFont="1" applyBorder="1" applyAlignment="1" applyProtection="1">
      <alignment horizontal="right"/>
    </xf>
    <xf numFmtId="204" fontId="28" fillId="2" borderId="0" xfId="2" applyNumberFormat="1" applyFont="1" applyFill="1" applyBorder="1" applyAlignment="1" applyProtection="1">
      <alignment horizontal="right"/>
    </xf>
    <xf numFmtId="0" fontId="28" fillId="0" borderId="6" xfId="2" applyFont="1" applyBorder="1" applyAlignment="1">
      <alignment horizontal="left"/>
    </xf>
    <xf numFmtId="185" fontId="28" fillId="0" borderId="6" xfId="2" applyNumberFormat="1" applyFont="1" applyBorder="1" applyAlignment="1">
      <alignment horizontal="right"/>
    </xf>
    <xf numFmtId="185" fontId="28" fillId="2" borderId="6" xfId="2" applyNumberFormat="1" applyFont="1" applyFill="1" applyBorder="1" applyAlignment="1">
      <alignment horizontal="right"/>
    </xf>
    <xf numFmtId="0" fontId="3" fillId="0" borderId="0" xfId="2" applyFont="1" applyAlignment="1" applyProtection="1">
      <alignment vertical="top"/>
    </xf>
    <xf numFmtId="0" fontId="41" fillId="0" borderId="6" xfId="2" applyFont="1" applyBorder="1" applyAlignment="1">
      <alignment horizontal="left"/>
    </xf>
    <xf numFmtId="185" fontId="41" fillId="0" borderId="6" xfId="2" applyNumberFormat="1" applyFont="1" applyBorder="1" applyAlignment="1">
      <alignment horizontal="right"/>
    </xf>
    <xf numFmtId="185" fontId="41" fillId="2" borderId="6" xfId="2" applyNumberFormat="1" applyFont="1" applyFill="1" applyBorder="1" applyAlignment="1">
      <alignment horizontal="right"/>
    </xf>
    <xf numFmtId="185" fontId="41" fillId="0" borderId="6" xfId="2" applyNumberFormat="1" applyFont="1" applyFill="1" applyBorder="1" applyAlignment="1">
      <alignment horizontal="right"/>
    </xf>
    <xf numFmtId="0" fontId="3" fillId="0" borderId="0" xfId="2" applyFont="1" applyProtection="1">
      <protection locked="0"/>
    </xf>
    <xf numFmtId="0" fontId="28" fillId="2" borderId="0" xfId="2" applyFont="1" applyFill="1" applyAlignment="1" applyProtection="1">
      <alignment horizontal="center"/>
    </xf>
    <xf numFmtId="0" fontId="26" fillId="2" borderId="6" xfId="2" applyFont="1" applyFill="1" applyBorder="1" applyAlignment="1" applyProtection="1">
      <alignment horizontal="center"/>
      <protection locked="0"/>
    </xf>
    <xf numFmtId="0" fontId="26" fillId="0" borderId="6" xfId="2" applyFont="1" applyFill="1" applyBorder="1" applyAlignment="1" applyProtection="1">
      <alignment horizontal="center"/>
      <protection locked="0"/>
    </xf>
    <xf numFmtId="0" fontId="41" fillId="2" borderId="26" xfId="2" quotePrefix="1" applyFont="1" applyFill="1" applyBorder="1" applyAlignment="1">
      <alignment horizontal="right"/>
    </xf>
    <xf numFmtId="0" fontId="41" fillId="2" borderId="0" xfId="2" applyFont="1" applyFill="1" applyAlignment="1" applyProtection="1">
      <alignment horizontal="right"/>
      <protection locked="0"/>
    </xf>
    <xf numFmtId="0" fontId="41" fillId="0" borderId="0" xfId="2" applyFont="1" applyFill="1" applyAlignment="1" applyProtection="1">
      <alignment horizontal="right"/>
      <protection locked="0"/>
    </xf>
    <xf numFmtId="185" fontId="41" fillId="0" borderId="2" xfId="2" applyNumberFormat="1" applyFont="1" applyBorder="1" applyAlignment="1">
      <alignment horizontal="right"/>
    </xf>
    <xf numFmtId="0" fontId="41" fillId="0" borderId="0" xfId="2" applyFont="1" applyBorder="1" applyAlignment="1">
      <alignment horizontal="left"/>
    </xf>
    <xf numFmtId="185" fontId="41" fillId="0" borderId="0" xfId="2" applyNumberFormat="1" applyFont="1" applyBorder="1" applyAlignment="1">
      <alignment horizontal="center"/>
    </xf>
    <xf numFmtId="0" fontId="57" fillId="0" borderId="0" xfId="2" applyFont="1" applyAlignment="1" applyProtection="1">
      <alignment horizontal="center"/>
      <protection locked="0"/>
    </xf>
    <xf numFmtId="2" fontId="3" fillId="0" borderId="0" xfId="2" applyNumberFormat="1" applyFont="1" applyProtection="1">
      <protection locked="0"/>
    </xf>
    <xf numFmtId="0" fontId="8" fillId="0" borderId="0" xfId="2" applyFont="1" applyFill="1" applyAlignment="1" applyProtection="1">
      <alignment horizontal="left"/>
    </xf>
    <xf numFmtId="204" fontId="0" fillId="0" borderId="0" xfId="2" applyNumberFormat="1" applyFont="1" applyBorder="1" applyProtection="1"/>
    <xf numFmtId="204" fontId="0" fillId="0" borderId="0" xfId="2" applyNumberFormat="1" applyFont="1" applyBorder="1" applyProtection="1">
      <protection locked="0"/>
    </xf>
    <xf numFmtId="0" fontId="118" fillId="0" borderId="0" xfId="2" applyFont="1" applyBorder="1" applyAlignment="1" applyProtection="1">
      <alignment horizontal="center" vertical="top"/>
    </xf>
    <xf numFmtId="0" fontId="14" fillId="0" borderId="0" xfId="2" applyFont="1" applyBorder="1" applyAlignment="1" applyProtection="1"/>
    <xf numFmtId="0" fontId="14" fillId="0" borderId="0" xfId="2" applyFont="1" applyFill="1" applyBorder="1" applyAlignment="1" applyProtection="1">
      <alignment horizontal="left" vertical="top"/>
    </xf>
    <xf numFmtId="0" fontId="118" fillId="0" borderId="0" xfId="2" applyFont="1" applyBorder="1" applyAlignment="1" applyProtection="1">
      <alignment horizontal="center"/>
      <protection locked="0"/>
    </xf>
    <xf numFmtId="0" fontId="14" fillId="0" borderId="0" xfId="2" applyFont="1" applyBorder="1" applyAlignment="1" applyProtection="1">
      <alignment horizontal="center"/>
    </xf>
    <xf numFmtId="0" fontId="11" fillId="0" borderId="0" xfId="2" applyFont="1" applyBorder="1" applyAlignment="1" applyProtection="1">
      <alignment horizontal="center"/>
    </xf>
    <xf numFmtId="0" fontId="11" fillId="0" borderId="0" xfId="2" applyFont="1" applyBorder="1" applyAlignment="1" applyProtection="1">
      <alignment horizontal="center"/>
      <protection locked="0"/>
    </xf>
    <xf numFmtId="0" fontId="119" fillId="0" borderId="0" xfId="2" applyFont="1" applyBorder="1" applyAlignment="1" applyProtection="1">
      <alignment vertical="top"/>
    </xf>
    <xf numFmtId="0" fontId="118" fillId="2" borderId="26" xfId="0" applyFont="1" applyFill="1" applyBorder="1" applyAlignment="1">
      <alignment horizontal="center" vertical="top" wrapText="1"/>
    </xf>
    <xf numFmtId="0" fontId="14" fillId="2" borderId="26" xfId="2" quotePrefix="1" applyFont="1" applyFill="1" applyBorder="1" applyAlignment="1">
      <alignment horizontal="center" vertical="top" wrapText="1"/>
    </xf>
    <xf numFmtId="17" fontId="14" fillId="2" borderId="26" xfId="2" quotePrefix="1" applyNumberFormat="1" applyFont="1" applyFill="1" applyBorder="1" applyAlignment="1">
      <alignment horizontal="center" vertical="top" wrapText="1"/>
    </xf>
    <xf numFmtId="0" fontId="14" fillId="0" borderId="26" xfId="2" applyFont="1" applyFill="1" applyBorder="1" applyAlignment="1" applyProtection="1">
      <alignment horizontal="center" vertical="top" wrapText="1"/>
      <protection locked="0"/>
    </xf>
    <xf numFmtId="185" fontId="11" fillId="0" borderId="0" xfId="2" applyNumberFormat="1" applyFont="1" applyBorder="1" applyAlignment="1">
      <alignment horizontal="right"/>
    </xf>
    <xf numFmtId="185" fontId="11" fillId="0" borderId="0" xfId="2" applyNumberFormat="1" applyFont="1" applyBorder="1" applyAlignment="1">
      <alignment horizontal="center" vertical="top"/>
    </xf>
    <xf numFmtId="185" fontId="8" fillId="0" borderId="0" xfId="2" applyNumberFormat="1" applyFont="1" applyFill="1" applyBorder="1" applyAlignment="1">
      <alignment horizontal="center" vertical="top"/>
    </xf>
    <xf numFmtId="185" fontId="11" fillId="0" borderId="42" xfId="2" applyNumberFormat="1" applyFont="1" applyBorder="1" applyAlignment="1">
      <alignment horizontal="left" vertical="top" wrapText="1"/>
    </xf>
    <xf numFmtId="185" fontId="11" fillId="0" borderId="42" xfId="2" applyNumberFormat="1" applyFont="1" applyBorder="1" applyAlignment="1">
      <alignment horizontal="right"/>
    </xf>
    <xf numFmtId="9" fontId="14" fillId="0" borderId="42" xfId="1" applyFont="1" applyBorder="1" applyAlignment="1">
      <alignment horizontal="center" vertical="top"/>
    </xf>
    <xf numFmtId="9" fontId="7" fillId="0" borderId="42" xfId="1" applyFont="1" applyFill="1" applyBorder="1" applyAlignment="1">
      <alignment horizontal="center" vertical="top"/>
    </xf>
    <xf numFmtId="185" fontId="7" fillId="0" borderId="0" xfId="2" applyNumberFormat="1" applyFont="1" applyFill="1" applyBorder="1" applyAlignment="1">
      <alignment horizontal="center" vertical="top"/>
    </xf>
    <xf numFmtId="185" fontId="14" fillId="0" borderId="0" xfId="2" applyNumberFormat="1" applyFont="1" applyBorder="1" applyAlignment="1">
      <alignment horizontal="left" vertical="top" wrapText="1"/>
    </xf>
    <xf numFmtId="0" fontId="14" fillId="0" borderId="0" xfId="2" applyFont="1" applyFill="1" applyBorder="1" applyAlignment="1" applyProtection="1">
      <alignment horizontal="center" vertical="top"/>
    </xf>
    <xf numFmtId="0" fontId="118" fillId="2" borderId="26" xfId="0" applyFont="1" applyFill="1" applyBorder="1" applyAlignment="1">
      <alignment horizontal="left" vertical="top" wrapText="1"/>
    </xf>
    <xf numFmtId="0" fontId="7" fillId="0" borderId="26" xfId="2" applyFont="1" applyFill="1" applyBorder="1" applyAlignment="1" applyProtection="1">
      <alignment horizontal="center" vertical="top" wrapText="1"/>
      <protection locked="0"/>
    </xf>
    <xf numFmtId="185" fontId="11" fillId="2" borderId="0" xfId="2" applyNumberFormat="1" applyFont="1" applyFill="1" applyBorder="1" applyAlignment="1">
      <alignment horizontal="center"/>
    </xf>
    <xf numFmtId="185" fontId="8" fillId="0" borderId="0" xfId="2" applyNumberFormat="1" applyFont="1" applyFill="1" applyBorder="1" applyAlignment="1">
      <alignment horizontal="center"/>
    </xf>
    <xf numFmtId="185" fontId="14" fillId="0" borderId="42" xfId="2" applyNumberFormat="1" applyFont="1" applyBorder="1" applyAlignment="1">
      <alignment horizontal="right"/>
    </xf>
    <xf numFmtId="9" fontId="14" fillId="0" borderId="42" xfId="1" applyFont="1" applyFill="1" applyBorder="1" applyAlignment="1">
      <alignment horizontal="center" vertical="top"/>
    </xf>
    <xf numFmtId="204" fontId="118" fillId="0" borderId="0" xfId="2" applyNumberFormat="1" applyFont="1" applyBorder="1" applyProtection="1"/>
    <xf numFmtId="0" fontId="8" fillId="0" borderId="26" xfId="2" applyFont="1" applyBorder="1" applyProtection="1"/>
    <xf numFmtId="49" fontId="8" fillId="0" borderId="0" xfId="2" applyNumberFormat="1" applyFont="1" applyBorder="1" applyAlignment="1" applyProtection="1">
      <alignment wrapText="1"/>
    </xf>
    <xf numFmtId="172" fontId="8" fillId="0" borderId="0" xfId="2" applyNumberFormat="1" applyFont="1" applyFill="1" applyBorder="1" applyAlignment="1" applyProtection="1">
      <alignment horizontal="right"/>
    </xf>
    <xf numFmtId="172" fontId="8" fillId="0" borderId="6" xfId="2" applyNumberFormat="1" applyFont="1" applyFill="1" applyBorder="1" applyAlignment="1" applyProtection="1">
      <alignment horizontal="right"/>
    </xf>
    <xf numFmtId="172" fontId="6" fillId="0" borderId="0" xfId="2" applyNumberFormat="1" applyFont="1" applyFill="1" applyProtection="1"/>
    <xf numFmtId="0" fontId="6" fillId="2" borderId="0" xfId="2" applyFont="1" applyFill="1" applyProtection="1"/>
    <xf numFmtId="0" fontId="6" fillId="0" borderId="0" xfId="2" applyFont="1" applyFill="1" applyAlignment="1" applyProtection="1">
      <alignment horizontal="left"/>
    </xf>
    <xf numFmtId="0" fontId="15" fillId="0" borderId="0" xfId="2" applyFont="1" applyBorder="1" applyProtection="1"/>
    <xf numFmtId="0" fontId="6" fillId="0" borderId="0" xfId="2" applyFont="1" applyBorder="1" applyAlignment="1" applyProtection="1">
      <alignment vertical="top" wrapText="1"/>
    </xf>
    <xf numFmtId="0" fontId="6" fillId="0" borderId="0" xfId="2" applyFont="1" applyFill="1" applyBorder="1" applyAlignment="1" applyProtection="1">
      <alignment wrapText="1"/>
    </xf>
    <xf numFmtId="0" fontId="8" fillId="0" borderId="0" xfId="2" applyFont="1"/>
    <xf numFmtId="0" fontId="8" fillId="0" borderId="0" xfId="2" applyFont="1" applyAlignment="1"/>
    <xf numFmtId="0" fontId="13" fillId="0" borderId="0" xfId="2" applyFont="1" applyAlignment="1">
      <alignment vertical="top"/>
    </xf>
    <xf numFmtId="0" fontId="8" fillId="0" borderId="0" xfId="2" applyFont="1" applyAlignment="1">
      <alignment vertical="top"/>
    </xf>
    <xf numFmtId="17" fontId="14" fillId="2" borderId="0" xfId="2" quotePrefix="1" applyNumberFormat="1" applyFont="1" applyFill="1" applyBorder="1" applyAlignment="1">
      <alignment horizontal="right"/>
    </xf>
    <xf numFmtId="0" fontId="14" fillId="2" borderId="0" xfId="2" quotePrefix="1" applyFont="1" applyFill="1" applyBorder="1" applyAlignment="1">
      <alignment horizontal="right"/>
    </xf>
    <xf numFmtId="0" fontId="14" fillId="2" borderId="26" xfId="2" quotePrefix="1" applyFont="1" applyFill="1" applyBorder="1" applyAlignment="1">
      <alignment horizontal="right"/>
    </xf>
    <xf numFmtId="0" fontId="11" fillId="0" borderId="0" xfId="2" applyFont="1" applyBorder="1" applyAlignment="1">
      <alignment horizontal="left"/>
    </xf>
    <xf numFmtId="0" fontId="11" fillId="2" borderId="0" xfId="2" applyFont="1" applyFill="1" applyBorder="1" applyAlignment="1">
      <alignment horizontal="right"/>
    </xf>
    <xf numFmtId="0" fontId="8" fillId="0" borderId="6" xfId="2" applyFont="1" applyBorder="1" applyAlignment="1">
      <alignment horizontal="left" wrapText="1"/>
    </xf>
    <xf numFmtId="175" fontId="11" fillId="2" borderId="6" xfId="2" applyNumberFormat="1" applyFont="1" applyFill="1" applyBorder="1" applyAlignment="1">
      <alignment horizontal="right"/>
    </xf>
    <xf numFmtId="0" fontId="8" fillId="0" borderId="0" xfId="2" applyFont="1" applyBorder="1" applyAlignment="1">
      <alignment horizontal="left" wrapText="1"/>
    </xf>
    <xf numFmtId="0" fontId="8" fillId="0" borderId="0" xfId="2" applyFont="1" applyBorder="1" applyAlignment="1"/>
    <xf numFmtId="0" fontId="11" fillId="0" borderId="0" xfId="2" applyFont="1" applyBorder="1" applyAlignment="1"/>
    <xf numFmtId="0" fontId="11" fillId="0" borderId="0" xfId="2" applyFont="1" applyFill="1" applyBorder="1" applyAlignment="1"/>
    <xf numFmtId="0" fontId="8" fillId="0" borderId="0" xfId="2" applyFont="1" applyFill="1" applyAlignment="1">
      <alignment horizontal="left"/>
    </xf>
    <xf numFmtId="0" fontId="4" fillId="0" borderId="0" xfId="2" applyAlignment="1">
      <alignment vertical="top"/>
    </xf>
    <xf numFmtId="0" fontId="4" fillId="0" borderId="0" xfId="2"/>
    <xf numFmtId="0" fontId="4" fillId="0" borderId="0" xfId="2" applyAlignment="1">
      <alignment horizontal="right"/>
    </xf>
    <xf numFmtId="0" fontId="4" fillId="0" borderId="15" xfId="2" applyBorder="1" applyAlignment="1">
      <alignment vertical="top"/>
    </xf>
    <xf numFmtId="0" fontId="4" fillId="0" borderId="16" xfId="2" applyBorder="1" applyAlignment="1">
      <alignment vertical="top" wrapText="1"/>
    </xf>
    <xf numFmtId="0" fontId="4" fillId="0" borderId="17" xfId="2" applyBorder="1" applyAlignment="1">
      <alignment vertical="top" wrapText="1"/>
    </xf>
    <xf numFmtId="0" fontId="4" fillId="0" borderId="0" xfId="2" applyAlignment="1">
      <alignment vertical="top" wrapText="1"/>
    </xf>
    <xf numFmtId="0" fontId="4" fillId="0" borderId="0" xfId="2" applyAlignment="1">
      <alignment horizontal="left" vertical="top" wrapText="1"/>
    </xf>
    <xf numFmtId="0" fontId="4" fillId="0" borderId="0" xfId="2" applyAlignment="1">
      <alignment horizontal="right" vertical="top" wrapText="1"/>
    </xf>
    <xf numFmtId="0" fontId="4" fillId="0" borderId="0" xfId="2" applyAlignment="1">
      <alignment wrapText="1"/>
    </xf>
    <xf numFmtId="0" fontId="5" fillId="0" borderId="0" xfId="2" applyFont="1" applyAlignment="1">
      <alignment wrapText="1"/>
    </xf>
    <xf numFmtId="0" fontId="7" fillId="0" borderId="0" xfId="2" applyFont="1" applyAlignment="1">
      <alignment horizontal="left"/>
    </xf>
    <xf numFmtId="0" fontId="15" fillId="0" borderId="0" xfId="2" applyFont="1" applyAlignment="1">
      <alignment horizontal="right"/>
    </xf>
    <xf numFmtId="0" fontId="8" fillId="0" borderId="26" xfId="2" applyFont="1" applyBorder="1" applyAlignment="1">
      <alignment horizontal="right"/>
    </xf>
    <xf numFmtId="0" fontId="31" fillId="0" borderId="0" xfId="2" applyFont="1" applyAlignment="1">
      <alignment vertical="top"/>
    </xf>
    <xf numFmtId="0" fontId="100" fillId="0" borderId="0" xfId="2" applyFont="1"/>
    <xf numFmtId="184" fontId="7" fillId="0" borderId="0" xfId="2" applyNumberFormat="1" applyFont="1" applyAlignment="1">
      <alignment horizontal="left"/>
    </xf>
    <xf numFmtId="0" fontId="8" fillId="0" borderId="0" xfId="2" applyFont="1" applyAlignment="1">
      <alignment horizontal="right" wrapText="1"/>
    </xf>
    <xf numFmtId="184" fontId="8" fillId="0" borderId="0" xfId="2" applyNumberFormat="1" applyFont="1" applyAlignment="1">
      <alignment horizontal="right"/>
    </xf>
    <xf numFmtId="3" fontId="7" fillId="0" borderId="0" xfId="15" applyNumberFormat="1" applyFont="1" applyAlignment="1">
      <alignment horizontal="right"/>
    </xf>
    <xf numFmtId="184" fontId="7" fillId="0" borderId="0" xfId="2" applyNumberFormat="1" applyFont="1" applyAlignment="1">
      <alignment horizontal="right"/>
    </xf>
    <xf numFmtId="3" fontId="8" fillId="0" borderId="0" xfId="2" applyNumberFormat="1" applyFont="1" applyFill="1"/>
    <xf numFmtId="3" fontId="8" fillId="0" borderId="0" xfId="2" applyNumberFormat="1" applyFont="1"/>
    <xf numFmtId="0" fontId="7" fillId="0" borderId="0" xfId="2" applyFont="1" applyAlignment="1">
      <alignment horizontal="left" vertical="top"/>
    </xf>
    <xf numFmtId="0" fontId="8" fillId="0" borderId="0" xfId="2" applyFont="1" applyAlignment="1">
      <alignment horizontal="left" vertical="top"/>
    </xf>
    <xf numFmtId="0" fontId="8" fillId="2" borderId="0" xfId="15" applyFont="1" applyFill="1" applyAlignment="1">
      <alignment horizontal="right" wrapText="1"/>
    </xf>
    <xf numFmtId="0" fontId="8" fillId="0" borderId="0" xfId="2" applyFont="1" applyAlignment="1">
      <alignment horizontal="left" wrapText="1"/>
    </xf>
    <xf numFmtId="3" fontId="8" fillId="0" borderId="0" xfId="2" applyNumberFormat="1" applyFont="1" applyAlignment="1">
      <alignment horizontal="right"/>
    </xf>
    <xf numFmtId="3" fontId="8" fillId="0" borderId="0" xfId="15" applyNumberFormat="1" applyFont="1" applyAlignment="1">
      <alignment horizontal="right"/>
    </xf>
    <xf numFmtId="3" fontId="8" fillId="0" borderId="0" xfId="2" applyNumberFormat="1" applyFont="1" applyFill="1" applyAlignment="1">
      <alignment horizontal="right"/>
    </xf>
    <xf numFmtId="0" fontId="8" fillId="0" borderId="0" xfId="2" applyFont="1" applyAlignment="1">
      <alignment horizontal="left"/>
    </xf>
    <xf numFmtId="3" fontId="44" fillId="0" borderId="0" xfId="2" applyNumberFormat="1" applyFont="1" applyAlignment="1">
      <alignment horizontal="right"/>
    </xf>
    <xf numFmtId="3" fontId="8" fillId="0" borderId="0" xfId="2" applyNumberFormat="1" applyFont="1" applyAlignment="1">
      <alignment horizontal="left"/>
    </xf>
    <xf numFmtId="184" fontId="8" fillId="0" borderId="23" xfId="2" applyNumberFormat="1" applyFont="1" applyBorder="1" applyAlignment="1">
      <alignment horizontal="right"/>
    </xf>
    <xf numFmtId="0" fontId="8" fillId="0" borderId="23" xfId="2" applyFont="1" applyBorder="1" applyAlignment="1">
      <alignment horizontal="right" wrapText="1"/>
    </xf>
    <xf numFmtId="0" fontId="8" fillId="0" borderId="0" xfId="2" applyFont="1" applyAlignment="1">
      <alignment horizontal="right"/>
    </xf>
    <xf numFmtId="3" fontId="44" fillId="0" borderId="0" xfId="2" applyNumberFormat="1" applyFont="1" applyFill="1"/>
    <xf numFmtId="0" fontId="8" fillId="2" borderId="0" xfId="2" applyFont="1" applyFill="1" applyAlignment="1">
      <alignment horizontal="left"/>
    </xf>
    <xf numFmtId="1" fontId="8" fillId="2" borderId="0" xfId="2" applyNumberFormat="1" applyFont="1" applyFill="1" applyAlignment="1">
      <alignment horizontal="right"/>
    </xf>
    <xf numFmtId="172" fontId="8" fillId="2" borderId="0" xfId="14" applyNumberFormat="1" applyFont="1" applyFill="1" applyBorder="1" applyAlignment="1">
      <alignment horizontal="right"/>
    </xf>
    <xf numFmtId="3" fontId="8" fillId="2" borderId="0" xfId="2" applyNumberFormat="1" applyFont="1" applyFill="1" applyAlignment="1">
      <alignment horizontal="right"/>
    </xf>
    <xf numFmtId="0" fontId="8" fillId="2" borderId="0" xfId="2" applyFont="1" applyFill="1" applyAlignment="1">
      <alignment horizontal="left" wrapText="1"/>
    </xf>
    <xf numFmtId="0" fontId="8" fillId="2" borderId="0" xfId="2" applyFont="1" applyFill="1" applyAlignment="1">
      <alignment horizontal="right" wrapText="1"/>
    </xf>
    <xf numFmtId="169" fontId="8" fillId="2" borderId="0" xfId="2" applyNumberFormat="1" applyFont="1" applyFill="1" applyAlignment="1">
      <alignment horizontal="right"/>
    </xf>
    <xf numFmtId="169" fontId="8" fillId="2" borderId="0" xfId="14" applyNumberFormat="1" applyFont="1" applyFill="1" applyBorder="1" applyAlignment="1">
      <alignment horizontal="right"/>
    </xf>
    <xf numFmtId="169" fontId="8" fillId="0" borderId="0" xfId="14" applyNumberFormat="1" applyFont="1" applyFill="1" applyBorder="1" applyAlignment="1">
      <alignment horizontal="right"/>
    </xf>
    <xf numFmtId="169" fontId="8" fillId="0" borderId="0" xfId="2" applyNumberFormat="1" applyFont="1"/>
    <xf numFmtId="0" fontId="44" fillId="0" borderId="0" xfId="2" applyFont="1" applyFill="1"/>
    <xf numFmtId="0" fontId="100" fillId="0" borderId="6" xfId="2" applyFont="1" applyBorder="1"/>
    <xf numFmtId="0" fontId="7" fillId="0" borderId="146" xfId="2" applyFont="1" applyBorder="1" applyAlignment="1">
      <alignment horizontal="left"/>
    </xf>
    <xf numFmtId="0" fontId="8" fillId="0" borderId="146" xfId="2" applyFont="1" applyBorder="1" applyAlignment="1">
      <alignment horizontal="right"/>
    </xf>
    <xf numFmtId="1" fontId="8" fillId="0" borderId="146" xfId="2" applyNumberFormat="1" applyFont="1" applyBorder="1" applyAlignment="1">
      <alignment horizontal="right"/>
    </xf>
    <xf numFmtId="3" fontId="8" fillId="0" borderId="146" xfId="2" applyNumberFormat="1" applyFont="1" applyBorder="1" applyAlignment="1">
      <alignment horizontal="right"/>
    </xf>
    <xf numFmtId="164" fontId="8" fillId="2" borderId="146" xfId="2" applyNumberFormat="1" applyFont="1" applyFill="1" applyBorder="1" applyAlignment="1">
      <alignment horizontal="right"/>
    </xf>
    <xf numFmtId="164" fontId="8" fillId="2" borderId="146" xfId="14" applyNumberFormat="1" applyFont="1" applyFill="1" applyBorder="1" applyAlignment="1">
      <alignment horizontal="right"/>
    </xf>
    <xf numFmtId="164" fontId="8" fillId="0" borderId="146" xfId="14" applyNumberFormat="1" applyFont="1" applyFill="1" applyBorder="1" applyAlignment="1">
      <alignment horizontal="right"/>
    </xf>
    <xf numFmtId="164" fontId="8" fillId="0" borderId="146" xfId="21" applyNumberFormat="1" applyFont="1" applyBorder="1" applyAlignment="1" applyProtection="1">
      <alignment horizontal="right"/>
      <protection locked="0"/>
    </xf>
    <xf numFmtId="164" fontId="8" fillId="0" borderId="146" xfId="2" applyNumberFormat="1" applyFont="1" applyBorder="1"/>
    <xf numFmtId="0" fontId="8" fillId="0" borderId="146" xfId="2" applyFont="1" applyBorder="1"/>
    <xf numFmtId="0" fontId="8" fillId="0" borderId="146" xfId="2" applyFont="1" applyFill="1" applyBorder="1"/>
    <xf numFmtId="0" fontId="44" fillId="0" borderId="146" xfId="2" applyFont="1" applyFill="1" applyBorder="1"/>
    <xf numFmtId="164" fontId="8" fillId="0" borderId="0" xfId="2" applyNumberFormat="1" applyFont="1" applyAlignment="1">
      <alignment horizontal="right"/>
    </xf>
    <xf numFmtId="207" fontId="8" fillId="0" borderId="0" xfId="2" applyNumberFormat="1" applyFont="1" applyAlignment="1">
      <alignment horizontal="right"/>
    </xf>
    <xf numFmtId="166" fontId="8" fillId="0" borderId="0" xfId="2" applyNumberFormat="1" applyFont="1" applyAlignment="1">
      <alignment horizontal="right"/>
    </xf>
    <xf numFmtId="0" fontId="44" fillId="0" borderId="0" xfId="2" applyFont="1"/>
    <xf numFmtId="0" fontId="44" fillId="0" borderId="0" xfId="2" applyFont="1" applyAlignment="1">
      <alignment vertical="top"/>
    </xf>
    <xf numFmtId="169" fontId="8" fillId="0" borderId="0" xfId="2" applyNumberFormat="1" applyFont="1" applyAlignment="1">
      <alignment horizontal="right"/>
    </xf>
    <xf numFmtId="0" fontId="8" fillId="0" borderId="0" xfId="2" applyFont="1" applyAlignment="1">
      <alignment wrapText="1"/>
    </xf>
    <xf numFmtId="0" fontId="52" fillId="0" borderId="0" xfId="2" applyFont="1"/>
    <xf numFmtId="0" fontId="4" fillId="0" borderId="23" xfId="2" applyBorder="1" applyAlignment="1">
      <alignment horizontal="left" vertical="top" wrapText="1"/>
    </xf>
    <xf numFmtId="0" fontId="4" fillId="0" borderId="15" xfId="2" applyFont="1" applyFill="1" applyBorder="1" applyAlignment="1">
      <alignment vertical="top" wrapText="1"/>
    </xf>
    <xf numFmtId="0" fontId="4" fillId="0" borderId="17" xfId="2" applyFont="1" applyFill="1" applyBorder="1" applyAlignment="1">
      <alignment vertical="top" wrapText="1"/>
    </xf>
    <xf numFmtId="0" fontId="140" fillId="0" borderId="0" xfId="2" applyFont="1" applyAlignment="1">
      <alignment vertical="top"/>
    </xf>
    <xf numFmtId="0" fontId="7" fillId="0" borderId="0" xfId="2" applyFont="1" applyBorder="1" applyAlignment="1">
      <alignment horizontal="left"/>
    </xf>
    <xf numFmtId="0" fontId="4" fillId="0" borderId="6" xfId="2" applyFont="1" applyFill="1" applyBorder="1"/>
    <xf numFmtId="0" fontId="7" fillId="0" borderId="26" xfId="2" applyFont="1" applyBorder="1" applyAlignment="1"/>
    <xf numFmtId="0" fontId="7" fillId="0" borderId="26" xfId="2" quotePrefix="1" applyFont="1" applyFill="1" applyBorder="1" applyAlignment="1">
      <alignment horizontal="right"/>
    </xf>
    <xf numFmtId="0" fontId="7" fillId="0" borderId="0" xfId="2" applyFont="1" applyAlignment="1">
      <alignment vertical="top"/>
    </xf>
    <xf numFmtId="0" fontId="7" fillId="0" borderId="42" xfId="2" applyFont="1" applyFill="1" applyBorder="1" applyAlignment="1">
      <alignment horizontal="left" wrapText="1"/>
    </xf>
    <xf numFmtId="0" fontId="7" fillId="2" borderId="6" xfId="2" applyFont="1" applyFill="1" applyBorder="1"/>
    <xf numFmtId="0" fontId="7" fillId="0" borderId="26" xfId="2" applyFont="1" applyBorder="1"/>
    <xf numFmtId="0" fontId="7" fillId="2" borderId="26" xfId="2" quotePrefix="1" applyFont="1" applyFill="1" applyBorder="1" applyAlignment="1">
      <alignment horizontal="right"/>
    </xf>
    <xf numFmtId="1" fontId="8" fillId="0" borderId="0" xfId="2" quotePrefix="1" applyNumberFormat="1" applyFont="1" applyFill="1" applyBorder="1" applyAlignment="1">
      <alignment horizontal="right"/>
    </xf>
    <xf numFmtId="0" fontId="8" fillId="0" borderId="0" xfId="2" applyFont="1" applyBorder="1" applyAlignment="1">
      <alignment wrapText="1"/>
    </xf>
    <xf numFmtId="0" fontId="0" fillId="0" borderId="0" xfId="2" applyFont="1" applyBorder="1" applyAlignment="1"/>
    <xf numFmtId="17" fontId="7" fillId="0" borderId="0" xfId="2" quotePrefix="1" applyNumberFormat="1" applyFont="1" applyBorder="1"/>
    <xf numFmtId="1" fontId="8" fillId="0" borderId="0" xfId="2" applyNumberFormat="1" applyFont="1" applyBorder="1"/>
    <xf numFmtId="1" fontId="8" fillId="0" borderId="0" xfId="2" quotePrefix="1" applyNumberFormat="1" applyFont="1" applyBorder="1"/>
    <xf numFmtId="1" fontId="8" fillId="0" borderId="0" xfId="2" quotePrefix="1" applyNumberFormat="1" applyFont="1" applyBorder="1" applyAlignment="1">
      <alignment horizontal="right"/>
    </xf>
    <xf numFmtId="1" fontId="8" fillId="2" borderId="0" xfId="2" quotePrefix="1" applyNumberFormat="1" applyFont="1" applyFill="1" applyBorder="1" applyAlignment="1">
      <alignment horizontal="right"/>
    </xf>
    <xf numFmtId="1" fontId="8" fillId="0" borderId="0" xfId="2" applyNumberFormat="1" applyFont="1" applyFill="1" applyBorder="1" applyAlignment="1">
      <alignment horizontal="left"/>
    </xf>
    <xf numFmtId="1" fontId="8" fillId="2" borderId="0" xfId="2" applyNumberFormat="1" applyFont="1" applyFill="1" applyBorder="1"/>
    <xf numFmtId="1" fontId="7" fillId="0" borderId="42" xfId="2" applyNumberFormat="1" applyFont="1" applyFill="1" applyBorder="1" applyAlignment="1">
      <alignment horizontal="left" wrapText="1"/>
    </xf>
    <xf numFmtId="1" fontId="7" fillId="0" borderId="42" xfId="2" applyNumberFormat="1" applyFont="1" applyFill="1" applyBorder="1" applyAlignment="1">
      <alignment horizontal="right" wrapText="1"/>
    </xf>
    <xf numFmtId="1" fontId="63" fillId="0" borderId="0" xfId="2" applyNumberFormat="1" applyFont="1" applyFill="1" applyBorder="1" applyAlignment="1">
      <alignment horizontal="right" wrapText="1"/>
    </xf>
    <xf numFmtId="0" fontId="4" fillId="0" borderId="0" xfId="2" applyFont="1" applyBorder="1" applyAlignment="1">
      <alignment wrapText="1"/>
    </xf>
    <xf numFmtId="17" fontId="8" fillId="0" borderId="26" xfId="2" quotePrefix="1" applyNumberFormat="1" applyFont="1" applyBorder="1"/>
    <xf numFmtId="17" fontId="7" fillId="0" borderId="26" xfId="2" quotePrefix="1" applyNumberFormat="1" applyFont="1" applyBorder="1"/>
    <xf numFmtId="0" fontId="8" fillId="0" borderId="42" xfId="2" applyFont="1" applyBorder="1"/>
    <xf numFmtId="0" fontId="8" fillId="0" borderId="86" xfId="2" applyFont="1" applyBorder="1"/>
    <xf numFmtId="0" fontId="63" fillId="2" borderId="6" xfId="2" applyFont="1" applyFill="1" applyBorder="1"/>
    <xf numFmtId="0" fontId="14" fillId="2" borderId="0" xfId="2" applyFont="1" applyFill="1" applyAlignment="1">
      <alignment horizontal="right"/>
    </xf>
    <xf numFmtId="0" fontId="14" fillId="2" borderId="26" xfId="2" applyFont="1" applyFill="1" applyBorder="1" applyAlignment="1">
      <alignment horizontal="right"/>
    </xf>
    <xf numFmtId="0" fontId="11" fillId="2" borderId="0" xfId="2" applyFont="1" applyFill="1" applyAlignment="1">
      <alignment horizontal="right"/>
    </xf>
    <xf numFmtId="0" fontId="11" fillId="2" borderId="6" xfId="2" applyFont="1" applyFill="1" applyBorder="1" applyAlignment="1">
      <alignment horizontal="right"/>
    </xf>
    <xf numFmtId="0" fontId="8" fillId="0" borderId="6" xfId="2" applyFont="1" applyBorder="1" applyAlignment="1">
      <alignment horizontal="right"/>
    </xf>
    <xf numFmtId="184" fontId="7" fillId="0" borderId="6" xfId="2" applyNumberFormat="1" applyFont="1" applyFill="1" applyBorder="1" applyAlignment="1"/>
    <xf numFmtId="172" fontId="7" fillId="0" borderId="6" xfId="2" applyNumberFormat="1" applyFont="1" applyFill="1" applyBorder="1" applyAlignment="1"/>
    <xf numFmtId="0" fontId="7" fillId="0" borderId="6" xfId="2" applyNumberFormat="1" applyFont="1" applyFill="1" applyBorder="1" applyAlignment="1"/>
    <xf numFmtId="208" fontId="7" fillId="0" borderId="55" xfId="2" applyNumberFormat="1" applyFont="1" applyFill="1" applyBorder="1" applyAlignment="1">
      <alignment horizontal="right"/>
    </xf>
    <xf numFmtId="208" fontId="7" fillId="0" borderId="55" xfId="25" applyNumberFormat="1" applyFont="1" applyFill="1" applyBorder="1" applyAlignment="1">
      <alignment horizontal="right"/>
    </xf>
    <xf numFmtId="208" fontId="7" fillId="0" borderId="55" xfId="2" quotePrefix="1" applyNumberFormat="1" applyFont="1" applyFill="1" applyBorder="1" applyAlignment="1">
      <alignment horizontal="right"/>
    </xf>
    <xf numFmtId="208" fontId="7" fillId="0" borderId="56" xfId="2" quotePrefix="1" applyNumberFormat="1" applyFont="1" applyFill="1" applyBorder="1" applyAlignment="1">
      <alignment horizontal="right"/>
    </xf>
    <xf numFmtId="208" fontId="7" fillId="2" borderId="29" xfId="2" quotePrefix="1" applyNumberFormat="1" applyFont="1" applyFill="1" applyBorder="1" applyAlignment="1">
      <alignment horizontal="right"/>
    </xf>
    <xf numFmtId="187" fontId="7" fillId="0" borderId="58" xfId="2" applyNumberFormat="1" applyFont="1" applyFill="1" applyBorder="1" applyAlignment="1">
      <alignment horizontal="right"/>
    </xf>
    <xf numFmtId="0" fontId="8" fillId="0" borderId="21" xfId="2" applyFont="1" applyFill="1" applyBorder="1"/>
    <xf numFmtId="0" fontId="8" fillId="2" borderId="95" xfId="2" applyFont="1" applyFill="1" applyBorder="1"/>
    <xf numFmtId="3" fontId="8" fillId="2" borderId="147" xfId="2" applyNumberFormat="1" applyFont="1" applyFill="1" applyBorder="1" applyAlignment="1">
      <alignment horizontal="right"/>
    </xf>
    <xf numFmtId="187" fontId="8" fillId="0" borderId="0" xfId="2" applyNumberFormat="1" applyFont="1" applyFill="1" applyAlignment="1">
      <alignment vertical="top"/>
    </xf>
    <xf numFmtId="0" fontId="8" fillId="0" borderId="23" xfId="2" applyFont="1" applyFill="1" applyBorder="1" applyAlignment="1">
      <alignment wrapText="1"/>
    </xf>
    <xf numFmtId="172" fontId="8" fillId="2" borderId="58" xfId="7" applyNumberFormat="1" applyFont="1" applyFill="1" applyBorder="1"/>
    <xf numFmtId="0" fontId="8" fillId="0" borderId="0" xfId="2" applyFont="1" applyFill="1" applyBorder="1" applyAlignment="1">
      <alignment horizontal="left" wrapText="1"/>
    </xf>
    <xf numFmtId="187" fontId="8" fillId="0" borderId="0" xfId="2" applyNumberFormat="1" applyFont="1" applyFill="1" applyBorder="1" applyAlignment="1">
      <alignment horizontal="right"/>
    </xf>
    <xf numFmtId="187" fontId="8" fillId="0" borderId="58" xfId="2" applyNumberFormat="1" applyFont="1" applyFill="1" applyBorder="1" applyAlignment="1">
      <alignment horizontal="right"/>
    </xf>
    <xf numFmtId="172" fontId="8" fillId="0" borderId="58" xfId="2" applyNumberFormat="1" applyFont="1" applyFill="1" applyBorder="1" applyAlignment="1">
      <alignment horizontal="right"/>
    </xf>
    <xf numFmtId="172" fontId="8" fillId="0" borderId="58" xfId="7" applyNumberFormat="1" applyFont="1" applyFill="1" applyBorder="1"/>
    <xf numFmtId="187" fontId="8" fillId="0" borderId="58" xfId="7" applyNumberFormat="1" applyFont="1" applyFill="1" applyBorder="1"/>
    <xf numFmtId="168" fontId="8" fillId="2" borderId="58" xfId="7" applyNumberFormat="1" applyFont="1" applyFill="1" applyBorder="1"/>
    <xf numFmtId="168" fontId="8" fillId="0" borderId="58" xfId="7" applyNumberFormat="1" applyFont="1" applyFill="1" applyBorder="1"/>
    <xf numFmtId="0" fontId="7" fillId="0" borderId="29" xfId="2" applyFont="1" applyFill="1" applyBorder="1" applyAlignment="1">
      <alignment wrapText="1"/>
    </xf>
    <xf numFmtId="168" fontId="8" fillId="0" borderId="29" xfId="7" applyNumberFormat="1" applyFont="1" applyFill="1" applyBorder="1"/>
    <xf numFmtId="168" fontId="8" fillId="2" borderId="29" xfId="7" applyNumberFormat="1" applyFont="1" applyFill="1" applyBorder="1"/>
    <xf numFmtId="9" fontId="8" fillId="0" borderId="0" xfId="1" applyFont="1" applyFill="1" applyBorder="1" applyAlignment="1">
      <alignment horizontal="right"/>
    </xf>
    <xf numFmtId="9" fontId="8" fillId="2" borderId="0" xfId="1" applyFont="1" applyFill="1" applyBorder="1" applyAlignment="1">
      <alignment horizontal="right"/>
    </xf>
    <xf numFmtId="166" fontId="8" fillId="0" borderId="0" xfId="2" applyNumberFormat="1" applyFont="1" applyFill="1" applyBorder="1" applyAlignment="1">
      <alignment horizontal="right"/>
    </xf>
    <xf numFmtId="181" fontId="8" fillId="0" borderId="0" xfId="41" applyNumberFormat="1" applyFont="1" applyFill="1" applyBorder="1" applyAlignment="1">
      <alignment horizontal="right"/>
    </xf>
    <xf numFmtId="168" fontId="8" fillId="0" borderId="0" xfId="41" applyNumberFormat="1" applyFont="1" applyFill="1" applyBorder="1"/>
    <xf numFmtId="169" fontId="12" fillId="0" borderId="0" xfId="1" applyNumberFormat="1" applyFont="1" applyFill="1"/>
    <xf numFmtId="9" fontId="8" fillId="0" borderId="0" xfId="1" applyFont="1" applyFill="1"/>
    <xf numFmtId="168" fontId="8" fillId="0" borderId="0" xfId="2" applyNumberFormat="1" applyFont="1" applyFill="1"/>
    <xf numFmtId="0" fontId="12" fillId="0" borderId="0" xfId="2" applyFont="1" applyFill="1" applyAlignment="1">
      <alignment horizontal="right"/>
    </xf>
    <xf numFmtId="9" fontId="12" fillId="0" borderId="0" xfId="1" applyFont="1" applyFill="1"/>
    <xf numFmtId="168" fontId="12" fillId="0" borderId="0" xfId="1" applyNumberFormat="1" applyFont="1" applyFill="1"/>
    <xf numFmtId="2" fontId="12" fillId="0" borderId="0" xfId="1" applyNumberFormat="1" applyFont="1" applyFill="1"/>
    <xf numFmtId="184" fontId="12" fillId="0" borderId="0" xfId="1" applyNumberFormat="1" applyFont="1" applyFill="1"/>
    <xf numFmtId="172" fontId="12" fillId="0" borderId="0" xfId="1" applyNumberFormat="1" applyFont="1" applyFill="1"/>
    <xf numFmtId="167" fontId="12" fillId="0" borderId="0" xfId="7" applyFont="1" applyFill="1"/>
    <xf numFmtId="2" fontId="12" fillId="0" borderId="0" xfId="2" applyNumberFormat="1" applyFont="1" applyFill="1"/>
    <xf numFmtId="0" fontId="4" fillId="0" borderId="0" xfId="8"/>
    <xf numFmtId="209" fontId="12" fillId="0" borderId="0" xfId="2" applyNumberFormat="1" applyFont="1" applyFill="1"/>
    <xf numFmtId="0" fontId="15" fillId="0" borderId="6" xfId="2" applyFont="1" applyFill="1" applyBorder="1" applyAlignment="1">
      <alignment horizontal="right"/>
    </xf>
    <xf numFmtId="17" fontId="7" fillId="0" borderId="55" xfId="2" quotePrefix="1" applyNumberFormat="1" applyFont="1" applyFill="1" applyBorder="1" applyAlignment="1">
      <alignment horizontal="right"/>
    </xf>
    <xf numFmtId="0" fontId="7" fillId="0" borderId="55" xfId="2" quotePrefix="1" applyFont="1" applyFill="1" applyBorder="1" applyAlignment="1">
      <alignment horizontal="right"/>
    </xf>
    <xf numFmtId="17" fontId="7" fillId="0" borderId="57" xfId="2" quotePrefix="1" applyNumberFormat="1" applyFont="1" applyFill="1" applyBorder="1" applyAlignment="1">
      <alignment horizontal="right"/>
    </xf>
    <xf numFmtId="17" fontId="7" fillId="0" borderId="56" xfId="2" quotePrefix="1" applyNumberFormat="1" applyFont="1" applyFill="1" applyBorder="1" applyAlignment="1">
      <alignment horizontal="right"/>
    </xf>
    <xf numFmtId="0" fontId="8" fillId="0" borderId="60" xfId="2" applyFont="1" applyFill="1" applyBorder="1"/>
    <xf numFmtId="0" fontId="8" fillId="2" borderId="60" xfId="2" applyFont="1" applyFill="1" applyBorder="1"/>
    <xf numFmtId="1" fontId="8" fillId="0" borderId="58" xfId="17" applyNumberFormat="1" applyFont="1" applyFill="1" applyBorder="1" applyAlignment="1">
      <alignment horizontal="right"/>
    </xf>
    <xf numFmtId="169" fontId="8" fillId="0" borderId="84" xfId="2" applyNumberFormat="1" applyFont="1" applyFill="1" applyBorder="1" applyAlignment="1">
      <alignment horizontal="right"/>
    </xf>
    <xf numFmtId="169" fontId="8" fillId="0" borderId="85" xfId="2" applyNumberFormat="1" applyFont="1" applyFill="1" applyBorder="1" applyAlignment="1">
      <alignment horizontal="right"/>
    </xf>
    <xf numFmtId="169" fontId="8" fillId="0" borderId="22" xfId="2" applyNumberFormat="1" applyFont="1" applyFill="1" applyBorder="1" applyAlignment="1">
      <alignment horizontal="right"/>
    </xf>
    <xf numFmtId="3" fontId="8" fillId="0" borderId="58" xfId="2" applyNumberFormat="1" applyFont="1" applyFill="1" applyBorder="1"/>
    <xf numFmtId="0" fontId="8" fillId="0" borderId="58" xfId="2" applyFont="1" applyFill="1" applyBorder="1"/>
    <xf numFmtId="1" fontId="8" fillId="0" borderId="58" xfId="17" applyNumberFormat="1" applyFont="1" applyFill="1" applyBorder="1"/>
    <xf numFmtId="169" fontId="8" fillId="0" borderId="84" xfId="2" applyNumberFormat="1" applyFont="1" applyFill="1" applyBorder="1"/>
    <xf numFmtId="3" fontId="8" fillId="0" borderId="58" xfId="17" applyNumberFormat="1" applyFont="1" applyFill="1" applyBorder="1"/>
    <xf numFmtId="3" fontId="8" fillId="0" borderId="58" xfId="17" applyNumberFormat="1" applyFont="1" applyFill="1" applyBorder="1" applyAlignment="1">
      <alignment horizontal="right"/>
    </xf>
    <xf numFmtId="1" fontId="8" fillId="0" borderId="58" xfId="17" applyNumberFormat="1" applyFont="1" applyFill="1" applyBorder="1" applyAlignment="1"/>
    <xf numFmtId="0" fontId="8" fillId="0" borderId="58" xfId="2" applyFont="1" applyFill="1" applyBorder="1" applyAlignment="1">
      <alignment horizontal="center"/>
    </xf>
    <xf numFmtId="1" fontId="8" fillId="0" borderId="58" xfId="17" applyNumberFormat="1" applyFont="1" applyFill="1" applyBorder="1" applyAlignment="1">
      <alignment horizontal="center"/>
    </xf>
    <xf numFmtId="169" fontId="8" fillId="0" borderId="61" xfId="2" applyNumberFormat="1" applyFont="1" applyFill="1" applyBorder="1"/>
    <xf numFmtId="169" fontId="8" fillId="0" borderId="61" xfId="2" applyNumberFormat="1" applyFont="1" applyFill="1" applyBorder="1" applyAlignment="1">
      <alignment horizontal="right"/>
    </xf>
    <xf numFmtId="169" fontId="8" fillId="0" borderId="63" xfId="2" applyNumberFormat="1" applyFont="1" applyFill="1" applyBorder="1" applyAlignment="1">
      <alignment horizontal="right"/>
    </xf>
    <xf numFmtId="169" fontId="8" fillId="0" borderId="62" xfId="2" applyNumberFormat="1" applyFont="1" applyFill="1" applyBorder="1" applyAlignment="1">
      <alignment horizontal="right"/>
    </xf>
    <xf numFmtId="169" fontId="8" fillId="0" borderId="0" xfId="2" applyNumberFormat="1" applyFont="1" applyFill="1" applyBorder="1"/>
    <xf numFmtId="169" fontId="44" fillId="0" borderId="0" xfId="2" applyNumberFormat="1" applyFont="1" applyFill="1" applyBorder="1" applyAlignment="1">
      <alignment horizontal="right"/>
    </xf>
    <xf numFmtId="3" fontId="12" fillId="0" borderId="0" xfId="2" applyNumberFormat="1" applyFont="1" applyFill="1" applyBorder="1"/>
    <xf numFmtId="0" fontId="5" fillId="0" borderId="0" xfId="2" applyFont="1" applyFill="1"/>
    <xf numFmtId="0" fontId="32" fillId="0" borderId="0" xfId="2" applyFont="1" applyFill="1" applyAlignment="1">
      <alignment vertical="top"/>
    </xf>
    <xf numFmtId="9" fontId="12" fillId="0" borderId="0" xfId="17" applyFont="1" applyFill="1" applyBorder="1"/>
    <xf numFmtId="0" fontId="4" fillId="0" borderId="0" xfId="2" applyFont="1" applyFill="1" applyBorder="1" applyAlignment="1">
      <alignment horizontal="center" vertical="top" wrapText="1"/>
    </xf>
    <xf numFmtId="0" fontId="11" fillId="0" borderId="2" xfId="0" applyFont="1" applyFill="1" applyBorder="1" applyAlignment="1">
      <alignment vertical="center"/>
    </xf>
    <xf numFmtId="0" fontId="14" fillId="0" borderId="55" xfId="0" applyFont="1" applyFill="1" applyBorder="1" applyAlignment="1">
      <alignment horizontal="right" vertical="center"/>
    </xf>
    <xf numFmtId="0" fontId="14" fillId="0" borderId="55" xfId="0" applyFont="1" applyFill="1" applyBorder="1" applyAlignment="1">
      <alignment horizontal="right" vertical="center" wrapText="1"/>
    </xf>
    <xf numFmtId="0" fontId="14" fillId="0" borderId="56" xfId="0" applyFont="1" applyFill="1" applyBorder="1" applyAlignment="1">
      <alignment horizontal="right" vertical="center" wrapText="1"/>
    </xf>
    <xf numFmtId="0" fontId="14" fillId="0" borderId="57" xfId="0" applyFont="1" applyFill="1" applyBorder="1" applyAlignment="1">
      <alignment horizontal="right" vertical="center" wrapText="1"/>
    </xf>
    <xf numFmtId="0" fontId="11" fillId="0" borderId="0" xfId="0" applyFont="1" applyFill="1" applyBorder="1" applyAlignment="1">
      <alignment vertical="center" wrapText="1"/>
    </xf>
    <xf numFmtId="0" fontId="11" fillId="0" borderId="58" xfId="0" applyFont="1" applyFill="1" applyBorder="1" applyAlignment="1">
      <alignment horizontal="right" vertical="center"/>
    </xf>
    <xf numFmtId="0" fontId="11" fillId="0" borderId="58" xfId="0" applyFont="1" applyFill="1" applyBorder="1" applyAlignment="1">
      <alignment horizontal="right" vertical="center" wrapText="1"/>
    </xf>
    <xf numFmtId="0" fontId="8" fillId="0" borderId="58" xfId="2" applyFont="1" applyFill="1" applyBorder="1" applyAlignment="1">
      <alignment vertical="center"/>
    </xf>
    <xf numFmtId="0" fontId="8" fillId="0" borderId="60" xfId="2" applyFont="1" applyFill="1" applyBorder="1" applyAlignment="1">
      <alignment vertical="center"/>
    </xf>
    <xf numFmtId="0" fontId="11" fillId="0" borderId="60" xfId="0" applyFont="1" applyFill="1" applyBorder="1" applyAlignment="1">
      <alignment horizontal="right" vertical="center" wrapText="1"/>
    </xf>
    <xf numFmtId="0" fontId="11" fillId="0" borderId="6" xfId="0" applyFont="1" applyFill="1" applyBorder="1" applyAlignment="1">
      <alignment vertical="center" wrapText="1"/>
    </xf>
    <xf numFmtId="0" fontId="11" fillId="0" borderId="61" xfId="0" applyFont="1" applyFill="1" applyBorder="1" applyAlignment="1">
      <alignment horizontal="right" vertical="center"/>
    </xf>
    <xf numFmtId="0" fontId="11" fillId="0" borderId="61" xfId="0" applyFont="1" applyFill="1" applyBorder="1" applyAlignment="1">
      <alignment horizontal="right" vertical="center" wrapText="1"/>
    </xf>
    <xf numFmtId="0" fontId="11" fillId="0" borderId="63" xfId="0" applyFont="1" applyFill="1" applyBorder="1" applyAlignment="1">
      <alignment horizontal="right" vertical="center" wrapText="1"/>
    </xf>
    <xf numFmtId="0" fontId="128" fillId="0" borderId="0" xfId="2" applyFont="1" applyFill="1" applyAlignment="1">
      <alignment horizontal="left"/>
    </xf>
    <xf numFmtId="0" fontId="34" fillId="0" borderId="0" xfId="2" applyFont="1" applyFill="1" applyBorder="1" applyAlignment="1">
      <alignment vertical="top"/>
    </xf>
    <xf numFmtId="0" fontId="0" fillId="0" borderId="0" xfId="2" applyFont="1" applyFill="1" applyAlignment="1">
      <alignment vertical="top"/>
    </xf>
    <xf numFmtId="0" fontId="7" fillId="0" borderId="148" xfId="2" applyFont="1" applyFill="1" applyBorder="1" applyAlignment="1"/>
    <xf numFmtId="0" fontId="7" fillId="0" borderId="149" xfId="2" applyFont="1" applyFill="1" applyBorder="1" applyAlignment="1"/>
    <xf numFmtId="0" fontId="8" fillId="0" borderId="149" xfId="2" applyFont="1" applyFill="1" applyBorder="1" applyAlignment="1"/>
    <xf numFmtId="0" fontId="8" fillId="0" borderId="150" xfId="2" applyFont="1" applyFill="1" applyBorder="1" applyAlignment="1"/>
    <xf numFmtId="0" fontId="7" fillId="0" borderId="10" xfId="2" applyFont="1" applyFill="1" applyBorder="1" applyAlignment="1">
      <alignment vertical="top"/>
    </xf>
    <xf numFmtId="0" fontId="8" fillId="0" borderId="11" xfId="2" applyFont="1" applyFill="1" applyBorder="1" applyAlignment="1">
      <alignment vertical="top"/>
    </xf>
    <xf numFmtId="0" fontId="8" fillId="0" borderId="151" xfId="2" applyFont="1" applyFill="1" applyBorder="1" applyAlignment="1">
      <alignment vertical="top"/>
    </xf>
    <xf numFmtId="0" fontId="8" fillId="0" borderId="25" xfId="2" applyFont="1" applyFill="1" applyBorder="1" applyAlignment="1">
      <alignment vertical="top"/>
    </xf>
    <xf numFmtId="0" fontId="8" fillId="0" borderId="152" xfId="2" applyFont="1" applyFill="1" applyBorder="1" applyAlignment="1">
      <alignment vertical="top"/>
    </xf>
    <xf numFmtId="0" fontId="8" fillId="0" borderId="151" xfId="2" applyFont="1" applyFill="1" applyBorder="1" applyAlignment="1">
      <alignment vertical="top" wrapText="1"/>
    </xf>
    <xf numFmtId="0" fontId="159" fillId="0" borderId="25" xfId="2" applyFont="1" applyFill="1" applyBorder="1" applyAlignment="1">
      <alignment vertical="top" wrapText="1"/>
    </xf>
    <xf numFmtId="0" fontId="8" fillId="0" borderId="25" xfId="2" applyFont="1" applyFill="1" applyBorder="1" applyAlignment="1">
      <alignment vertical="top" wrapText="1"/>
    </xf>
    <xf numFmtId="0" fontId="8" fillId="2" borderId="151" xfId="2" applyFont="1" applyFill="1" applyBorder="1" applyAlignment="1">
      <alignment vertical="top" wrapText="1"/>
    </xf>
    <xf numFmtId="0" fontId="159" fillId="2" borderId="25" xfId="2" applyFont="1" applyFill="1" applyBorder="1" applyAlignment="1">
      <alignment vertical="top" wrapText="1"/>
    </xf>
    <xf numFmtId="0" fontId="8" fillId="2" borderId="25" xfId="2" applyFont="1" applyFill="1" applyBorder="1" applyAlignment="1">
      <alignment vertical="top" wrapText="1"/>
    </xf>
    <xf numFmtId="0" fontId="8" fillId="0" borderId="108" xfId="2" applyFont="1" applyFill="1" applyBorder="1" applyAlignment="1">
      <alignment vertical="top"/>
    </xf>
    <xf numFmtId="0" fontId="8" fillId="0" borderId="23" xfId="2" applyFont="1" applyFill="1" applyBorder="1" applyAlignment="1">
      <alignment vertical="top"/>
    </xf>
    <xf numFmtId="0" fontId="159" fillId="0" borderId="23" xfId="2" applyFont="1" applyFill="1" applyBorder="1" applyAlignment="1">
      <alignment vertical="top"/>
    </xf>
    <xf numFmtId="0" fontId="8" fillId="0" borderId="153" xfId="2" applyFont="1" applyFill="1" applyBorder="1" applyAlignment="1">
      <alignment vertical="top"/>
    </xf>
    <xf numFmtId="0" fontId="8" fillId="0" borderId="108" xfId="2" applyFont="1" applyFill="1" applyBorder="1" applyAlignment="1">
      <alignment vertical="top" wrapText="1"/>
    </xf>
    <xf numFmtId="0" fontId="0" fillId="0" borderId="23" xfId="2" applyFont="1" applyFill="1" applyBorder="1" applyAlignment="1">
      <alignment vertical="top" wrapText="1"/>
    </xf>
    <xf numFmtId="0" fontId="8" fillId="0" borderId="23" xfId="2" applyFont="1" applyFill="1" applyBorder="1" applyAlignment="1">
      <alignment vertical="top" wrapText="1"/>
    </xf>
    <xf numFmtId="0" fontId="159" fillId="0" borderId="23" xfId="2" applyFont="1" applyFill="1" applyBorder="1" applyAlignment="1">
      <alignment vertical="top" wrapText="1"/>
    </xf>
    <xf numFmtId="0" fontId="8" fillId="0" borderId="153" xfId="2" applyFont="1" applyFill="1" applyBorder="1" applyAlignment="1">
      <alignment vertical="top" wrapText="1"/>
    </xf>
    <xf numFmtId="0" fontId="8" fillId="0" borderId="11" xfId="2" applyFont="1" applyFill="1" applyBorder="1" applyAlignment="1">
      <alignment vertical="top" wrapText="1"/>
    </xf>
    <xf numFmtId="0" fontId="8" fillId="0" borderId="152" xfId="2" applyFont="1" applyFill="1" applyBorder="1" applyAlignment="1">
      <alignment vertical="top" wrapText="1"/>
    </xf>
    <xf numFmtId="0" fontId="8" fillId="0" borderId="10" xfId="2" applyFont="1" applyFill="1" applyBorder="1" applyAlignment="1">
      <alignment vertical="top"/>
    </xf>
    <xf numFmtId="0" fontId="8" fillId="0" borderId="10" xfId="2" applyFont="1" applyFill="1" applyBorder="1" applyAlignment="1">
      <alignment vertical="top" wrapText="1"/>
    </xf>
    <xf numFmtId="0" fontId="8" fillId="0" borderId="0" xfId="2" applyFont="1" applyFill="1" applyBorder="1" applyAlignment="1">
      <alignment horizontal="left" vertical="top" wrapText="1"/>
    </xf>
    <xf numFmtId="0" fontId="7" fillId="0" borderId="10" xfId="2" applyFont="1" applyFill="1" applyBorder="1" applyAlignment="1">
      <alignment horizontal="left" vertical="top"/>
    </xf>
    <xf numFmtId="0" fontId="8" fillId="0" borderId="151" xfId="2" applyFont="1" applyFill="1" applyBorder="1" applyAlignment="1">
      <alignment horizontal="left" vertical="top"/>
    </xf>
    <xf numFmtId="0" fontId="8" fillId="0" borderId="10" xfId="2" applyFont="1" applyFill="1" applyBorder="1" applyAlignment="1">
      <alignment horizontal="left" vertical="top"/>
    </xf>
    <xf numFmtId="0" fontId="8" fillId="0" borderId="108" xfId="2" applyFont="1" applyFill="1" applyBorder="1" applyAlignment="1">
      <alignment horizontal="left" vertical="top"/>
    </xf>
    <xf numFmtId="0" fontId="8" fillId="0" borderId="11" xfId="2" applyFont="1" applyFill="1" applyBorder="1" applyAlignment="1">
      <alignment horizontal="left" vertical="top" wrapText="1"/>
    </xf>
    <xf numFmtId="0" fontId="0" fillId="0" borderId="10" xfId="2" applyFont="1" applyFill="1" applyBorder="1" applyAlignment="1">
      <alignment vertical="top"/>
    </xf>
    <xf numFmtId="0" fontId="0" fillId="0" borderId="11" xfId="2" applyFont="1" applyFill="1" applyBorder="1" applyAlignment="1">
      <alignment vertical="top"/>
    </xf>
    <xf numFmtId="0" fontId="0" fillId="0" borderId="0" xfId="2" applyFont="1" applyFill="1" applyBorder="1" applyAlignment="1">
      <alignment vertical="top" wrapText="1"/>
    </xf>
    <xf numFmtId="0" fontId="0" fillId="0" borderId="12" xfId="2" applyFont="1" applyFill="1" applyBorder="1" applyAlignment="1">
      <alignment vertical="top"/>
    </xf>
    <xf numFmtId="0" fontId="0" fillId="0" borderId="13" xfId="2" applyFont="1" applyFill="1" applyBorder="1" applyAlignment="1">
      <alignment vertical="top"/>
    </xf>
    <xf numFmtId="0" fontId="0" fillId="0" borderId="14" xfId="2" applyFont="1" applyFill="1" applyBorder="1" applyAlignment="1">
      <alignment vertical="top"/>
    </xf>
    <xf numFmtId="0" fontId="8" fillId="0" borderId="12" xfId="2" applyFont="1" applyFill="1" applyBorder="1" applyAlignment="1">
      <alignment vertical="top" wrapText="1"/>
    </xf>
    <xf numFmtId="0" fontId="8" fillId="0" borderId="13" xfId="2" applyFont="1" applyFill="1" applyBorder="1" applyAlignment="1">
      <alignment vertical="top" wrapText="1"/>
    </xf>
    <xf numFmtId="0" fontId="0" fillId="0" borderId="13" xfId="2" applyFont="1" applyFill="1" applyBorder="1" applyAlignment="1">
      <alignment vertical="top" wrapText="1"/>
    </xf>
    <xf numFmtId="0" fontId="8" fillId="0" borderId="14" xfId="2" applyFont="1" applyFill="1" applyBorder="1" applyAlignment="1">
      <alignment vertical="top"/>
    </xf>
    <xf numFmtId="0" fontId="4" fillId="0" borderId="13" xfId="2" applyFont="1" applyFill="1" applyBorder="1" applyAlignment="1">
      <alignment vertical="top" wrapText="1"/>
    </xf>
    <xf numFmtId="0" fontId="12" fillId="0" borderId="0" xfId="2" applyFont="1" applyFill="1" applyBorder="1" applyAlignment="1">
      <alignment horizontal="left" vertical="top" wrapText="1"/>
    </xf>
    <xf numFmtId="0" fontId="25" fillId="0" borderId="0" xfId="2" applyFont="1" applyFill="1" applyBorder="1" applyAlignment="1">
      <alignment vertical="top" wrapText="1"/>
    </xf>
    <xf numFmtId="0" fontId="4" fillId="0" borderId="0" xfId="32" applyFont="1" applyFill="1" applyBorder="1" applyAlignment="1" applyProtection="1">
      <alignment horizontal="left" vertical="top" wrapText="1"/>
    </xf>
    <xf numFmtId="0" fontId="160" fillId="0" borderId="0" xfId="15" applyFont="1" applyFill="1"/>
    <xf numFmtId="0" fontId="8" fillId="0" borderId="0" xfId="2" applyFont="1" applyBorder="1" applyAlignment="1">
      <alignment vertical="top"/>
    </xf>
    <xf numFmtId="0" fontId="13" fillId="0" borderId="0" xfId="2" applyFont="1" applyAlignment="1">
      <alignment horizontal="right" vertical="top"/>
    </xf>
    <xf numFmtId="0" fontId="8" fillId="0" borderId="0" xfId="2" applyFont="1" applyAlignment="1">
      <alignment horizontal="right" vertical="top"/>
    </xf>
    <xf numFmtId="17" fontId="7" fillId="0" borderId="6" xfId="2" applyNumberFormat="1" applyFont="1" applyBorder="1" applyAlignment="1">
      <alignment horizontal="right"/>
    </xf>
    <xf numFmtId="0" fontId="7" fillId="0" borderId="68" xfId="2" applyFont="1" applyBorder="1" applyAlignment="1">
      <alignment horizontal="right"/>
    </xf>
    <xf numFmtId="17" fontId="41" fillId="0" borderId="6" xfId="2" applyNumberFormat="1" applyFont="1" applyBorder="1" applyAlignment="1">
      <alignment horizontal="right"/>
    </xf>
    <xf numFmtId="0" fontId="41" fillId="0" borderId="68" xfId="2" applyFont="1" applyBorder="1" applyAlignment="1">
      <alignment horizontal="right"/>
    </xf>
    <xf numFmtId="172" fontId="31" fillId="0" borderId="0" xfId="14" applyNumberFormat="1" applyFont="1" applyAlignment="1">
      <alignment horizontal="right" vertical="top"/>
    </xf>
    <xf numFmtId="172" fontId="8" fillId="0" borderId="0" xfId="14" applyNumberFormat="1" applyFont="1" applyAlignment="1">
      <alignment horizontal="right" vertical="top"/>
    </xf>
    <xf numFmtId="0" fontId="8" fillId="0" borderId="6" xfId="2" applyFont="1" applyBorder="1" applyAlignment="1">
      <alignment wrapText="1"/>
    </xf>
    <xf numFmtId="172" fontId="8" fillId="0" borderId="6" xfId="14" applyNumberFormat="1" applyFont="1" applyBorder="1" applyAlignment="1">
      <alignment horizontal="right"/>
    </xf>
    <xf numFmtId="172" fontId="8" fillId="0" borderId="68" xfId="14" applyNumberFormat="1" applyFont="1" applyFill="1" applyBorder="1" applyAlignment="1">
      <alignment horizontal="right"/>
    </xf>
    <xf numFmtId="172" fontId="28" fillId="0" borderId="6" xfId="14" applyNumberFormat="1" applyFont="1" applyBorder="1" applyAlignment="1">
      <alignment horizontal="right"/>
    </xf>
    <xf numFmtId="172" fontId="28" fillId="0" borderId="68" xfId="14" applyNumberFormat="1" applyFont="1" applyFill="1" applyBorder="1" applyAlignment="1">
      <alignment horizontal="right"/>
    </xf>
    <xf numFmtId="172" fontId="8" fillId="0" borderId="0" xfId="14" applyNumberFormat="1" applyFont="1" applyBorder="1" applyAlignment="1">
      <alignment horizontal="right"/>
    </xf>
    <xf numFmtId="0" fontId="7" fillId="0" borderId="2" xfId="2" applyFont="1" applyBorder="1" applyAlignment="1"/>
    <xf numFmtId="0" fontId="32" fillId="4" borderId="0" xfId="2" applyFont="1" applyFill="1" applyAlignment="1">
      <alignment horizontal="left"/>
    </xf>
    <xf numFmtId="0" fontId="12" fillId="4" borderId="0" xfId="2" applyFont="1" applyFill="1" applyAlignment="1">
      <alignment horizontal="left"/>
    </xf>
    <xf numFmtId="0" fontId="28" fillId="0" borderId="26" xfId="2" applyFont="1" applyBorder="1"/>
    <xf numFmtId="0" fontId="28" fillId="0" borderId="0" xfId="2" applyFont="1" applyBorder="1"/>
    <xf numFmtId="0" fontId="28" fillId="3" borderId="0" xfId="2" applyFont="1" applyFill="1" applyBorder="1"/>
    <xf numFmtId="0" fontId="28" fillId="0" borderId="6" xfId="2" applyFont="1" applyBorder="1"/>
    <xf numFmtId="0" fontId="12" fillId="3" borderId="0" xfId="2" applyFont="1" applyFill="1"/>
    <xf numFmtId="0" fontId="7" fillId="3" borderId="26" xfId="2" applyFont="1" applyFill="1" applyBorder="1" applyAlignment="1"/>
    <xf numFmtId="0" fontId="7" fillId="0" borderId="67" xfId="2" applyFont="1" applyBorder="1" applyAlignment="1"/>
    <xf numFmtId="17" fontId="7" fillId="0" borderId="0" xfId="2" applyNumberFormat="1" applyFont="1" applyBorder="1" applyAlignment="1">
      <alignment horizontal="right"/>
    </xf>
    <xf numFmtId="0" fontId="7" fillId="0" borderId="28" xfId="2" applyFont="1" applyBorder="1" applyAlignment="1">
      <alignment horizontal="right"/>
    </xf>
    <xf numFmtId="17" fontId="7" fillId="3" borderId="0" xfId="2" applyNumberFormat="1" applyFont="1" applyFill="1" applyBorder="1" applyAlignment="1">
      <alignment horizontal="right"/>
    </xf>
    <xf numFmtId="172" fontId="8" fillId="3" borderId="6" xfId="14" applyNumberFormat="1" applyFont="1" applyFill="1" applyBorder="1" applyAlignment="1">
      <alignment horizontal="right"/>
    </xf>
    <xf numFmtId="172" fontId="8" fillId="3" borderId="0" xfId="14" applyNumberFormat="1" applyFont="1" applyFill="1" applyBorder="1" applyAlignment="1">
      <alignment horizontal="right"/>
    </xf>
    <xf numFmtId="172" fontId="8" fillId="0" borderId="0" xfId="14" applyNumberFormat="1" applyFont="1" applyBorder="1" applyAlignment="1"/>
    <xf numFmtId="172" fontId="8" fillId="3" borderId="0" xfId="14" applyNumberFormat="1" applyFont="1" applyFill="1" applyBorder="1" applyAlignment="1"/>
    <xf numFmtId="0" fontId="32" fillId="0" borderId="0" xfId="2" applyFont="1" applyBorder="1"/>
    <xf numFmtId="1" fontId="12" fillId="0" borderId="29" xfId="2" applyNumberFormat="1" applyFont="1" applyBorder="1"/>
    <xf numFmtId="0" fontId="12" fillId="0" borderId="29" xfId="2" applyFont="1" applyBorder="1"/>
    <xf numFmtId="1" fontId="12" fillId="0" borderId="0" xfId="2" applyNumberFormat="1" applyFont="1" applyBorder="1"/>
    <xf numFmtId="0" fontId="153" fillId="0" borderId="0" xfId="2" applyFont="1" applyFill="1"/>
    <xf numFmtId="0" fontId="40" fillId="0" borderId="0" xfId="2" applyFont="1" applyFill="1" applyBorder="1" applyAlignment="1">
      <alignment horizontal="left" vertical="top" wrapText="1"/>
    </xf>
    <xf numFmtId="0" fontId="8" fillId="0" borderId="1" xfId="2" applyFont="1" applyFill="1" applyBorder="1" applyAlignment="1">
      <alignment horizontal="left"/>
    </xf>
    <xf numFmtId="0" fontId="7" fillId="0" borderId="55" xfId="16" applyFont="1" applyFill="1" applyBorder="1" applyAlignment="1">
      <alignment horizontal="right" vertical="top"/>
    </xf>
    <xf numFmtId="0" fontId="7" fillId="2" borderId="55" xfId="2" applyFont="1" applyFill="1" applyBorder="1" applyAlignment="1">
      <alignment horizontal="right" vertical="top" wrapText="1"/>
    </xf>
    <xf numFmtId="0" fontId="7" fillId="2" borderId="57" xfId="2" applyFont="1" applyFill="1" applyBorder="1" applyAlignment="1">
      <alignment horizontal="left" vertical="top" wrapText="1"/>
    </xf>
    <xf numFmtId="0" fontId="7" fillId="2" borderId="0" xfId="2" applyFont="1" applyFill="1" applyBorder="1" applyAlignment="1">
      <alignment horizontal="left" vertical="top" wrapText="1"/>
    </xf>
    <xf numFmtId="172" fontId="8" fillId="0" borderId="58" xfId="14" applyNumberFormat="1" applyFont="1" applyFill="1" applyBorder="1" applyAlignment="1">
      <alignment horizontal="right"/>
    </xf>
    <xf numFmtId="172" fontId="8" fillId="0" borderId="58" xfId="14" quotePrefix="1" applyNumberFormat="1" applyFont="1" applyFill="1" applyBorder="1" applyAlignment="1">
      <alignment horizontal="right"/>
    </xf>
    <xf numFmtId="172" fontId="8" fillId="2" borderId="58" xfId="14" quotePrefix="1" applyNumberFormat="1" applyFont="1" applyFill="1" applyBorder="1" applyAlignment="1">
      <alignment horizontal="right"/>
    </xf>
    <xf numFmtId="172" fontId="7" fillId="2" borderId="60" xfId="14" quotePrefix="1" applyNumberFormat="1" applyFont="1" applyFill="1" applyBorder="1" applyAlignment="1">
      <alignment horizontal="right"/>
    </xf>
    <xf numFmtId="172" fontId="7" fillId="2" borderId="0" xfId="14" quotePrefix="1" applyNumberFormat="1" applyFont="1" applyFill="1" applyBorder="1" applyAlignment="1">
      <alignment horizontal="right"/>
    </xf>
    <xf numFmtId="172" fontId="8" fillId="2" borderId="0" xfId="14" quotePrefix="1" applyNumberFormat="1" applyFont="1" applyFill="1" applyBorder="1" applyAlignment="1">
      <alignment horizontal="right"/>
    </xf>
    <xf numFmtId="0" fontId="7" fillId="2" borderId="18" xfId="2" applyFont="1" applyFill="1" applyBorder="1" applyAlignment="1">
      <alignment horizontal="left"/>
    </xf>
    <xf numFmtId="0" fontId="7" fillId="2" borderId="58" xfId="2" applyFont="1" applyFill="1" applyBorder="1" applyAlignment="1">
      <alignment horizontal="right"/>
    </xf>
    <xf numFmtId="172" fontId="7" fillId="2" borderId="58" xfId="14" applyNumberFormat="1" applyFont="1" applyFill="1" applyBorder="1" applyAlignment="1">
      <alignment horizontal="right"/>
    </xf>
    <xf numFmtId="172" fontId="7" fillId="2" borderId="58" xfId="14" quotePrefix="1" applyNumberFormat="1" applyFont="1" applyFill="1" applyBorder="1" applyAlignment="1">
      <alignment horizontal="right"/>
    </xf>
    <xf numFmtId="0" fontId="8" fillId="0" borderId="33" xfId="2" applyFont="1" applyFill="1" applyBorder="1" applyAlignment="1">
      <alignment horizontal="left"/>
    </xf>
    <xf numFmtId="172" fontId="8" fillId="0" borderId="84" xfId="14" applyNumberFormat="1" applyFont="1" applyFill="1" applyBorder="1" applyAlignment="1">
      <alignment horizontal="right"/>
    </xf>
    <xf numFmtId="0" fontId="8" fillId="0" borderId="39" xfId="2" applyFont="1" applyFill="1" applyBorder="1" applyAlignment="1">
      <alignment horizontal="left"/>
    </xf>
    <xf numFmtId="0" fontId="8" fillId="0" borderId="81" xfId="2" applyFont="1" applyFill="1" applyBorder="1"/>
    <xf numFmtId="0" fontId="8" fillId="2" borderId="81" xfId="2" applyFont="1" applyFill="1" applyBorder="1"/>
    <xf numFmtId="0" fontId="7" fillId="2" borderId="94" xfId="2" applyFont="1" applyFill="1" applyBorder="1"/>
    <xf numFmtId="0" fontId="137" fillId="0" borderId="0" xfId="2" applyFont="1" applyFill="1"/>
    <xf numFmtId="0" fontId="7" fillId="0" borderId="1" xfId="16" applyFont="1" applyFill="1" applyBorder="1" applyAlignment="1">
      <alignment vertical="top"/>
    </xf>
    <xf numFmtId="0" fontId="7" fillId="0" borderId="2" xfId="16" applyFont="1" applyFill="1" applyBorder="1" applyAlignment="1">
      <alignment horizontal="right" vertical="top"/>
    </xf>
    <xf numFmtId="0" fontId="7" fillId="0" borderId="55" xfId="2" applyFont="1" applyFill="1" applyBorder="1" applyAlignment="1">
      <alignment horizontal="right" vertical="top" wrapText="1"/>
    </xf>
    <xf numFmtId="0" fontId="4" fillId="0" borderId="0" xfId="16" applyFont="1" applyFill="1" applyBorder="1" applyAlignment="1">
      <alignment vertical="top"/>
    </xf>
    <xf numFmtId="0" fontId="8" fillId="0" borderId="18" xfId="16" applyFont="1" applyFill="1" applyBorder="1" applyAlignment="1">
      <alignment horizontal="left" vertical="top"/>
    </xf>
    <xf numFmtId="0" fontId="8" fillId="0" borderId="0" xfId="16" applyFont="1" applyFill="1" applyBorder="1" applyAlignment="1">
      <alignment horizontal="right" vertical="center"/>
    </xf>
    <xf numFmtId="0" fontId="8" fillId="0" borderId="58" xfId="16" applyFont="1" applyFill="1" applyBorder="1" applyAlignment="1">
      <alignment horizontal="right" vertical="center"/>
    </xf>
    <xf numFmtId="0" fontId="8" fillId="2" borderId="58" xfId="16" applyFont="1" applyFill="1" applyBorder="1" applyAlignment="1">
      <alignment horizontal="right" vertical="top"/>
    </xf>
    <xf numFmtId="0" fontId="8" fillId="0" borderId="0" xfId="16" applyFont="1" applyFill="1" applyBorder="1" applyAlignment="1">
      <alignment horizontal="right" vertical="top"/>
    </xf>
    <xf numFmtId="0" fontId="8" fillId="0" borderId="58" xfId="16" applyFont="1" applyFill="1" applyBorder="1" applyAlignment="1">
      <alignment horizontal="right" vertical="top"/>
    </xf>
    <xf numFmtId="0" fontId="8" fillId="2" borderId="18" xfId="16" applyFont="1" applyFill="1" applyBorder="1" applyAlignment="1">
      <alignment horizontal="left" vertical="center"/>
    </xf>
    <xf numFmtId="0" fontId="8" fillId="2" borderId="0" xfId="16" applyFont="1" applyFill="1" applyBorder="1" applyAlignment="1">
      <alignment horizontal="right" vertical="top"/>
    </xf>
    <xf numFmtId="0" fontId="8" fillId="2" borderId="58" xfId="16" applyFont="1" applyFill="1" applyBorder="1" applyAlignment="1">
      <alignment horizontal="right" vertical="center"/>
    </xf>
    <xf numFmtId="0" fontId="8" fillId="0" borderId="5" xfId="16" applyFont="1" applyFill="1" applyBorder="1" applyAlignment="1">
      <alignment horizontal="left" vertical="top"/>
    </xf>
    <xf numFmtId="0" fontId="8" fillId="0" borderId="6" xfId="16" applyFont="1" applyFill="1" applyBorder="1" applyAlignment="1">
      <alignment horizontal="right" vertical="center"/>
    </xf>
    <xf numFmtId="0" fontId="8" fillId="0" borderId="61" xfId="16" applyFont="1" applyFill="1" applyBorder="1" applyAlignment="1">
      <alignment horizontal="right" vertical="center"/>
    </xf>
    <xf numFmtId="0" fontId="8" fillId="2" borderId="61" xfId="16" applyFont="1" applyFill="1" applyBorder="1" applyAlignment="1">
      <alignment horizontal="right" vertical="top"/>
    </xf>
    <xf numFmtId="172" fontId="7" fillId="2" borderId="63" xfId="14" quotePrefix="1" applyNumberFormat="1" applyFont="1" applyFill="1" applyBorder="1" applyAlignment="1">
      <alignment horizontal="right"/>
    </xf>
    <xf numFmtId="0" fontId="12" fillId="0" borderId="0" xfId="2" applyFont="1" applyFill="1" applyAlignment="1" applyProtection="1">
      <alignment vertical="top"/>
      <protection hidden="1"/>
    </xf>
    <xf numFmtId="0" fontId="63" fillId="0" borderId="55" xfId="16" applyFont="1" applyFill="1" applyBorder="1" applyAlignment="1">
      <alignment horizontal="right" vertical="top"/>
    </xf>
    <xf numFmtId="0" fontId="8" fillId="0" borderId="2" xfId="2" applyFont="1" applyFill="1" applyBorder="1" applyAlignment="1">
      <alignment wrapText="1"/>
    </xf>
    <xf numFmtId="0" fontId="7" fillId="0" borderId="55" xfId="2" applyFont="1" applyFill="1" applyBorder="1" applyAlignment="1">
      <alignment horizontal="right" vertical="center"/>
    </xf>
    <xf numFmtId="0" fontId="7" fillId="0" borderId="57" xfId="2" applyFont="1" applyFill="1" applyBorder="1" applyAlignment="1">
      <alignment horizontal="right" vertical="center"/>
    </xf>
    <xf numFmtId="0" fontId="100" fillId="0" borderId="0" xfId="2" applyFont="1" applyFill="1" applyBorder="1" applyAlignment="1">
      <alignment vertical="top"/>
    </xf>
    <xf numFmtId="1" fontId="8" fillId="0" borderId="61" xfId="2" applyNumberFormat="1" applyFont="1" applyFill="1" applyBorder="1"/>
    <xf numFmtId="2" fontId="8" fillId="0" borderId="0" xfId="2" applyNumberFormat="1" applyFont="1" applyFill="1" applyBorder="1"/>
    <xf numFmtId="0" fontId="7" fillId="0" borderId="2" xfId="2" applyFont="1" applyFill="1" applyBorder="1" applyAlignment="1">
      <alignment horizontal="center" vertical="center"/>
    </xf>
    <xf numFmtId="0" fontId="8" fillId="0" borderId="0" xfId="2" applyFont="1" applyFill="1" applyBorder="1" applyAlignment="1">
      <alignment vertical="center" wrapText="1"/>
    </xf>
    <xf numFmtId="2" fontId="8" fillId="0" borderId="58" xfId="2" applyNumberFormat="1" applyFont="1" applyFill="1" applyBorder="1"/>
    <xf numFmtId="0" fontId="161" fillId="0" borderId="6" xfId="2" applyFont="1" applyFill="1" applyBorder="1" applyAlignment="1">
      <alignment wrapText="1"/>
    </xf>
    <xf numFmtId="2" fontId="161" fillId="0" borderId="61" xfId="2" applyNumberFormat="1" applyFont="1" applyFill="1" applyBorder="1"/>
    <xf numFmtId="0" fontId="7" fillId="0" borderId="3" xfId="2" applyFont="1" applyFill="1" applyBorder="1"/>
    <xf numFmtId="0" fontId="100" fillId="0" borderId="0" xfId="2" applyFont="1" applyFill="1" applyAlignment="1">
      <alignment vertical="top"/>
    </xf>
    <xf numFmtId="0" fontId="8" fillId="0" borderId="18" xfId="2" applyFont="1" applyFill="1" applyBorder="1" applyAlignment="1">
      <alignment vertical="center" wrapText="1"/>
    </xf>
    <xf numFmtId="169" fontId="8" fillId="0" borderId="58" xfId="1" applyNumberFormat="1" applyFont="1" applyFill="1" applyBorder="1"/>
    <xf numFmtId="169" fontId="8" fillId="0" borderId="60" xfId="1" applyNumberFormat="1" applyFont="1" applyFill="1" applyBorder="1"/>
    <xf numFmtId="169" fontId="8" fillId="0" borderId="61" xfId="1" applyNumberFormat="1" applyFont="1" applyFill="1" applyBorder="1"/>
    <xf numFmtId="169" fontId="8" fillId="0" borderId="20" xfId="1" applyNumberFormat="1" applyFont="1" applyFill="1" applyBorder="1"/>
    <xf numFmtId="0" fontId="7" fillId="0" borderId="2" xfId="2" applyFont="1" applyFill="1" applyBorder="1" applyAlignment="1">
      <alignment horizontal="left" vertical="center"/>
    </xf>
    <xf numFmtId="10" fontId="45" fillId="0" borderId="0" xfId="0" applyNumberFormat="1" applyFont="1" applyFill="1" applyBorder="1" applyAlignment="1">
      <alignment horizontal="left" vertical="center" wrapText="1"/>
    </xf>
    <xf numFmtId="10" fontId="8" fillId="0" borderId="58" xfId="1" applyNumberFormat="1" applyFont="1" applyFill="1" applyBorder="1" applyAlignment="1"/>
    <xf numFmtId="10" fontId="8" fillId="0" borderId="58" xfId="1" applyNumberFormat="1" applyFont="1" applyFill="1" applyBorder="1"/>
    <xf numFmtId="10" fontId="8" fillId="0" borderId="60" xfId="1" applyNumberFormat="1" applyFont="1" applyFill="1" applyBorder="1"/>
    <xf numFmtId="169" fontId="8" fillId="0" borderId="63" xfId="1" applyNumberFormat="1" applyFont="1" applyFill="1" applyBorder="1"/>
    <xf numFmtId="0" fontId="155" fillId="21" borderId="0" xfId="2" applyFont="1" applyFill="1"/>
    <xf numFmtId="0" fontId="162" fillId="0" borderId="0" xfId="2" applyFont="1" applyFill="1"/>
    <xf numFmtId="10" fontId="155" fillId="21" borderId="0" xfId="1" applyNumberFormat="1" applyFont="1" applyFill="1"/>
    <xf numFmtId="0" fontId="155" fillId="21" borderId="0" xfId="2" applyFont="1" applyFill="1" applyAlignment="1">
      <alignment wrapText="1"/>
    </xf>
    <xf numFmtId="0" fontId="85" fillId="0" borderId="0" xfId="2" applyFont="1" applyFill="1"/>
    <xf numFmtId="0" fontId="163" fillId="0" borderId="0" xfId="2" applyFont="1" applyFill="1"/>
    <xf numFmtId="0" fontId="6" fillId="3" borderId="0" xfId="2" applyFont="1" applyFill="1" applyBorder="1" applyAlignment="1" applyProtection="1">
      <alignment horizontal="left" vertical="top"/>
      <protection locked="0"/>
    </xf>
    <xf numFmtId="0" fontId="1" fillId="3" borderId="0" xfId="2" applyFont="1" applyFill="1" applyProtection="1">
      <protection locked="0"/>
    </xf>
    <xf numFmtId="0" fontId="15" fillId="13" borderId="0" xfId="3" applyFont="1" applyFill="1" applyBorder="1" applyAlignment="1" applyProtection="1">
      <alignment horizontal="left"/>
      <protection locked="0"/>
    </xf>
    <xf numFmtId="0" fontId="4" fillId="13" borderId="0" xfId="3" applyFont="1" applyFill="1" applyBorder="1" applyAlignment="1" applyProtection="1">
      <alignment horizontal="left"/>
      <protection locked="0"/>
    </xf>
    <xf numFmtId="164" fontId="4" fillId="13" borderId="0" xfId="3" applyNumberFormat="1" applyFont="1" applyFill="1" applyBorder="1" applyProtection="1">
      <protection locked="0"/>
    </xf>
    <xf numFmtId="164" fontId="8" fillId="13" borderId="0" xfId="3" applyNumberFormat="1" applyFont="1" applyFill="1" applyBorder="1" applyAlignment="1" applyProtection="1">
      <protection locked="0"/>
    </xf>
    <xf numFmtId="0" fontId="7" fillId="13" borderId="4" xfId="3" applyFont="1" applyFill="1" applyBorder="1" applyAlignment="1" applyProtection="1">
      <alignment horizontal="left"/>
      <protection locked="0"/>
    </xf>
    <xf numFmtId="0" fontId="7" fillId="13" borderId="2" xfId="3" applyFont="1" applyFill="1" applyBorder="1" applyAlignment="1" applyProtection="1">
      <alignment horizontal="left"/>
      <protection locked="0"/>
    </xf>
    <xf numFmtId="0" fontId="7" fillId="13" borderId="2" xfId="3" applyFont="1" applyFill="1" applyBorder="1" applyAlignment="1" applyProtection="1">
      <alignment horizontal="right"/>
      <protection locked="0"/>
    </xf>
    <xf numFmtId="1" fontId="7" fillId="13" borderId="2" xfId="3" applyNumberFormat="1" applyFont="1" applyFill="1" applyBorder="1" applyProtection="1">
      <protection locked="0"/>
    </xf>
    <xf numFmtId="1" fontId="7" fillId="13" borderId="3" xfId="3" applyNumberFormat="1" applyFont="1" applyFill="1" applyBorder="1" applyProtection="1">
      <protection locked="0"/>
    </xf>
    <xf numFmtId="0" fontId="8" fillId="13" borderId="5" xfId="3" applyFont="1" applyFill="1" applyBorder="1" applyAlignment="1" applyProtection="1">
      <alignment horizontal="left"/>
      <protection locked="0"/>
    </xf>
    <xf numFmtId="0" fontId="8" fillId="13" borderId="6" xfId="3" applyFont="1" applyFill="1" applyBorder="1" applyAlignment="1" applyProtection="1">
      <alignment horizontal="left"/>
      <protection locked="0"/>
    </xf>
    <xf numFmtId="1" fontId="8" fillId="13" borderId="2" xfId="3" applyNumberFormat="1" applyFont="1" applyFill="1" applyBorder="1" applyAlignment="1" applyProtection="1">
      <alignment horizontal="right"/>
      <protection locked="0"/>
    </xf>
    <xf numFmtId="164" fontId="8" fillId="13" borderId="6" xfId="3" applyNumberFormat="1" applyFont="1" applyFill="1" applyBorder="1" applyProtection="1">
      <protection locked="0"/>
    </xf>
    <xf numFmtId="1" fontId="8" fillId="13" borderId="20" xfId="3" applyNumberFormat="1" applyFont="1" applyFill="1" applyBorder="1" applyProtection="1">
      <protection locked="0"/>
    </xf>
    <xf numFmtId="0" fontId="8" fillId="13" borderId="0" xfId="3" applyFont="1" applyFill="1" applyBorder="1" applyAlignment="1" applyProtection="1">
      <alignment horizontal="left"/>
      <protection locked="0"/>
    </xf>
    <xf numFmtId="0" fontId="5" fillId="13" borderId="0" xfId="2" applyFont="1" applyFill="1" applyAlignment="1" applyProtection="1">
      <alignment horizontal="left" vertical="top"/>
    </xf>
    <xf numFmtId="0" fontId="8" fillId="13" borderId="0" xfId="2" applyFont="1" applyFill="1" applyAlignment="1" applyProtection="1">
      <alignment horizontal="right" vertical="top"/>
    </xf>
    <xf numFmtId="0" fontId="7" fillId="13" borderId="0" xfId="2" applyFont="1" applyFill="1" applyBorder="1" applyAlignment="1" applyProtection="1"/>
    <xf numFmtId="0" fontId="8" fillId="13" borderId="0" xfId="2" applyFont="1" applyFill="1" applyProtection="1">
      <protection locked="0"/>
    </xf>
    <xf numFmtId="0" fontId="8" fillId="13" borderId="0" xfId="2" applyFont="1" applyFill="1" applyBorder="1" applyAlignment="1" applyProtection="1">
      <alignment horizontal="right"/>
    </xf>
    <xf numFmtId="0" fontId="8" fillId="13" borderId="0" xfId="2" applyFont="1" applyFill="1" applyBorder="1" applyAlignment="1" applyProtection="1"/>
    <xf numFmtId="0" fontId="7" fillId="13" borderId="4" xfId="2" applyFont="1" applyFill="1" applyBorder="1" applyAlignment="1" applyProtection="1"/>
    <xf numFmtId="0" fontId="7" fillId="13" borderId="26" xfId="2" applyFont="1" applyFill="1" applyBorder="1" applyAlignment="1" applyProtection="1"/>
    <xf numFmtId="0" fontId="7" fillId="13" borderId="27" xfId="2" applyFont="1" applyFill="1" applyBorder="1" applyAlignment="1" applyProtection="1"/>
    <xf numFmtId="0" fontId="8" fillId="13" borderId="0" xfId="2" applyFont="1" applyFill="1" applyAlignment="1" applyProtection="1">
      <alignment horizontal="left" vertical="top"/>
    </xf>
    <xf numFmtId="0" fontId="49" fillId="13" borderId="18" xfId="13" applyFont="1" applyFill="1" applyBorder="1" applyAlignment="1">
      <alignment horizontal="left" wrapText="1"/>
    </xf>
    <xf numFmtId="0" fontId="49" fillId="13" borderId="0" xfId="13" applyFont="1" applyFill="1" applyBorder="1" applyAlignment="1">
      <alignment horizontal="right" wrapText="1"/>
    </xf>
    <xf numFmtId="0" fontId="7" fillId="13" borderId="0" xfId="2" applyFont="1" applyFill="1" applyBorder="1" applyAlignment="1" applyProtection="1">
      <alignment horizontal="right"/>
    </xf>
    <xf numFmtId="0" fontId="7" fillId="13" borderId="19" xfId="2" applyFont="1" applyFill="1" applyBorder="1" applyAlignment="1" applyProtection="1">
      <alignment horizontal="right"/>
    </xf>
    <xf numFmtId="0" fontId="45" fillId="13" borderId="18" xfId="13" applyFont="1" applyFill="1" applyBorder="1" applyAlignment="1">
      <alignment horizontal="left" wrapText="1"/>
    </xf>
    <xf numFmtId="0" fontId="45" fillId="13" borderId="0" xfId="13" applyFont="1" applyFill="1" applyBorder="1" applyAlignment="1">
      <alignment horizontal="right" wrapText="1"/>
    </xf>
    <xf numFmtId="0" fontId="8" fillId="13" borderId="19" xfId="2" applyFont="1" applyFill="1" applyBorder="1" applyAlignment="1" applyProtection="1">
      <alignment horizontal="right"/>
    </xf>
    <xf numFmtId="0" fontId="45" fillId="13" borderId="5" xfId="13" applyFont="1" applyFill="1" applyBorder="1" applyAlignment="1">
      <alignment horizontal="left" wrapText="1"/>
    </xf>
    <xf numFmtId="0" fontId="45" fillId="13" borderId="6" xfId="13" applyFont="1" applyFill="1" applyBorder="1" applyAlignment="1">
      <alignment horizontal="right" wrapText="1"/>
    </xf>
    <xf numFmtId="0" fontId="8" fillId="13" borderId="6" xfId="2" applyFont="1" applyFill="1" applyBorder="1" applyAlignment="1" applyProtection="1">
      <alignment horizontal="right"/>
    </xf>
    <xf numFmtId="0" fontId="8" fillId="13" borderId="20" xfId="2" applyFont="1" applyFill="1" applyBorder="1" applyAlignment="1" applyProtection="1">
      <alignment horizontal="right"/>
    </xf>
    <xf numFmtId="0" fontId="5" fillId="13" borderId="0" xfId="2" applyFont="1" applyFill="1" applyAlignment="1" applyProtection="1">
      <alignment horizontal="right" vertical="top"/>
    </xf>
    <xf numFmtId="0" fontId="13" fillId="13" borderId="0" xfId="2" applyFont="1" applyFill="1" applyAlignment="1" applyProtection="1">
      <alignment horizontal="right" vertical="top"/>
    </xf>
    <xf numFmtId="3" fontId="151" fillId="0" borderId="0" xfId="0" applyNumberFormat="1" applyFont="1" applyFill="1"/>
    <xf numFmtId="3" fontId="151" fillId="0" borderId="0" xfId="0" applyNumberFormat="1" applyFont="1"/>
    <xf numFmtId="3" fontId="151" fillId="0" borderId="23" xfId="0" applyNumberFormat="1" applyFont="1" applyFill="1" applyBorder="1"/>
    <xf numFmtId="3" fontId="151" fillId="0" borderId="23" xfId="0" applyNumberFormat="1" applyFont="1" applyBorder="1"/>
    <xf numFmtId="169" fontId="8" fillId="0" borderId="0" xfId="2" applyNumberFormat="1" applyFont="1" applyFill="1"/>
    <xf numFmtId="43" fontId="8" fillId="28" borderId="145" xfId="18" applyFont="1" applyFill="1" applyBorder="1"/>
    <xf numFmtId="43" fontId="8" fillId="0" borderId="145" xfId="18" applyFont="1" applyFill="1" applyBorder="1"/>
    <xf numFmtId="164" fontId="8" fillId="28" borderId="145" xfId="0" applyNumberFormat="1" applyFont="1" applyFill="1" applyBorder="1"/>
    <xf numFmtId="164" fontId="8" fillId="0" borderId="145" xfId="0" applyNumberFormat="1" applyFont="1" applyFill="1" applyBorder="1"/>
    <xf numFmtId="164" fontId="8" fillId="0" borderId="0" xfId="2" applyNumberFormat="1" applyFont="1" applyFill="1"/>
    <xf numFmtId="164" fontId="12" fillId="0" borderId="0" xfId="2" applyNumberFormat="1" applyFont="1" applyFill="1" applyBorder="1"/>
    <xf numFmtId="166" fontId="12" fillId="0" borderId="23" xfId="2" applyNumberFormat="1" applyFont="1" applyFill="1" applyBorder="1"/>
    <xf numFmtId="166" fontId="32" fillId="0" borderId="6" xfId="2" applyNumberFormat="1" applyFont="1" applyFill="1" applyBorder="1"/>
    <xf numFmtId="166" fontId="12" fillId="0" borderId="138" xfId="2" applyNumberFormat="1" applyFont="1" applyFill="1" applyBorder="1"/>
    <xf numFmtId="17" fontId="7" fillId="0" borderId="2" xfId="2" quotePrefix="1" applyNumberFormat="1" applyFont="1" applyFill="1" applyBorder="1" applyAlignment="1">
      <alignment horizontal="right"/>
    </xf>
    <xf numFmtId="166" fontId="8" fillId="0" borderId="0" xfId="2" applyNumberFormat="1" applyFont="1" applyFill="1" applyBorder="1"/>
    <xf numFmtId="166" fontId="8" fillId="0" borderId="138" xfId="40" applyNumberFormat="1" applyFont="1" applyFill="1" applyBorder="1" applyAlignment="1">
      <alignment horizontal="right"/>
    </xf>
    <xf numFmtId="166" fontId="8" fillId="0" borderId="138" xfId="2" applyNumberFormat="1" applyFont="1" applyFill="1" applyBorder="1"/>
    <xf numFmtId="166" fontId="7" fillId="0" borderId="6" xfId="40" applyNumberFormat="1" applyFont="1" applyFill="1" applyBorder="1" applyAlignment="1">
      <alignment horizontal="right"/>
    </xf>
    <xf numFmtId="166" fontId="7" fillId="0" borderId="6" xfId="2" applyNumberFormat="1" applyFont="1" applyFill="1" applyBorder="1"/>
    <xf numFmtId="0" fontId="26" fillId="0" borderId="0" xfId="2" applyFont="1" applyProtection="1">
      <protection locked="0"/>
    </xf>
    <xf numFmtId="166" fontId="8" fillId="0" borderId="6" xfId="40" applyNumberFormat="1" applyFont="1" applyFill="1" applyBorder="1" applyAlignment="1">
      <alignment horizontal="right"/>
    </xf>
    <xf numFmtId="166" fontId="8" fillId="0" borderId="6" xfId="2" applyNumberFormat="1" applyFont="1" applyFill="1" applyBorder="1"/>
    <xf numFmtId="17" fontId="7" fillId="0" borderId="3" xfId="2" quotePrefix="1" applyNumberFormat="1" applyFont="1" applyFill="1" applyBorder="1" applyAlignment="1">
      <alignment horizontal="right"/>
    </xf>
    <xf numFmtId="17" fontId="7" fillId="0" borderId="0" xfId="2" quotePrefix="1" applyNumberFormat="1" applyFont="1" applyFill="1" applyBorder="1" applyAlignment="1">
      <alignment horizontal="right"/>
    </xf>
    <xf numFmtId="0" fontId="26" fillId="0" borderId="26" xfId="2" applyFont="1" applyFill="1" applyBorder="1" applyProtection="1">
      <protection locked="0"/>
    </xf>
    <xf numFmtId="166" fontId="7" fillId="0" borderId="2" xfId="40" applyNumberFormat="1" applyFont="1" applyFill="1" applyBorder="1" applyAlignment="1">
      <alignment horizontal="right"/>
    </xf>
    <xf numFmtId="166" fontId="7" fillId="0" borderId="2" xfId="2" applyNumberFormat="1" applyFont="1" applyFill="1" applyBorder="1"/>
    <xf numFmtId="180" fontId="7" fillId="0" borderId="0" xfId="2" applyNumberFormat="1" applyFont="1" applyFill="1" applyBorder="1" applyAlignment="1">
      <alignment horizontal="right" vertical="top" wrapText="1"/>
    </xf>
    <xf numFmtId="3" fontId="7" fillId="0" borderId="0" xfId="2" applyNumberFormat="1" applyFont="1" applyFill="1" applyBorder="1" applyAlignment="1">
      <alignment horizontal="right" vertical="top" wrapText="1"/>
    </xf>
    <xf numFmtId="169" fontId="7" fillId="0" borderId="0" xfId="17" applyNumberFormat="1" applyFont="1" applyFill="1" applyBorder="1" applyAlignment="1">
      <alignment horizontal="right" vertical="top" wrapText="1"/>
    </xf>
    <xf numFmtId="0" fontId="15" fillId="0" borderId="0" xfId="15" applyFont="1"/>
    <xf numFmtId="169" fontId="3" fillId="0" borderId="0" xfId="1" applyNumberFormat="1" applyFont="1" applyBorder="1"/>
    <xf numFmtId="0" fontId="3" fillId="0" borderId="0" xfId="2" applyFont="1" applyBorder="1"/>
    <xf numFmtId="0" fontId="7" fillId="0" borderId="26" xfId="15" applyFont="1" applyFill="1" applyBorder="1"/>
    <xf numFmtId="205" fontId="8" fillId="0" borderId="0" xfId="2" applyNumberFormat="1" applyFont="1" applyFill="1" applyBorder="1" applyAlignment="1">
      <alignment horizontal="right" vertical="top" wrapText="1"/>
    </xf>
    <xf numFmtId="0" fontId="7" fillId="0" borderId="27" xfId="15" applyFont="1" applyFill="1" applyBorder="1" applyAlignment="1">
      <alignment horizontal="center" wrapText="1"/>
    </xf>
    <xf numFmtId="2" fontId="8" fillId="0" borderId="19" xfId="2" applyNumberFormat="1" applyFont="1" applyFill="1" applyBorder="1" applyAlignment="1">
      <alignment horizontal="right" vertical="top" wrapText="1"/>
    </xf>
    <xf numFmtId="0" fontId="8" fillId="0" borderId="6" xfId="2" applyFont="1" applyFill="1" applyBorder="1" applyAlignment="1">
      <alignment vertical="top" wrapText="1"/>
    </xf>
    <xf numFmtId="2" fontId="8" fillId="0" borderId="20" xfId="2" applyNumberFormat="1" applyFont="1" applyFill="1" applyBorder="1" applyAlignment="1">
      <alignment horizontal="right" vertical="top" wrapText="1"/>
    </xf>
    <xf numFmtId="2" fontId="7" fillId="0" borderId="19" xfId="2" applyNumberFormat="1" applyFont="1" applyFill="1" applyBorder="1" applyAlignment="1">
      <alignment horizontal="right" vertical="top" wrapText="1"/>
    </xf>
    <xf numFmtId="0" fontId="4" fillId="0" borderId="0" xfId="15" applyFont="1"/>
    <xf numFmtId="169" fontId="8" fillId="0" borderId="0" xfId="15" applyNumberFormat="1" applyFont="1" applyFill="1" applyBorder="1" applyAlignment="1">
      <alignment horizontal="right"/>
    </xf>
    <xf numFmtId="169" fontId="7" fillId="0" borderId="6" xfId="15" applyNumberFormat="1" applyFont="1" applyFill="1" applyBorder="1" applyAlignment="1">
      <alignment horizontal="right"/>
    </xf>
    <xf numFmtId="0" fontId="7" fillId="0" borderId="23" xfId="2" applyFont="1" applyFill="1" applyBorder="1" applyAlignment="1">
      <alignment horizontal="right"/>
    </xf>
    <xf numFmtId="3" fontId="8" fillId="0" borderId="26" xfId="15" applyNumberFormat="1" applyFont="1" applyFill="1" applyBorder="1"/>
    <xf numFmtId="0" fontId="8" fillId="0" borderId="23" xfId="2" applyFont="1" applyFill="1" applyBorder="1" applyAlignment="1" applyProtection="1">
      <alignment horizontal="right"/>
      <protection locked="0"/>
    </xf>
    <xf numFmtId="0" fontId="7" fillId="0" borderId="138" xfId="2" applyFont="1" applyFill="1" applyBorder="1" applyAlignment="1">
      <alignment horizontal="right"/>
    </xf>
    <xf numFmtId="3" fontId="8" fillId="0" borderId="0" xfId="15" applyNumberFormat="1" applyFont="1" applyFill="1" applyBorder="1" applyAlignment="1">
      <alignment horizontal="right"/>
    </xf>
    <xf numFmtId="3" fontId="7" fillId="0" borderId="6" xfId="15" applyNumberFormat="1" applyFont="1" applyFill="1" applyBorder="1" applyAlignment="1">
      <alignment horizontal="right"/>
    </xf>
    <xf numFmtId="164" fontId="8" fillId="0" borderId="0" xfId="40" applyNumberFormat="1" applyFont="1" applyFill="1" applyBorder="1" applyAlignment="1">
      <alignment horizontal="right"/>
    </xf>
    <xf numFmtId="166" fontId="7" fillId="0" borderId="0" xfId="40" applyNumberFormat="1" applyFont="1" applyFill="1" applyBorder="1" applyAlignment="1">
      <alignment horizontal="right"/>
    </xf>
    <xf numFmtId="166" fontId="8" fillId="0" borderId="26" xfId="40" applyNumberFormat="1" applyFont="1" applyFill="1" applyBorder="1" applyAlignment="1">
      <alignment horizontal="right"/>
    </xf>
    <xf numFmtId="0" fontId="7" fillId="0" borderId="27" xfId="2" quotePrefix="1" applyFont="1" applyFill="1" applyBorder="1" applyAlignment="1">
      <alignment horizontal="right"/>
    </xf>
    <xf numFmtId="0" fontId="7" fillId="0" borderId="139" xfId="2" applyFont="1" applyFill="1" applyBorder="1" applyAlignment="1">
      <alignment horizontal="right"/>
    </xf>
    <xf numFmtId="3" fontId="8" fillId="0" borderId="19" xfId="15" applyNumberFormat="1" applyFont="1" applyFill="1" applyBorder="1" applyAlignment="1">
      <alignment horizontal="right"/>
    </xf>
    <xf numFmtId="3" fontId="8" fillId="0" borderId="130" xfId="15" applyNumberFormat="1" applyFont="1" applyFill="1" applyBorder="1" applyAlignment="1">
      <alignment horizontal="right"/>
    </xf>
    <xf numFmtId="3" fontId="7" fillId="0" borderId="20" xfId="15" applyNumberFormat="1" applyFont="1" applyFill="1" applyBorder="1" applyAlignment="1">
      <alignment horizontal="right"/>
    </xf>
    <xf numFmtId="0" fontId="26" fillId="0" borderId="0" xfId="2" applyFont="1" applyFill="1" applyBorder="1" applyAlignment="1" applyProtection="1">
      <alignment horizontal="right"/>
      <protection locked="0"/>
    </xf>
    <xf numFmtId="0" fontId="7" fillId="0" borderId="6" xfId="15" applyFont="1" applyFill="1" applyBorder="1" applyAlignment="1">
      <alignment horizontal="right"/>
    </xf>
    <xf numFmtId="164" fontId="7" fillId="0" borderId="6" xfId="15" applyNumberFormat="1" applyFont="1" applyFill="1" applyBorder="1" applyAlignment="1">
      <alignment horizontal="right"/>
    </xf>
    <xf numFmtId="164" fontId="7" fillId="0" borderId="6" xfId="40" applyNumberFormat="1" applyFont="1" applyFill="1" applyBorder="1" applyAlignment="1">
      <alignment horizontal="right"/>
    </xf>
    <xf numFmtId="0" fontId="7" fillId="0" borderId="23" xfId="15" applyFont="1" applyFill="1" applyBorder="1" applyAlignment="1">
      <alignment horizontal="right" wrapText="1"/>
    </xf>
    <xf numFmtId="0" fontId="7" fillId="0" borderId="86" xfId="2" applyFont="1" applyFill="1" applyBorder="1" applyAlignment="1" applyProtection="1">
      <alignment horizontal="center" wrapText="1"/>
      <protection locked="0"/>
    </xf>
    <xf numFmtId="0" fontId="7" fillId="0" borderId="0" xfId="15" applyFont="1" applyFill="1" applyBorder="1" applyAlignment="1">
      <alignment horizontal="right" wrapText="1"/>
    </xf>
    <xf numFmtId="10" fontId="7" fillId="0" borderId="0" xfId="1" applyNumberFormat="1" applyFont="1" applyFill="1" applyBorder="1" applyAlignment="1">
      <alignment horizontal="right"/>
    </xf>
    <xf numFmtId="169" fontId="4" fillId="0" borderId="0" xfId="17" applyNumberFormat="1" applyFont="1" applyFill="1" applyProtection="1">
      <protection locked="0"/>
    </xf>
    <xf numFmtId="17" fontId="133" fillId="0" borderId="29" xfId="2" quotePrefix="1" applyNumberFormat="1" applyFont="1" applyBorder="1" applyAlignment="1" applyProtection="1">
      <alignment vertical="top"/>
    </xf>
    <xf numFmtId="0" fontId="133" fillId="0" borderId="29" xfId="2" applyFont="1" applyBorder="1" applyAlignment="1" applyProtection="1">
      <alignment vertical="top"/>
    </xf>
    <xf numFmtId="172" fontId="26" fillId="0" borderId="29" xfId="7" applyNumberFormat="1" applyFont="1" applyBorder="1" applyAlignment="1" applyProtection="1">
      <alignment vertical="top"/>
    </xf>
    <xf numFmtId="172" fontId="26" fillId="3" borderId="29" xfId="7" applyNumberFormat="1" applyFont="1" applyFill="1" applyBorder="1" applyAlignment="1" applyProtection="1">
      <alignment vertical="top"/>
    </xf>
    <xf numFmtId="3" fontId="26" fillId="0" borderId="29" xfId="2" applyNumberFormat="1" applyFont="1" applyBorder="1" applyProtection="1">
      <protection locked="0"/>
    </xf>
    <xf numFmtId="164" fontId="26" fillId="0" borderId="29" xfId="2" applyNumberFormat="1" applyFont="1" applyBorder="1" applyAlignment="1" applyProtection="1">
      <alignment vertical="top"/>
    </xf>
    <xf numFmtId="164" fontId="26" fillId="3" borderId="29" xfId="2" applyNumberFormat="1" applyFont="1" applyFill="1" applyBorder="1" applyAlignment="1" applyProtection="1">
      <alignment vertical="top"/>
    </xf>
    <xf numFmtId="0" fontId="148" fillId="0" borderId="27" xfId="0" applyFont="1" applyFill="1" applyBorder="1" applyAlignment="1">
      <alignment horizontal="center" wrapText="1"/>
    </xf>
    <xf numFmtId="0" fontId="151" fillId="0" borderId="0" xfId="0" applyFont="1" applyFill="1" applyBorder="1" applyAlignment="1">
      <alignment horizontal="center" wrapText="1"/>
    </xf>
    <xf numFmtId="0" fontId="151" fillId="0" borderId="0" xfId="0" applyFont="1" applyFill="1" applyBorder="1" applyAlignment="1">
      <alignment horizontal="right" wrapText="1"/>
    </xf>
    <xf numFmtId="169" fontId="37" fillId="0" borderId="19" xfId="1" applyNumberFormat="1" applyFont="1" applyFill="1" applyBorder="1" applyAlignment="1">
      <alignment horizontal="center" wrapText="1"/>
    </xf>
    <xf numFmtId="0" fontId="151" fillId="0" borderId="6" xfId="0" applyFont="1" applyFill="1" applyBorder="1" applyAlignment="1">
      <alignment horizontal="center" wrapText="1"/>
    </xf>
    <xf numFmtId="0" fontId="151" fillId="0" borderId="6" xfId="0" applyFont="1" applyFill="1" applyBorder="1" applyAlignment="1">
      <alignment horizontal="right" wrapText="1"/>
    </xf>
    <xf numFmtId="169" fontId="37" fillId="0" borderId="20" xfId="1" applyNumberFormat="1" applyFont="1" applyFill="1" applyBorder="1" applyAlignment="1">
      <alignment horizontal="center" wrapText="1"/>
    </xf>
    <xf numFmtId="169" fontId="151" fillId="0" borderId="0" xfId="1" applyNumberFormat="1" applyFont="1" applyFill="1" applyBorder="1" applyAlignment="1">
      <alignment horizontal="center" wrapText="1"/>
    </xf>
    <xf numFmtId="0" fontId="4" fillId="0" borderId="6" xfId="2" applyFont="1" applyFill="1" applyBorder="1" applyAlignment="1" applyProtection="1">
      <alignment horizontal="right"/>
      <protection locked="0"/>
    </xf>
    <xf numFmtId="0" fontId="15" fillId="0" borderId="26" xfId="2" applyFont="1" applyFill="1" applyBorder="1" applyAlignment="1" applyProtection="1">
      <alignment horizontal="center" vertical="top" wrapText="1"/>
      <protection locked="0"/>
    </xf>
    <xf numFmtId="0" fontId="15" fillId="0" borderId="26" xfId="2" applyFont="1" applyFill="1" applyBorder="1" applyAlignment="1" applyProtection="1">
      <alignment horizontal="right" vertical="top" wrapText="1"/>
      <protection locked="0"/>
    </xf>
    <xf numFmtId="206" fontId="151" fillId="0" borderId="0" xfId="0" applyNumberFormat="1" applyFont="1" applyFill="1" applyBorder="1" applyAlignment="1">
      <alignment horizontal="center" wrapText="1"/>
    </xf>
    <xf numFmtId="206" fontId="151" fillId="0" borderId="0" xfId="0" applyNumberFormat="1" applyFont="1" applyFill="1" applyBorder="1" applyAlignment="1">
      <alignment horizontal="right" wrapText="1"/>
    </xf>
    <xf numFmtId="0" fontId="7" fillId="0" borderId="17" xfId="2" applyFont="1" applyFill="1" applyBorder="1" applyAlignment="1">
      <alignment horizontal="right" wrapText="1"/>
    </xf>
    <xf numFmtId="49" fontId="7" fillId="0" borderId="23" xfId="2" applyNumberFormat="1" applyFont="1" applyFill="1" applyBorder="1" applyAlignment="1">
      <alignment horizontal="right" wrapText="1"/>
    </xf>
    <xf numFmtId="169" fontId="7" fillId="0" borderId="17" xfId="1" applyNumberFormat="1" applyFont="1" applyFill="1" applyBorder="1" applyAlignment="1">
      <alignment horizontal="right"/>
    </xf>
    <xf numFmtId="0" fontId="8" fillId="0" borderId="0" xfId="2" applyFont="1" applyFill="1" applyBorder="1" applyAlignment="1">
      <alignment horizontal="left" indent="1"/>
    </xf>
    <xf numFmtId="0" fontId="8" fillId="0" borderId="96" xfId="2" applyFont="1" applyFill="1" applyBorder="1" applyAlignment="1">
      <alignment horizontal="left" indent="2"/>
    </xf>
    <xf numFmtId="0" fontId="8" fillId="0" borderId="15" xfId="2" applyFont="1" applyFill="1" applyBorder="1" applyAlignment="1">
      <alignment horizontal="left" indent="2"/>
    </xf>
    <xf numFmtId="184" fontId="8" fillId="0" borderId="17" xfId="2" applyNumberFormat="1" applyFont="1" applyFill="1" applyBorder="1" applyAlignment="1">
      <alignment horizontal="right"/>
    </xf>
    <xf numFmtId="0" fontId="4" fillId="0" borderId="6" xfId="35" applyFont="1" applyFill="1" applyBorder="1"/>
    <xf numFmtId="10" fontId="7" fillId="0" borderId="0" xfId="2" applyNumberFormat="1" applyFont="1" applyFill="1" applyBorder="1" applyAlignment="1">
      <alignment horizontal="right"/>
    </xf>
    <xf numFmtId="10" fontId="7" fillId="0" borderId="6" xfId="2" applyNumberFormat="1" applyFont="1" applyFill="1" applyBorder="1" applyAlignment="1">
      <alignment horizontal="right"/>
    </xf>
    <xf numFmtId="0" fontId="164" fillId="0" borderId="0" xfId="2" applyFont="1" applyFill="1" applyBorder="1" applyProtection="1">
      <protection locked="0"/>
    </xf>
    <xf numFmtId="175" fontId="164" fillId="0" borderId="0" xfId="2" applyNumberFormat="1" applyFont="1" applyFill="1" applyBorder="1" applyProtection="1">
      <protection locked="0"/>
    </xf>
    <xf numFmtId="204" fontId="4" fillId="0" borderId="0" xfId="2" applyNumberFormat="1" applyFont="1" applyFill="1" applyAlignment="1" applyProtection="1">
      <alignment horizontal="center"/>
    </xf>
    <xf numFmtId="0" fontId="151" fillId="0" borderId="0" xfId="2" applyFont="1" applyFill="1" applyAlignment="1" applyProtection="1">
      <alignment horizontal="center"/>
      <protection locked="0"/>
    </xf>
    <xf numFmtId="0" fontId="37" fillId="0" borderId="0" xfId="2" applyFont="1" applyFill="1" applyAlignment="1" applyProtection="1">
      <alignment horizontal="center"/>
      <protection locked="0"/>
    </xf>
    <xf numFmtId="0" fontId="37" fillId="0" borderId="0" xfId="2" applyFont="1" applyFill="1" applyProtection="1">
      <protection locked="0"/>
    </xf>
    <xf numFmtId="0" fontId="70" fillId="0" borderId="0" xfId="2" applyFont="1" applyFill="1" applyProtection="1">
      <protection locked="0"/>
    </xf>
    <xf numFmtId="0" fontId="151" fillId="0" borderId="0" xfId="2" applyFont="1" applyFill="1" applyProtection="1">
      <protection locked="0"/>
    </xf>
    <xf numFmtId="0" fontId="41" fillId="0" borderId="26" xfId="2" quotePrefix="1" applyFont="1" applyFill="1" applyBorder="1" applyAlignment="1">
      <alignment horizontal="right"/>
    </xf>
    <xf numFmtId="0" fontId="41" fillId="0" borderId="27" xfId="2" quotePrefix="1" applyFont="1" applyFill="1" applyBorder="1" applyAlignment="1">
      <alignment horizontal="right"/>
    </xf>
    <xf numFmtId="204" fontId="28" fillId="26" borderId="41" xfId="2" applyNumberFormat="1" applyFont="1" applyFill="1" applyBorder="1" applyAlignment="1" applyProtection="1">
      <alignment horizontal="right"/>
    </xf>
    <xf numFmtId="204" fontId="41" fillId="2" borderId="19" xfId="2" applyNumberFormat="1" applyFont="1" applyFill="1" applyBorder="1" applyAlignment="1" applyProtection="1">
      <alignment horizontal="right"/>
    </xf>
    <xf numFmtId="204" fontId="28" fillId="0" borderId="19" xfId="2" applyNumberFormat="1" applyFont="1" applyFill="1" applyBorder="1" applyAlignment="1" applyProtection="1">
      <alignment horizontal="right"/>
    </xf>
    <xf numFmtId="185" fontId="28" fillId="0" borderId="41" xfId="2" applyNumberFormat="1" applyFont="1" applyFill="1" applyBorder="1" applyAlignment="1">
      <alignment horizontal="right"/>
    </xf>
    <xf numFmtId="185" fontId="41" fillId="2" borderId="20" xfId="2" applyNumberFormat="1" applyFont="1" applyFill="1" applyBorder="1" applyAlignment="1">
      <alignment horizontal="right"/>
    </xf>
    <xf numFmtId="0" fontId="26" fillId="0" borderId="0" xfId="2" applyFont="1" applyFill="1" applyAlignment="1" applyProtection="1">
      <alignment horizontal="center"/>
      <protection locked="0"/>
    </xf>
    <xf numFmtId="0" fontId="41" fillId="0" borderId="27" xfId="2" applyFont="1" applyFill="1" applyBorder="1" applyAlignment="1" applyProtection="1">
      <alignment horizontal="right"/>
      <protection locked="0"/>
    </xf>
    <xf numFmtId="185" fontId="28" fillId="0" borderId="19" xfId="2" applyNumberFormat="1" applyFont="1" applyFill="1" applyBorder="1" applyAlignment="1">
      <alignment horizontal="right"/>
    </xf>
    <xf numFmtId="185" fontId="41" fillId="0" borderId="2" xfId="2" applyNumberFormat="1" applyFont="1" applyFill="1" applyBorder="1" applyAlignment="1">
      <alignment horizontal="right"/>
    </xf>
    <xf numFmtId="185" fontId="41" fillId="0" borderId="3" xfId="2" applyNumberFormat="1" applyFont="1" applyFill="1" applyBorder="1" applyAlignment="1">
      <alignment horizontal="right"/>
    </xf>
    <xf numFmtId="0" fontId="133" fillId="0" borderId="0" xfId="2" applyFont="1" applyFill="1" applyProtection="1">
      <protection locked="0"/>
    </xf>
    <xf numFmtId="0" fontId="6" fillId="0" borderId="0" xfId="2" applyFont="1" applyFill="1" applyBorder="1" applyAlignment="1" applyProtection="1">
      <alignment horizontal="center"/>
      <protection locked="0"/>
    </xf>
    <xf numFmtId="0" fontId="7" fillId="0" borderId="27" xfId="2" applyFont="1" applyFill="1" applyBorder="1" applyAlignment="1" applyProtection="1">
      <alignment horizontal="center" vertical="top" wrapText="1"/>
      <protection locked="0"/>
    </xf>
    <xf numFmtId="185" fontId="8" fillId="0" borderId="19" xfId="2" applyNumberFormat="1" applyFont="1" applyFill="1" applyBorder="1" applyAlignment="1">
      <alignment horizontal="center" vertical="top"/>
    </xf>
    <xf numFmtId="9" fontId="7" fillId="0" borderId="43" xfId="1" applyFont="1" applyFill="1" applyBorder="1" applyAlignment="1">
      <alignment horizontal="center" vertical="top"/>
    </xf>
    <xf numFmtId="185" fontId="8" fillId="0" borderId="19" xfId="2" applyNumberFormat="1" applyFont="1" applyFill="1" applyBorder="1" applyAlignment="1">
      <alignment horizontal="center"/>
    </xf>
    <xf numFmtId="172" fontId="8" fillId="0" borderId="0" xfId="2" applyNumberFormat="1" applyFont="1" applyFill="1" applyProtection="1"/>
    <xf numFmtId="0" fontId="5" fillId="0" borderId="29" xfId="3" applyFont="1" applyFill="1" applyBorder="1" applyAlignment="1" applyProtection="1">
      <alignment horizontal="right" vertical="top"/>
      <protection locked="0"/>
    </xf>
    <xf numFmtId="0" fontId="7" fillId="2" borderId="29" xfId="3" applyFont="1" applyFill="1" applyBorder="1" applyAlignment="1" applyProtection="1">
      <protection locked="0"/>
    </xf>
    <xf numFmtId="0" fontId="7" fillId="0" borderId="29" xfId="3" applyFont="1" applyFill="1" applyBorder="1" applyAlignment="1" applyProtection="1">
      <protection locked="0"/>
    </xf>
    <xf numFmtId="0" fontId="23" fillId="2" borderId="29" xfId="0" applyFont="1" applyFill="1" applyBorder="1" applyAlignment="1">
      <alignment wrapText="1"/>
    </xf>
    <xf numFmtId="0" fontId="11" fillId="2" borderId="29" xfId="0" applyFont="1" applyFill="1" applyBorder="1"/>
    <xf numFmtId="164" fontId="11" fillId="2" borderId="29" xfId="0" applyNumberFormat="1" applyFont="1" applyFill="1" applyBorder="1"/>
    <xf numFmtId="164" fontId="11" fillId="0" borderId="29" xfId="0" applyNumberFormat="1" applyFont="1" applyFill="1" applyBorder="1"/>
    <xf numFmtId="0" fontId="4" fillId="0" borderId="0" xfId="3" applyFont="1" applyFill="1" applyBorder="1" applyAlignment="1" applyProtection="1">
      <alignment horizontal="left" vertical="top" wrapText="1"/>
    </xf>
    <xf numFmtId="0" fontId="4" fillId="0" borderId="0" xfId="2" applyFont="1" applyFill="1" applyBorder="1" applyAlignment="1" applyProtection="1">
      <alignment horizontal="left" vertical="top" wrapText="1"/>
    </xf>
    <xf numFmtId="164" fontId="8" fillId="0" borderId="65" xfId="2" applyNumberFormat="1" applyFont="1" applyFill="1" applyBorder="1" applyAlignment="1">
      <alignment horizontal="center"/>
    </xf>
    <xf numFmtId="2" fontId="11" fillId="0" borderId="57" xfId="2" applyNumberFormat="1" applyFont="1" applyFill="1" applyBorder="1" applyAlignment="1">
      <alignment horizontal="right"/>
    </xf>
    <xf numFmtId="0" fontId="7" fillId="0" borderId="20" xfId="2" applyFont="1" applyFill="1" applyBorder="1" applyAlignment="1">
      <alignment horizontal="right"/>
    </xf>
    <xf numFmtId="0" fontId="15" fillId="0" borderId="29" xfId="2" applyFont="1" applyFill="1" applyBorder="1"/>
    <xf numFmtId="0" fontId="4" fillId="0" borderId="4" xfId="2" applyFont="1" applyFill="1" applyBorder="1" applyProtection="1"/>
    <xf numFmtId="0" fontId="4" fillId="0" borderId="18" xfId="2" applyFont="1" applyFill="1" applyBorder="1" applyProtection="1"/>
    <xf numFmtId="0" fontId="4" fillId="0" borderId="5" xfId="2" applyFont="1" applyFill="1" applyBorder="1" applyProtection="1"/>
    <xf numFmtId="0" fontId="4" fillId="0" borderId="27" xfId="2" applyFont="1" applyFill="1" applyBorder="1" applyProtection="1"/>
    <xf numFmtId="0" fontId="4" fillId="0" borderId="19" xfId="2" applyFont="1" applyFill="1" applyBorder="1" applyProtection="1"/>
    <xf numFmtId="0" fontId="4" fillId="0" borderId="20" xfId="2" applyFont="1" applyFill="1" applyBorder="1" applyProtection="1"/>
    <xf numFmtId="0" fontId="32" fillId="0" borderId="29" xfId="2" applyFont="1" applyFill="1" applyBorder="1"/>
    <xf numFmtId="0" fontId="129" fillId="0" borderId="29" xfId="2" applyFont="1" applyFill="1" applyBorder="1" applyProtection="1">
      <protection locked="0"/>
    </xf>
    <xf numFmtId="1" fontId="12" fillId="0" borderId="4" xfId="2" applyNumberFormat="1" applyFont="1" applyFill="1" applyBorder="1" applyAlignment="1">
      <alignment horizontal="center"/>
    </xf>
    <xf numFmtId="1" fontId="12" fillId="0" borderId="27" xfId="2" applyNumberFormat="1" applyFont="1" applyFill="1" applyBorder="1" applyAlignment="1">
      <alignment horizontal="center"/>
    </xf>
    <xf numFmtId="1" fontId="12" fillId="0" borderId="18" xfId="2" applyNumberFormat="1" applyFont="1" applyFill="1" applyBorder="1" applyAlignment="1">
      <alignment horizontal="center"/>
    </xf>
    <xf numFmtId="1" fontId="12" fillId="0" borderId="19" xfId="2" applyNumberFormat="1" applyFont="1" applyFill="1" applyBorder="1" applyAlignment="1">
      <alignment horizontal="center"/>
    </xf>
    <xf numFmtId="1" fontId="12" fillId="0" borderId="5" xfId="2" applyNumberFormat="1" applyFont="1" applyFill="1" applyBorder="1" applyAlignment="1">
      <alignment horizontal="center"/>
    </xf>
    <xf numFmtId="1" fontId="12" fillId="0" borderId="20" xfId="2" applyNumberFormat="1" applyFont="1" applyFill="1" applyBorder="1" applyAlignment="1">
      <alignment horizontal="center"/>
    </xf>
    <xf numFmtId="0" fontId="7" fillId="0" borderId="128" xfId="2" applyFont="1" applyFill="1" applyBorder="1" applyAlignment="1" applyProtection="1">
      <alignment horizontal="right"/>
      <protection locked="0"/>
    </xf>
    <xf numFmtId="0" fontId="8" fillId="0" borderId="130" xfId="2" applyFont="1" applyFill="1" applyBorder="1" applyProtection="1">
      <protection locked="0"/>
    </xf>
    <xf numFmtId="0" fontId="8" fillId="0" borderId="118" xfId="2" applyFont="1" applyFill="1" applyBorder="1" applyProtection="1">
      <protection locked="0"/>
    </xf>
    <xf numFmtId="0" fontId="11" fillId="0" borderId="136" xfId="2" applyFont="1" applyFill="1" applyBorder="1" applyProtection="1">
      <protection locked="0"/>
    </xf>
    <xf numFmtId="0" fontId="11" fillId="0" borderId="137" xfId="2" applyFont="1" applyFill="1" applyBorder="1" applyProtection="1">
      <protection locked="0"/>
    </xf>
    <xf numFmtId="164" fontId="8" fillId="0" borderId="0" xfId="1" quotePrefix="1" applyNumberFormat="1" applyFont="1" applyBorder="1" applyAlignment="1">
      <alignment horizontal="right"/>
    </xf>
    <xf numFmtId="0" fontId="28" fillId="0" borderId="0" xfId="2" quotePrefix="1" applyFont="1" applyBorder="1" applyAlignment="1">
      <alignment horizontal="right"/>
    </xf>
    <xf numFmtId="185" fontId="28" fillId="27" borderId="19" xfId="2" applyNumberFormat="1" applyFont="1" applyFill="1" applyBorder="1" applyAlignment="1">
      <alignment horizontal="right"/>
    </xf>
    <xf numFmtId="204" fontId="28" fillId="27" borderId="19" xfId="2" applyNumberFormat="1" applyFont="1" applyFill="1" applyBorder="1" applyAlignment="1" applyProtection="1">
      <alignment horizontal="right"/>
    </xf>
    <xf numFmtId="185" fontId="28" fillId="27" borderId="20" xfId="2" applyNumberFormat="1" applyFont="1" applyFill="1" applyBorder="1" applyAlignment="1">
      <alignment horizontal="right"/>
    </xf>
    <xf numFmtId="1" fontId="8" fillId="29" borderId="0" xfId="2" quotePrefix="1" applyNumberFormat="1" applyFont="1" applyFill="1" applyBorder="1" applyAlignment="1">
      <alignment horizontal="right"/>
    </xf>
    <xf numFmtId="1" fontId="8" fillId="29" borderId="0" xfId="2" applyNumberFormat="1" applyFont="1" applyFill="1" applyBorder="1"/>
    <xf numFmtId="0" fontId="15" fillId="0" borderId="0" xfId="2" applyFont="1" applyFill="1" applyAlignment="1">
      <alignment vertical="top"/>
    </xf>
    <xf numFmtId="0" fontId="4" fillId="0" borderId="0" xfId="2" applyFont="1" applyFill="1" applyBorder="1" applyAlignment="1" applyProtection="1">
      <alignment horizontal="left" vertical="top" wrapText="1"/>
    </xf>
    <xf numFmtId="164" fontId="8" fillId="28" borderId="29" xfId="0" applyNumberFormat="1" applyFont="1" applyFill="1" applyBorder="1"/>
    <xf numFmtId="0" fontId="8" fillId="0" borderId="29" xfId="2" applyFont="1" applyBorder="1"/>
    <xf numFmtId="1" fontId="8" fillId="2" borderId="29" xfId="2" applyNumberFormat="1" applyFont="1" applyFill="1" applyBorder="1" applyAlignment="1">
      <alignment horizontal="right"/>
    </xf>
    <xf numFmtId="172" fontId="8" fillId="2" borderId="29" xfId="14" applyNumberFormat="1" applyFont="1" applyFill="1" applyBorder="1" applyAlignment="1">
      <alignment horizontal="right"/>
    </xf>
    <xf numFmtId="3" fontId="8" fillId="2" borderId="29" xfId="2" applyNumberFormat="1" applyFont="1" applyFill="1" applyBorder="1" applyAlignment="1">
      <alignment horizontal="right"/>
    </xf>
    <xf numFmtId="172" fontId="8" fillId="0" borderId="29" xfId="14" applyNumberFormat="1" applyFont="1" applyFill="1" applyBorder="1" applyAlignment="1">
      <alignment horizontal="right"/>
    </xf>
    <xf numFmtId="3" fontId="8" fillId="0" borderId="29" xfId="2" applyNumberFormat="1" applyFont="1" applyBorder="1"/>
    <xf numFmtId="3" fontId="8" fillId="0" borderId="29" xfId="2" applyNumberFormat="1" applyFont="1" applyFill="1" applyBorder="1"/>
    <xf numFmtId="0" fontId="8" fillId="0" borderId="1" xfId="2" applyFont="1" applyBorder="1" applyAlignment="1">
      <alignment wrapText="1"/>
    </xf>
    <xf numFmtId="0" fontId="8" fillId="2" borderId="1" xfId="2" applyFont="1" applyFill="1" applyBorder="1" applyAlignment="1">
      <alignment horizontal="left" wrapText="1"/>
    </xf>
    <xf numFmtId="0" fontId="7" fillId="0" borderId="29" xfId="2" applyFont="1" applyBorder="1" applyAlignment="1">
      <alignment horizontal="right"/>
    </xf>
    <xf numFmtId="0" fontId="7" fillId="0" borderId="29" xfId="15" applyFont="1" applyBorder="1" applyAlignment="1">
      <alignment horizontal="right"/>
    </xf>
    <xf numFmtId="0" fontId="7" fillId="2" borderId="29" xfId="15" applyFont="1" applyFill="1" applyBorder="1" applyAlignment="1">
      <alignment horizontal="right"/>
    </xf>
    <xf numFmtId="0" fontId="7" fillId="0" borderId="29" xfId="15" applyFont="1" applyFill="1" applyBorder="1" applyAlignment="1">
      <alignment horizontal="right"/>
    </xf>
    <xf numFmtId="0" fontId="7" fillId="0" borderId="29" xfId="2" applyFont="1" applyBorder="1"/>
    <xf numFmtId="49" fontId="14" fillId="2" borderId="27" xfId="8" applyNumberFormat="1" applyFont="1" applyFill="1" applyBorder="1" applyAlignment="1" applyProtection="1">
      <alignment horizontal="right"/>
    </xf>
    <xf numFmtId="175" fontId="8" fillId="2" borderId="19" xfId="2" applyNumberFormat="1" applyFont="1" applyFill="1" applyBorder="1" applyProtection="1">
      <protection locked="0"/>
    </xf>
    <xf numFmtId="4" fontId="8" fillId="2" borderId="20" xfId="2" applyNumberFormat="1" applyFont="1" applyFill="1" applyBorder="1" applyProtection="1">
      <protection locked="0"/>
    </xf>
    <xf numFmtId="175" fontId="8" fillId="2" borderId="27" xfId="2" applyNumberFormat="1" applyFont="1" applyFill="1" applyBorder="1" applyProtection="1">
      <protection locked="0"/>
    </xf>
    <xf numFmtId="175" fontId="8" fillId="2" borderId="44" xfId="2" applyNumberFormat="1" applyFont="1" applyFill="1" applyBorder="1" applyProtection="1">
      <protection locked="0"/>
    </xf>
    <xf numFmtId="166" fontId="8" fillId="2" borderId="20" xfId="2" applyNumberFormat="1" applyFont="1" applyFill="1" applyBorder="1" applyProtection="1">
      <protection locked="0"/>
    </xf>
    <xf numFmtId="175" fontId="14" fillId="2" borderId="45" xfId="2" applyNumberFormat="1" applyFont="1" applyFill="1" applyBorder="1" applyProtection="1">
      <protection locked="0"/>
    </xf>
    <xf numFmtId="166" fontId="11" fillId="0" borderId="0" xfId="0" applyNumberFormat="1" applyFont="1" applyFill="1" applyBorder="1" applyAlignment="1">
      <alignment vertical="top" wrapText="1"/>
    </xf>
    <xf numFmtId="9" fontId="11" fillId="0" borderId="95" xfId="1" applyFont="1" applyBorder="1"/>
    <xf numFmtId="166" fontId="11" fillId="0" borderId="95" xfId="0" applyNumberFormat="1" applyFont="1" applyBorder="1"/>
    <xf numFmtId="0" fontId="4" fillId="0" borderId="16" xfId="2" applyFont="1" applyFill="1" applyBorder="1" applyAlignment="1" applyProtection="1">
      <alignment horizontal="left" vertical="top" wrapText="1"/>
    </xf>
    <xf numFmtId="0" fontId="4" fillId="0" borderId="17" xfId="2" applyFont="1" applyFill="1" applyBorder="1" applyAlignment="1" applyProtection="1">
      <alignment horizontal="left" vertical="top" wrapText="1"/>
    </xf>
    <xf numFmtId="0" fontId="22" fillId="0" borderId="0" xfId="2" applyFont="1" applyFill="1" applyAlignment="1" applyProtection="1">
      <alignment vertical="top" wrapText="1"/>
    </xf>
    <xf numFmtId="0" fontId="7" fillId="2" borderId="0" xfId="2" applyFont="1" applyFill="1" applyBorder="1" applyAlignment="1">
      <alignment horizontal="center"/>
    </xf>
    <xf numFmtId="0" fontId="7" fillId="0" borderId="26" xfId="2" applyFont="1" applyFill="1" applyBorder="1" applyAlignment="1" applyProtection="1">
      <alignment horizontal="center"/>
    </xf>
    <xf numFmtId="0" fontId="7" fillId="0" borderId="70" xfId="2" applyNumberFormat="1" applyFont="1" applyFill="1" applyBorder="1" applyAlignment="1" applyProtection="1">
      <alignment horizontal="center" vertical="center" wrapText="1"/>
    </xf>
    <xf numFmtId="0" fontId="7" fillId="0" borderId="24" xfId="2" applyNumberFormat="1" applyFont="1" applyFill="1" applyBorder="1" applyAlignment="1" applyProtection="1">
      <alignment horizontal="center" vertical="center" wrapText="1"/>
    </xf>
    <xf numFmtId="9" fontId="7" fillId="2" borderId="64" xfId="17" quotePrefix="1" applyFont="1" applyFill="1" applyBorder="1" applyAlignment="1">
      <alignment horizontal="center"/>
    </xf>
    <xf numFmtId="9" fontId="7" fillId="2" borderId="67" xfId="17" quotePrefix="1" applyFont="1" applyFill="1" applyBorder="1" applyAlignment="1">
      <alignment horizontal="center"/>
    </xf>
    <xf numFmtId="0" fontId="4" fillId="0" borderId="0" xfId="2" applyFont="1" applyFill="1" applyBorder="1" applyAlignment="1" applyProtection="1">
      <alignment horizontal="left" vertical="top" wrapText="1"/>
    </xf>
    <xf numFmtId="0" fontId="4" fillId="0" borderId="0" xfId="2" applyFont="1" applyFill="1" applyBorder="1" applyAlignment="1" applyProtection="1">
      <alignment horizontal="left" vertical="top" wrapText="1"/>
    </xf>
    <xf numFmtId="0" fontId="7" fillId="0" borderId="5" xfId="2" applyFont="1" applyFill="1" applyBorder="1" applyAlignment="1" applyProtection="1"/>
    <xf numFmtId="0" fontId="8" fillId="0" borderId="1" xfId="2" applyFont="1" applyFill="1" applyBorder="1" applyAlignment="1">
      <alignment horizontal="justify"/>
    </xf>
    <xf numFmtId="0" fontId="8" fillId="0" borderId="29" xfId="2" applyFont="1" applyFill="1" applyBorder="1" applyAlignment="1">
      <alignment horizontal="justify"/>
    </xf>
    <xf numFmtId="0" fontId="8" fillId="0" borderId="18" xfId="2" applyFont="1" applyFill="1" applyBorder="1" applyAlignment="1">
      <alignment horizontal="justify"/>
    </xf>
    <xf numFmtId="0" fontId="8" fillId="0" borderId="95" xfId="2" applyFont="1" applyFill="1" applyBorder="1" applyAlignment="1">
      <alignment horizontal="justify"/>
    </xf>
    <xf numFmtId="0" fontId="8" fillId="0" borderId="39" xfId="2" applyFont="1" applyFill="1" applyBorder="1" applyAlignment="1">
      <alignment horizontal="justify"/>
    </xf>
    <xf numFmtId="0" fontId="8" fillId="0" borderId="116" xfId="2" applyFont="1" applyFill="1" applyBorder="1" applyAlignment="1">
      <alignment horizontal="justify"/>
    </xf>
    <xf numFmtId="3" fontId="19" fillId="2" borderId="0" xfId="2" applyNumberFormat="1" applyFont="1" applyFill="1" applyProtection="1">
      <protection locked="0"/>
    </xf>
    <xf numFmtId="0" fontId="7" fillId="0" borderId="100" xfId="2" applyFont="1" applyFill="1" applyBorder="1" applyAlignment="1" applyProtection="1">
      <alignment horizontal="right" wrapText="1"/>
    </xf>
    <xf numFmtId="0" fontId="8" fillId="0" borderId="21" xfId="2" applyFont="1" applyFill="1" applyBorder="1" applyAlignment="1" applyProtection="1">
      <alignment horizontal="right"/>
    </xf>
    <xf numFmtId="0" fontId="8" fillId="0" borderId="21" xfId="2" applyFont="1" applyFill="1" applyBorder="1" applyAlignment="1" applyProtection="1">
      <alignment horizontal="right" wrapText="1"/>
    </xf>
    <xf numFmtId="0" fontId="7" fillId="0" borderId="62" xfId="2" applyFont="1" applyFill="1" applyBorder="1" applyAlignment="1" applyProtection="1">
      <alignment horizontal="right"/>
    </xf>
    <xf numFmtId="0" fontId="8" fillId="0" borderId="45" xfId="2" applyFont="1" applyFill="1" applyBorder="1" applyAlignment="1" applyProtection="1">
      <alignment wrapText="1"/>
    </xf>
    <xf numFmtId="0" fontId="7" fillId="0" borderId="19" xfId="2" applyFont="1" applyFill="1" applyBorder="1" applyAlignment="1" applyProtection="1">
      <alignment horizontal="right"/>
      <protection locked="0"/>
    </xf>
    <xf numFmtId="0" fontId="11" fillId="0" borderId="20" xfId="2" applyFont="1" applyFill="1" applyBorder="1" applyAlignment="1" applyProtection="1">
      <alignment horizontal="right"/>
      <protection locked="0"/>
    </xf>
    <xf numFmtId="0" fontId="0" fillId="0" borderId="17" xfId="2" applyFont="1" applyFill="1" applyBorder="1" applyProtection="1">
      <protection locked="0"/>
    </xf>
    <xf numFmtId="0" fontId="11" fillId="0" borderId="70" xfId="2" applyFont="1" applyFill="1" applyBorder="1" applyAlignment="1" applyProtection="1">
      <alignment horizontal="center"/>
      <protection locked="0"/>
    </xf>
    <xf numFmtId="3" fontId="7" fillId="0" borderId="21" xfId="2" applyNumberFormat="1" applyFont="1" applyFill="1" applyBorder="1"/>
    <xf numFmtId="0" fontId="7" fillId="0" borderId="58" xfId="2" applyFont="1" applyFill="1" applyBorder="1" applyAlignment="1">
      <alignment horizontal="right" wrapText="1"/>
    </xf>
    <xf numFmtId="184" fontId="8" fillId="0" borderId="58" xfId="2" applyNumberFormat="1" applyFont="1" applyFill="1" applyBorder="1" applyAlignment="1">
      <alignment horizontal="center"/>
    </xf>
    <xf numFmtId="184" fontId="8" fillId="0" borderId="61" xfId="2" applyNumberFormat="1" applyFont="1" applyFill="1" applyBorder="1" applyAlignment="1"/>
    <xf numFmtId="184" fontId="8" fillId="0" borderId="61" xfId="2" applyNumberFormat="1" applyFont="1" applyFill="1" applyBorder="1" applyAlignment="1">
      <alignment horizontal="center"/>
    </xf>
    <xf numFmtId="9" fontId="8" fillId="0" borderId="0" xfId="2" applyNumberFormat="1" applyFont="1" applyFill="1" applyBorder="1" applyAlignment="1">
      <alignment horizontal="right"/>
    </xf>
    <xf numFmtId="9" fontId="8" fillId="0" borderId="0" xfId="2" applyNumberFormat="1" applyFont="1" applyFill="1" applyBorder="1"/>
    <xf numFmtId="0" fontId="12" fillId="0" borderId="0" xfId="2" applyFont="1" applyFill="1" applyBorder="1" applyAlignment="1">
      <alignment horizontal="right"/>
    </xf>
    <xf numFmtId="169" fontId="8" fillId="0" borderId="78" xfId="2" applyNumberFormat="1" applyFont="1" applyFill="1" applyBorder="1" applyAlignment="1" applyProtection="1">
      <alignment horizontal="right"/>
      <protection locked="0"/>
    </xf>
    <xf numFmtId="169" fontId="8" fillId="0" borderId="58" xfId="2" applyNumberFormat="1" applyFont="1" applyFill="1" applyBorder="1" applyAlignment="1" applyProtection="1">
      <alignment horizontal="right"/>
      <protection locked="0"/>
    </xf>
    <xf numFmtId="169" fontId="8" fillId="0" borderId="84" xfId="2" applyNumberFormat="1" applyFont="1" applyFill="1" applyBorder="1" applyAlignment="1" applyProtection="1">
      <alignment horizontal="right"/>
      <protection locked="0"/>
    </xf>
    <xf numFmtId="0" fontId="4" fillId="0" borderId="15" xfId="2" applyFont="1" applyFill="1" applyBorder="1" applyAlignment="1" applyProtection="1">
      <alignment horizontal="left" vertical="top" wrapText="1"/>
      <protection locked="0"/>
    </xf>
    <xf numFmtId="0" fontId="4" fillId="0" borderId="16" xfId="2" applyFont="1" applyFill="1" applyBorder="1" applyAlignment="1" applyProtection="1">
      <alignment horizontal="left" vertical="top" wrapText="1"/>
      <protection locked="0"/>
    </xf>
    <xf numFmtId="0" fontId="4" fillId="0" borderId="17" xfId="2"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protection locked="0"/>
    </xf>
    <xf numFmtId="0" fontId="4" fillId="0" borderId="2" xfId="3" applyFont="1" applyFill="1" applyBorder="1" applyAlignment="1" applyProtection="1">
      <alignment horizontal="left" vertical="top"/>
      <protection locked="0"/>
    </xf>
    <xf numFmtId="0" fontId="4" fillId="0" borderId="3" xfId="3" applyFont="1" applyFill="1" applyBorder="1" applyAlignment="1" applyProtection="1">
      <alignment horizontal="left" vertical="top"/>
      <protection locked="0"/>
    </xf>
    <xf numFmtId="0" fontId="64" fillId="0" borderId="26" xfId="0" applyFont="1" applyFill="1" applyBorder="1" applyAlignment="1">
      <alignment horizontal="left" vertical="top" wrapText="1"/>
    </xf>
    <xf numFmtId="0" fontId="17" fillId="0" borderId="1" xfId="2" quotePrefix="1" applyFont="1" applyFill="1" applyBorder="1" applyAlignment="1" applyProtection="1">
      <alignment horizontal="center" vertical="top" wrapText="1"/>
      <protection locked="0"/>
    </xf>
    <xf numFmtId="0" fontId="17" fillId="0" borderId="2" xfId="2" quotePrefix="1" applyFont="1" applyFill="1" applyBorder="1" applyAlignment="1" applyProtection="1">
      <alignment horizontal="center" vertical="top" wrapText="1"/>
      <protection locked="0"/>
    </xf>
    <xf numFmtId="0" fontId="17" fillId="0" borderId="3" xfId="2" quotePrefix="1" applyFont="1" applyFill="1" applyBorder="1" applyAlignment="1" applyProtection="1">
      <alignment horizontal="center" vertical="top" wrapText="1"/>
      <protection locked="0"/>
    </xf>
    <xf numFmtId="0" fontId="17" fillId="3" borderId="1" xfId="2" quotePrefix="1" applyFont="1" applyFill="1" applyBorder="1" applyAlignment="1" applyProtection="1">
      <alignment horizontal="center" vertical="top" wrapText="1"/>
      <protection locked="0"/>
    </xf>
    <xf numFmtId="0" fontId="17" fillId="3" borderId="2" xfId="2" quotePrefix="1" applyFont="1" applyFill="1" applyBorder="1" applyAlignment="1" applyProtection="1">
      <alignment horizontal="center" vertical="top" wrapText="1"/>
      <protection locked="0"/>
    </xf>
    <xf numFmtId="0" fontId="17" fillId="3" borderId="3" xfId="2" quotePrefix="1" applyFont="1" applyFill="1" applyBorder="1" applyAlignment="1" applyProtection="1">
      <alignment horizontal="center" vertical="top" wrapText="1"/>
      <protection locked="0"/>
    </xf>
    <xf numFmtId="0" fontId="18" fillId="0" borderId="0" xfId="2" applyFont="1" applyFill="1" applyBorder="1" applyAlignment="1" applyProtection="1">
      <alignment horizontal="center" vertical="top" wrapText="1"/>
    </xf>
    <xf numFmtId="0" fontId="6" fillId="0" borderId="15" xfId="2" applyFont="1" applyFill="1" applyBorder="1" applyAlignment="1" applyProtection="1">
      <alignment horizontal="left" vertical="top" wrapText="1"/>
      <protection locked="0"/>
    </xf>
    <xf numFmtId="0" fontId="6" fillId="0" borderId="16" xfId="2" applyFont="1" applyFill="1" applyBorder="1" applyAlignment="1" applyProtection="1">
      <alignment horizontal="left" vertical="top" wrapText="1"/>
      <protection locked="0"/>
    </xf>
    <xf numFmtId="0" fontId="6" fillId="0" borderId="17" xfId="2" applyFont="1" applyFill="1" applyBorder="1" applyAlignment="1" applyProtection="1">
      <alignment horizontal="left" vertical="top" wrapText="1"/>
      <protection locked="0"/>
    </xf>
    <xf numFmtId="0" fontId="6" fillId="0" borderId="15" xfId="2" applyNumberFormat="1" applyFont="1" applyFill="1" applyBorder="1" applyAlignment="1" applyProtection="1">
      <alignment horizontal="left" vertical="top" wrapText="1"/>
      <protection locked="0"/>
    </xf>
    <xf numFmtId="0" fontId="6" fillId="0" borderId="16" xfId="2" applyNumberFormat="1" applyFont="1" applyFill="1" applyBorder="1" applyAlignment="1" applyProtection="1">
      <alignment horizontal="left" vertical="top" wrapText="1"/>
      <protection locked="0"/>
    </xf>
    <xf numFmtId="0" fontId="4" fillId="0" borderId="15" xfId="2" applyFont="1" applyFill="1" applyBorder="1" applyAlignment="1" applyProtection="1">
      <alignment horizontal="left" vertical="top" wrapText="1"/>
    </xf>
    <xf numFmtId="0" fontId="4" fillId="0" borderId="16" xfId="2" applyFont="1" applyFill="1" applyBorder="1" applyAlignment="1" applyProtection="1">
      <alignment horizontal="left" vertical="top" wrapText="1"/>
    </xf>
    <xf numFmtId="0" fontId="4" fillId="0" borderId="17" xfId="2" applyFont="1" applyFill="1" applyBorder="1" applyAlignment="1" applyProtection="1">
      <alignment horizontal="left" vertical="top" wrapText="1"/>
    </xf>
    <xf numFmtId="0" fontId="4" fillId="0" borderId="22" xfId="2" applyFont="1" applyFill="1" applyBorder="1" applyAlignment="1" applyProtection="1">
      <alignment horizontal="left" vertical="top" wrapText="1"/>
    </xf>
    <xf numFmtId="0" fontId="4" fillId="0" borderId="23" xfId="2" applyFont="1" applyFill="1" applyBorder="1" applyAlignment="1" applyProtection="1">
      <alignment horizontal="left" vertical="top" wrapText="1"/>
    </xf>
    <xf numFmtId="0" fontId="4" fillId="0" borderId="24" xfId="2" applyFont="1" applyFill="1" applyBorder="1" applyAlignment="1" applyProtection="1">
      <alignment horizontal="left" vertical="top" wrapText="1"/>
    </xf>
    <xf numFmtId="0" fontId="4" fillId="0" borderId="15" xfId="3" applyFont="1" applyFill="1" applyBorder="1" applyAlignment="1" applyProtection="1">
      <alignment horizontal="left" vertical="top"/>
    </xf>
    <xf numFmtId="0" fontId="4" fillId="0" borderId="16" xfId="3" applyFont="1" applyFill="1" applyBorder="1" applyAlignment="1" applyProtection="1">
      <alignment horizontal="left" vertical="top"/>
    </xf>
    <xf numFmtId="0" fontId="4" fillId="0" borderId="17" xfId="3" applyFont="1" applyFill="1" applyBorder="1" applyAlignment="1" applyProtection="1">
      <alignment horizontal="left" vertical="top"/>
    </xf>
    <xf numFmtId="0" fontId="4" fillId="0" borderId="15" xfId="3" applyFont="1" applyFill="1" applyBorder="1" applyAlignment="1" applyProtection="1">
      <alignment horizontal="left" vertical="top" wrapText="1"/>
    </xf>
    <xf numFmtId="0" fontId="4" fillId="0" borderId="16" xfId="3" applyFont="1" applyFill="1" applyBorder="1" applyAlignment="1" applyProtection="1">
      <alignment horizontal="left" vertical="top" wrapText="1"/>
    </xf>
    <xf numFmtId="0" fontId="4" fillId="0" borderId="17" xfId="3" applyFont="1" applyFill="1" applyBorder="1" applyAlignment="1" applyProtection="1">
      <alignment horizontal="left" vertical="top" wrapText="1"/>
    </xf>
    <xf numFmtId="0" fontId="4" fillId="0" borderId="21" xfId="3" applyFont="1" applyFill="1" applyBorder="1" applyAlignment="1" applyProtection="1">
      <alignment horizontal="left" vertical="top" wrapText="1"/>
    </xf>
    <xf numFmtId="0" fontId="4" fillId="0" borderId="0" xfId="3" applyFont="1" applyFill="1" applyBorder="1" applyAlignment="1" applyProtection="1">
      <alignment horizontal="left" vertical="top" wrapText="1"/>
    </xf>
    <xf numFmtId="0" fontId="4" fillId="0" borderId="25" xfId="3" applyFont="1" applyFill="1" applyBorder="1" applyAlignment="1" applyProtection="1">
      <alignment horizontal="left" vertical="top" wrapText="1"/>
    </xf>
    <xf numFmtId="0" fontId="4" fillId="0" borderId="29" xfId="2" quotePrefix="1" applyFont="1" applyFill="1" applyBorder="1" applyAlignment="1" applyProtection="1">
      <alignment horizontal="center" vertical="top" wrapText="1"/>
    </xf>
    <xf numFmtId="0" fontId="29" fillId="0" borderId="29" xfId="2" quotePrefix="1" applyFont="1" applyFill="1" applyBorder="1" applyAlignment="1" applyProtection="1">
      <alignment horizontal="center" vertical="top" wrapText="1"/>
    </xf>
    <xf numFmtId="0" fontId="4" fillId="2" borderId="29" xfId="2" quotePrefix="1" applyFont="1" applyFill="1" applyBorder="1" applyAlignment="1" applyProtection="1">
      <alignment horizontal="center" vertical="top" wrapText="1"/>
    </xf>
    <xf numFmtId="0" fontId="4" fillId="3" borderId="15" xfId="3" applyFont="1" applyFill="1" applyBorder="1" applyAlignment="1" applyProtection="1">
      <alignment horizontal="left" vertical="top"/>
    </xf>
    <xf numFmtId="0" fontId="4" fillId="3" borderId="16" xfId="3" applyFont="1" applyFill="1" applyBorder="1" applyAlignment="1" applyProtection="1">
      <alignment horizontal="left" vertical="top"/>
    </xf>
    <xf numFmtId="0" fontId="4" fillId="3" borderId="17" xfId="3" applyFont="1" applyFill="1" applyBorder="1" applyAlignment="1" applyProtection="1">
      <alignment horizontal="left" vertical="top"/>
    </xf>
    <xf numFmtId="0" fontId="4" fillId="6" borderId="0" xfId="2" applyNumberFormat="1" applyFont="1" applyFill="1" applyBorder="1" applyAlignment="1">
      <alignment vertical="top" wrapText="1"/>
    </xf>
    <xf numFmtId="0" fontId="4" fillId="6" borderId="0" xfId="2" applyFont="1" applyFill="1" applyBorder="1" applyAlignment="1">
      <alignment vertical="top" wrapText="1"/>
    </xf>
    <xf numFmtId="0" fontId="1" fillId="6" borderId="0" xfId="2" applyFont="1" applyFill="1" applyBorder="1" applyAlignment="1"/>
    <xf numFmtId="0" fontId="4" fillId="2" borderId="25" xfId="3" applyFont="1" applyFill="1" applyBorder="1" applyAlignment="1" applyProtection="1">
      <alignment vertical="top" wrapText="1"/>
    </xf>
    <xf numFmtId="0" fontId="1" fillId="0" borderId="4" xfId="2" applyFont="1" applyFill="1" applyBorder="1" applyAlignment="1" applyProtection="1">
      <alignment horizontal="center" vertical="top"/>
    </xf>
    <xf numFmtId="0" fontId="1" fillId="0" borderId="26" xfId="2" applyFont="1" applyFill="1" applyBorder="1" applyAlignment="1" applyProtection="1">
      <alignment horizontal="center" vertical="top"/>
    </xf>
    <xf numFmtId="0" fontId="1" fillId="0" borderId="27" xfId="2" applyFont="1" applyFill="1" applyBorder="1" applyAlignment="1" applyProtection="1">
      <alignment horizontal="center" vertical="top"/>
    </xf>
    <xf numFmtId="0" fontId="33" fillId="0" borderId="4" xfId="2" quotePrefix="1" applyFont="1" applyFill="1" applyBorder="1" applyAlignment="1" applyProtection="1">
      <alignment vertical="top" wrapText="1"/>
    </xf>
    <xf numFmtId="0" fontId="33" fillId="0" borderId="26" xfId="2" quotePrefix="1" applyFont="1" applyFill="1" applyBorder="1" applyAlignment="1" applyProtection="1">
      <alignment vertical="top" wrapText="1"/>
    </xf>
    <xf numFmtId="0" fontId="33" fillId="0" borderId="27" xfId="2" quotePrefix="1" applyFont="1" applyFill="1" applyBorder="1" applyAlignment="1" applyProtection="1">
      <alignment vertical="top" wrapText="1"/>
    </xf>
    <xf numFmtId="0" fontId="33" fillId="3" borderId="4" xfId="2" quotePrefix="1" applyFont="1" applyFill="1" applyBorder="1" applyAlignment="1" applyProtection="1">
      <alignment vertical="top" wrapText="1"/>
    </xf>
    <xf numFmtId="0" fontId="33" fillId="3" borderId="26" xfId="2" quotePrefix="1" applyFont="1" applyFill="1" applyBorder="1" applyAlignment="1" applyProtection="1">
      <alignment vertical="top" wrapText="1"/>
    </xf>
    <xf numFmtId="0" fontId="33" fillId="3" borderId="27" xfId="2" quotePrefix="1" applyFont="1" applyFill="1" applyBorder="1" applyAlignment="1" applyProtection="1">
      <alignment vertical="top" wrapText="1"/>
    </xf>
    <xf numFmtId="0" fontId="17" fillId="0" borderId="29" xfId="2" quotePrefix="1" applyFont="1" applyFill="1" applyBorder="1" applyAlignment="1" applyProtection="1">
      <alignment horizontal="center" vertical="top" wrapText="1"/>
    </xf>
    <xf numFmtId="0" fontId="17" fillId="3" borderId="29" xfId="2" quotePrefix="1" applyFont="1" applyFill="1" applyBorder="1" applyAlignment="1" applyProtection="1">
      <alignment horizontal="center" vertical="top" wrapText="1"/>
    </xf>
    <xf numFmtId="0" fontId="4" fillId="0" borderId="25" xfId="3" applyFont="1" applyFill="1" applyBorder="1" applyAlignment="1" applyProtection="1">
      <alignment horizontal="left" vertical="top"/>
    </xf>
    <xf numFmtId="0" fontId="4" fillId="2" borderId="0" xfId="3" applyFont="1" applyFill="1" applyBorder="1" applyAlignment="1" applyProtection="1">
      <alignment horizontal="left" vertical="top" wrapText="1"/>
    </xf>
    <xf numFmtId="0" fontId="17" fillId="0" borderId="0" xfId="2" quotePrefix="1" applyFont="1" applyFill="1" applyBorder="1" applyAlignment="1" applyProtection="1">
      <alignment horizontal="center"/>
      <protection locked="0"/>
    </xf>
    <xf numFmtId="0" fontId="17" fillId="0" borderId="0" xfId="2" quotePrefix="1" applyFont="1" applyFill="1" applyAlignment="1" applyProtection="1">
      <alignment horizontal="center"/>
      <protection locked="0"/>
    </xf>
    <xf numFmtId="0" fontId="17" fillId="2" borderId="0" xfId="2" quotePrefix="1" applyFont="1" applyFill="1" applyAlignment="1" applyProtection="1">
      <alignment horizontal="center"/>
      <protection locked="0"/>
    </xf>
    <xf numFmtId="17" fontId="17" fillId="0" borderId="0" xfId="2" quotePrefix="1" applyNumberFormat="1" applyFont="1" applyFill="1" applyAlignment="1" applyProtection="1">
      <alignment horizontal="center"/>
      <protection locked="0"/>
    </xf>
    <xf numFmtId="0" fontId="19" fillId="0" borderId="0" xfId="2" applyFont="1" applyProtection="1">
      <protection locked="0"/>
    </xf>
    <xf numFmtId="0" fontId="17" fillId="0" borderId="4" xfId="2" quotePrefix="1" applyFont="1" applyFill="1" applyBorder="1" applyAlignment="1" applyProtection="1">
      <alignment horizontal="center"/>
      <protection locked="0"/>
    </xf>
    <xf numFmtId="0" fontId="17" fillId="0" borderId="26" xfId="2" quotePrefix="1" applyFont="1" applyFill="1" applyBorder="1" applyAlignment="1" applyProtection="1">
      <alignment horizontal="center"/>
      <protection locked="0"/>
    </xf>
    <xf numFmtId="0" fontId="17" fillId="0" borderId="27" xfId="2" quotePrefix="1" applyFont="1" applyFill="1" applyBorder="1" applyAlignment="1" applyProtection="1">
      <alignment horizontal="center"/>
      <protection locked="0"/>
    </xf>
    <xf numFmtId="0" fontId="4" fillId="0" borderId="15" xfId="2" applyNumberFormat="1" applyFont="1" applyFill="1" applyBorder="1" applyAlignment="1" applyProtection="1">
      <alignment vertical="top" wrapText="1"/>
    </xf>
    <xf numFmtId="0" fontId="4" fillId="0" borderId="16" xfId="2" applyNumberFormat="1" applyFont="1" applyFill="1" applyBorder="1" applyAlignment="1" applyProtection="1">
      <alignment vertical="top" wrapText="1"/>
    </xf>
    <xf numFmtId="0" fontId="4" fillId="0" borderId="17" xfId="2" applyNumberFormat="1" applyFont="1" applyFill="1" applyBorder="1" applyAlignment="1" applyProtection="1">
      <alignment vertical="top" wrapText="1"/>
    </xf>
    <xf numFmtId="0" fontId="4" fillId="0" borderId="15" xfId="2" applyFont="1" applyFill="1" applyBorder="1" applyAlignment="1" applyProtection="1">
      <alignment vertical="top" wrapText="1"/>
    </xf>
    <xf numFmtId="0" fontId="4" fillId="0" borderId="16" xfId="2" applyFont="1" applyFill="1" applyBorder="1" applyAlignment="1" applyProtection="1">
      <alignment vertical="top" wrapText="1"/>
    </xf>
    <xf numFmtId="0" fontId="4" fillId="0" borderId="17" xfId="2" applyFont="1" applyFill="1" applyBorder="1" applyAlignment="1" applyProtection="1">
      <alignment vertical="top" wrapText="1"/>
    </xf>
    <xf numFmtId="0" fontId="4" fillId="0" borderId="15" xfId="2" applyFont="1" applyFill="1" applyBorder="1" applyAlignment="1" applyProtection="1">
      <alignment horizontal="left" vertical="top"/>
    </xf>
    <xf numFmtId="0" fontId="4" fillId="0" borderId="16" xfId="2" applyFont="1" applyFill="1" applyBorder="1" applyAlignment="1" applyProtection="1">
      <alignment horizontal="left" vertical="top"/>
    </xf>
    <xf numFmtId="0" fontId="4" fillId="0" borderId="17" xfId="2" applyFont="1" applyFill="1" applyBorder="1" applyAlignment="1" applyProtection="1">
      <alignment horizontal="left" vertical="top"/>
    </xf>
    <xf numFmtId="0" fontId="4" fillId="0" borderId="15" xfId="3" applyFont="1" applyFill="1" applyBorder="1" applyAlignment="1" applyProtection="1">
      <alignment horizontal="left" vertical="top" wrapText="1"/>
      <protection locked="0"/>
    </xf>
    <xf numFmtId="0" fontId="4" fillId="0" borderId="16" xfId="3" applyFont="1" applyFill="1" applyBorder="1" applyAlignment="1" applyProtection="1">
      <alignment horizontal="left" vertical="top" wrapText="1"/>
      <protection locked="0"/>
    </xf>
    <xf numFmtId="0" fontId="4" fillId="0" borderId="17" xfId="3" applyFont="1" applyFill="1" applyBorder="1" applyAlignment="1" applyProtection="1">
      <alignment horizontal="left" vertical="top" wrapText="1"/>
      <protection locked="0"/>
    </xf>
    <xf numFmtId="0" fontId="6" fillId="0" borderId="15" xfId="3" applyFont="1" applyFill="1" applyBorder="1" applyAlignment="1" applyProtection="1">
      <alignment horizontal="left" vertical="top" wrapText="1"/>
      <protection locked="0"/>
    </xf>
    <xf numFmtId="0" fontId="6" fillId="0" borderId="16" xfId="3" applyFont="1" applyFill="1" applyBorder="1" applyAlignment="1" applyProtection="1">
      <alignment horizontal="left" vertical="top" wrapText="1"/>
      <protection locked="0"/>
    </xf>
    <xf numFmtId="0" fontId="6" fillId="0" borderId="17" xfId="3" applyFont="1" applyFill="1" applyBorder="1" applyAlignment="1" applyProtection="1">
      <alignment horizontal="left" vertical="top" wrapText="1"/>
      <protection locked="0"/>
    </xf>
    <xf numFmtId="0" fontId="6" fillId="0" borderId="15" xfId="3" applyNumberFormat="1" applyFont="1" applyFill="1" applyBorder="1" applyAlignment="1" applyProtection="1">
      <alignment horizontal="left" vertical="top" wrapText="1"/>
      <protection locked="0"/>
    </xf>
    <xf numFmtId="0" fontId="6" fillId="0" borderId="16" xfId="3" applyNumberFormat="1" applyFont="1" applyFill="1" applyBorder="1" applyAlignment="1" applyProtection="1">
      <alignment horizontal="left" vertical="top" wrapText="1"/>
      <protection locked="0"/>
    </xf>
    <xf numFmtId="0" fontId="4" fillId="0" borderId="15" xfId="3" applyFont="1" applyFill="1" applyBorder="1" applyAlignment="1" applyProtection="1">
      <alignment horizontal="left" vertical="top"/>
      <protection locked="0"/>
    </xf>
    <xf numFmtId="0" fontId="4" fillId="0" borderId="16" xfId="3" applyFont="1" applyFill="1" applyBorder="1" applyAlignment="1" applyProtection="1">
      <alignment horizontal="left" vertical="top"/>
      <protection locked="0"/>
    </xf>
    <xf numFmtId="0" fontId="4" fillId="0" borderId="17" xfId="3" applyFont="1" applyFill="1" applyBorder="1" applyAlignment="1" applyProtection="1">
      <alignment horizontal="left" vertical="top"/>
      <protection locked="0"/>
    </xf>
    <xf numFmtId="0" fontId="4" fillId="2" borderId="1" xfId="2" quotePrefix="1" applyFont="1" applyFill="1" applyBorder="1" applyAlignment="1" applyProtection="1">
      <alignment horizontal="center" vertical="top" wrapText="1"/>
    </xf>
    <xf numFmtId="0" fontId="4" fillId="2" borderId="2" xfId="2" quotePrefix="1" applyFont="1" applyFill="1" applyBorder="1" applyAlignment="1" applyProtection="1">
      <alignment horizontal="center" vertical="top" wrapText="1"/>
    </xf>
    <xf numFmtId="0" fontId="29" fillId="2" borderId="1" xfId="2" quotePrefix="1" applyFont="1" applyFill="1" applyBorder="1" applyAlignment="1" applyProtection="1">
      <alignment horizontal="center" vertical="top" wrapText="1"/>
    </xf>
    <xf numFmtId="0" fontId="29" fillId="2" borderId="2" xfId="2" quotePrefix="1" applyFont="1" applyFill="1" applyBorder="1" applyAlignment="1" applyProtection="1">
      <alignment horizontal="center" vertical="top" wrapText="1"/>
    </xf>
    <xf numFmtId="0" fontId="4" fillId="2" borderId="15" xfId="3" applyFont="1" applyFill="1" applyBorder="1" applyAlignment="1" applyProtection="1">
      <alignment horizontal="left" vertical="top" wrapText="1"/>
    </xf>
    <xf numFmtId="0" fontId="4" fillId="2" borderId="16" xfId="3" applyFont="1" applyFill="1" applyBorder="1" applyAlignment="1" applyProtection="1">
      <alignment horizontal="left" vertical="top" wrapText="1"/>
    </xf>
    <xf numFmtId="0" fontId="4" fillId="2" borderId="17" xfId="3" applyFont="1" applyFill="1" applyBorder="1" applyAlignment="1" applyProtection="1">
      <alignment horizontal="left" vertical="top" wrapText="1"/>
    </xf>
    <xf numFmtId="0" fontId="4" fillId="0" borderId="15" xfId="3" applyFont="1" applyFill="1" applyBorder="1" applyAlignment="1">
      <alignment horizontal="left" vertical="top" wrapText="1"/>
    </xf>
    <xf numFmtId="0" fontId="4" fillId="0" borderId="16" xfId="3" applyFont="1" applyFill="1" applyBorder="1" applyAlignment="1">
      <alignment horizontal="left" vertical="top" wrapText="1"/>
    </xf>
    <xf numFmtId="0" fontId="4" fillId="0" borderId="17" xfId="3" applyFont="1" applyFill="1" applyBorder="1" applyAlignment="1">
      <alignment horizontal="left" vertical="top" wrapText="1"/>
    </xf>
    <xf numFmtId="0" fontId="61" fillId="10" borderId="47" xfId="2" applyFont="1" applyFill="1" applyBorder="1" applyAlignment="1">
      <alignment horizontal="center" wrapText="1"/>
    </xf>
    <xf numFmtId="0" fontId="61" fillId="10" borderId="48" xfId="2" applyFont="1" applyFill="1" applyBorder="1" applyAlignment="1">
      <alignment horizontal="center" wrapText="1"/>
    </xf>
    <xf numFmtId="0" fontId="61" fillId="10" borderId="49" xfId="2" applyFont="1" applyFill="1" applyBorder="1" applyAlignment="1">
      <alignment horizontal="center" wrapText="1"/>
    </xf>
    <xf numFmtId="0" fontId="15" fillId="9" borderId="50" xfId="2" applyFont="1" applyFill="1" applyBorder="1" applyAlignment="1">
      <alignment horizontal="center" vertical="center"/>
    </xf>
    <xf numFmtId="0" fontId="15" fillId="9" borderId="52" xfId="2" applyFont="1" applyFill="1" applyBorder="1" applyAlignment="1">
      <alignment horizontal="center" vertical="center"/>
    </xf>
    <xf numFmtId="0" fontId="4" fillId="0" borderId="15" xfId="3" applyFont="1" applyFill="1" applyBorder="1" applyAlignment="1">
      <alignment horizontal="left" vertical="top"/>
    </xf>
    <xf numFmtId="0" fontId="4" fillId="0" borderId="16" xfId="3" applyFont="1" applyFill="1" applyBorder="1" applyAlignment="1">
      <alignment horizontal="left" vertical="top"/>
    </xf>
    <xf numFmtId="0" fontId="4" fillId="0" borderId="17" xfId="3" applyFont="1" applyFill="1" applyBorder="1" applyAlignment="1">
      <alignment horizontal="left" vertical="top"/>
    </xf>
    <xf numFmtId="0" fontId="4" fillId="0" borderId="0" xfId="3" applyFont="1" applyFill="1" applyBorder="1" applyAlignment="1">
      <alignment vertical="top" wrapText="1"/>
    </xf>
    <xf numFmtId="0" fontId="4" fillId="0" borderId="15" xfId="5" applyFont="1" applyFill="1" applyBorder="1" applyAlignment="1" applyProtection="1">
      <alignment horizontal="left" vertical="top" wrapText="1"/>
    </xf>
    <xf numFmtId="0" fontId="4" fillId="0" borderId="16" xfId="5" applyFont="1" applyFill="1" applyBorder="1" applyAlignment="1" applyProtection="1">
      <alignment horizontal="left" vertical="top" wrapText="1"/>
    </xf>
    <xf numFmtId="0" fontId="4" fillId="0" borderId="17" xfId="5" applyFont="1" applyFill="1" applyBorder="1" applyAlignment="1" applyProtection="1">
      <alignment horizontal="left" vertical="top" wrapText="1"/>
    </xf>
    <xf numFmtId="0" fontId="4" fillId="0" borderId="15" xfId="5" applyFont="1" applyFill="1" applyBorder="1" applyAlignment="1" applyProtection="1">
      <alignment horizontal="left" vertical="top"/>
    </xf>
    <xf numFmtId="0" fontId="4" fillId="0" borderId="16" xfId="5" applyFont="1" applyFill="1" applyBorder="1" applyAlignment="1" applyProtection="1">
      <alignment horizontal="left" vertical="top"/>
    </xf>
    <xf numFmtId="0" fontId="4" fillId="0" borderId="17" xfId="5" applyFont="1" applyFill="1" applyBorder="1" applyAlignment="1" applyProtection="1">
      <alignment horizontal="left" vertical="top"/>
    </xf>
    <xf numFmtId="0" fontId="4" fillId="0" borderId="15" xfId="2" applyFont="1" applyFill="1" applyBorder="1" applyAlignment="1">
      <alignment horizontal="left" vertical="top" wrapText="1"/>
    </xf>
    <xf numFmtId="0" fontId="4" fillId="0" borderId="16" xfId="2" applyFont="1" applyFill="1" applyBorder="1" applyAlignment="1">
      <alignment horizontal="left" vertical="top" wrapText="1"/>
    </xf>
    <xf numFmtId="0" fontId="4" fillId="0" borderId="17" xfId="2" applyFont="1" applyFill="1" applyBorder="1" applyAlignment="1">
      <alignment horizontal="left" vertical="top" wrapText="1"/>
    </xf>
    <xf numFmtId="0" fontId="74" fillId="0" borderId="37" xfId="2" applyFont="1" applyFill="1" applyBorder="1" applyAlignment="1" applyProtection="1">
      <alignment horizontal="left" vertical="top" wrapText="1"/>
    </xf>
    <xf numFmtId="0" fontId="74" fillId="0" borderId="16" xfId="2" applyFont="1" applyFill="1" applyBorder="1" applyAlignment="1" applyProtection="1">
      <alignment horizontal="left" vertical="top" wrapText="1"/>
    </xf>
    <xf numFmtId="0" fontId="74" fillId="0" borderId="15" xfId="2" applyFont="1" applyFill="1" applyBorder="1" applyAlignment="1" applyProtection="1">
      <alignment horizontal="left" vertical="top" wrapText="1"/>
    </xf>
    <xf numFmtId="0" fontId="75" fillId="0" borderId="16" xfId="2" applyFont="1" applyBorder="1" applyAlignment="1">
      <alignment wrapText="1"/>
    </xf>
    <xf numFmtId="0" fontId="74" fillId="0" borderId="16" xfId="2" applyFont="1" applyBorder="1" applyAlignment="1">
      <alignment wrapText="1"/>
    </xf>
    <xf numFmtId="0" fontId="77" fillId="0" borderId="0" xfId="2" applyFont="1" applyFill="1" applyBorder="1" applyAlignment="1" applyProtection="1">
      <alignment vertical="top"/>
    </xf>
    <xf numFmtId="0" fontId="73" fillId="0" borderId="0" xfId="2" applyFont="1" applyFill="1" applyBorder="1" applyAlignment="1" applyProtection="1">
      <alignment vertical="top"/>
    </xf>
    <xf numFmtId="0" fontId="14" fillId="0" borderId="29" xfId="0" applyFont="1" applyBorder="1" applyAlignment="1">
      <alignment horizontal="left"/>
    </xf>
    <xf numFmtId="0" fontId="14" fillId="0" borderId="29" xfId="0" applyFont="1" applyBorder="1" applyAlignment="1">
      <alignment horizontal="center"/>
    </xf>
    <xf numFmtId="0" fontId="4" fillId="0" borderId="37" xfId="2" applyFont="1" applyFill="1" applyBorder="1" applyAlignment="1" applyProtection="1">
      <alignment horizontal="left" vertical="top" wrapText="1"/>
    </xf>
    <xf numFmtId="0" fontId="7" fillId="0" borderId="2" xfId="2" applyFont="1" applyFill="1" applyBorder="1" applyAlignment="1" applyProtection="1">
      <alignment horizontal="center"/>
    </xf>
    <xf numFmtId="0" fontId="7" fillId="0" borderId="3" xfId="2" applyFont="1" applyFill="1" applyBorder="1" applyAlignment="1" applyProtection="1">
      <alignment horizontal="center"/>
    </xf>
    <xf numFmtId="0" fontId="7" fillId="0" borderId="1" xfId="2" applyFont="1" applyFill="1" applyBorder="1" applyAlignment="1" applyProtection="1">
      <alignment horizontal="center"/>
    </xf>
    <xf numFmtId="0" fontId="7" fillId="2" borderId="0" xfId="2" applyFont="1" applyFill="1" applyBorder="1" applyAlignment="1" applyProtection="1">
      <alignment horizontal="center" wrapText="1"/>
    </xf>
    <xf numFmtId="0" fontId="1" fillId="0" borderId="16" xfId="2" applyFont="1" applyBorder="1" applyAlignment="1">
      <alignment wrapText="1"/>
    </xf>
    <xf numFmtId="0" fontId="1" fillId="0" borderId="17" xfId="2" applyFont="1" applyBorder="1" applyAlignment="1">
      <alignment wrapText="1"/>
    </xf>
    <xf numFmtId="0" fontId="4" fillId="0" borderId="16" xfId="2" applyFont="1" applyBorder="1" applyAlignment="1">
      <alignment wrapText="1"/>
    </xf>
    <xf numFmtId="0" fontId="4" fillId="0" borderId="17" xfId="2" applyFont="1" applyBorder="1" applyAlignment="1">
      <alignment wrapText="1"/>
    </xf>
    <xf numFmtId="0" fontId="7" fillId="2" borderId="2" xfId="2" applyFont="1" applyFill="1" applyBorder="1" applyAlignment="1" applyProtection="1">
      <alignment horizontal="center" wrapText="1"/>
    </xf>
    <xf numFmtId="0" fontId="7" fillId="2" borderId="71" xfId="2" applyFont="1" applyFill="1" applyBorder="1" applyAlignment="1" applyProtection="1">
      <alignment horizontal="center" wrapText="1"/>
    </xf>
    <xf numFmtId="0" fontId="7" fillId="2" borderId="56" xfId="2" applyFont="1" applyFill="1" applyBorder="1" applyAlignment="1" applyProtection="1">
      <alignment horizontal="center" wrapText="1"/>
    </xf>
    <xf numFmtId="0" fontId="25" fillId="0" borderId="15" xfId="2" applyFont="1" applyFill="1" applyBorder="1" applyAlignment="1" applyProtection="1">
      <alignment horizontal="left" vertical="top" wrapText="1"/>
    </xf>
    <xf numFmtId="0" fontId="25" fillId="0" borderId="16" xfId="2" applyFont="1" applyFill="1" applyBorder="1" applyAlignment="1" applyProtection="1">
      <alignment horizontal="left" vertical="top" wrapText="1"/>
    </xf>
    <xf numFmtId="0" fontId="25" fillId="0" borderId="17" xfId="2" applyFont="1" applyFill="1" applyBorder="1" applyAlignment="1" applyProtection="1">
      <alignment horizontal="left" vertical="top" wrapText="1"/>
    </xf>
    <xf numFmtId="0" fontId="7" fillId="0" borderId="0" xfId="2" applyFont="1" applyFill="1" applyBorder="1" applyAlignment="1">
      <alignment horizontal="center" vertical="top" wrapText="1"/>
    </xf>
    <xf numFmtId="0" fontId="1" fillId="0" borderId="15" xfId="2" applyFont="1" applyFill="1" applyBorder="1" applyAlignment="1"/>
    <xf numFmtId="0" fontId="1" fillId="0" borderId="16" xfId="2" applyFont="1" applyFill="1" applyBorder="1" applyAlignment="1"/>
    <xf numFmtId="0" fontId="1" fillId="0" borderId="17" xfId="2" applyFont="1" applyFill="1" applyBorder="1" applyAlignment="1"/>
    <xf numFmtId="0" fontId="4" fillId="0" borderId="15" xfId="2" applyFont="1" applyFill="1" applyBorder="1" applyAlignment="1">
      <alignment vertical="top" wrapText="1"/>
    </xf>
    <xf numFmtId="0" fontId="4" fillId="0" borderId="16" xfId="2" applyFont="1" applyFill="1" applyBorder="1" applyAlignment="1">
      <alignment vertical="top" wrapText="1"/>
    </xf>
    <xf numFmtId="0" fontId="4" fillId="0" borderId="17" xfId="2" applyFont="1" applyFill="1" applyBorder="1" applyAlignment="1">
      <alignment vertical="top" wrapText="1"/>
    </xf>
    <xf numFmtId="0" fontId="4" fillId="0" borderId="15" xfId="15" applyFont="1" applyFill="1" applyBorder="1" applyAlignment="1">
      <alignment vertical="top" wrapText="1"/>
    </xf>
    <xf numFmtId="0" fontId="4" fillId="0" borderId="16" xfId="15" applyFont="1" applyFill="1" applyBorder="1" applyAlignment="1">
      <alignment vertical="top" wrapText="1"/>
    </xf>
    <xf numFmtId="0" fontId="4" fillId="0" borderId="17" xfId="15" applyFont="1" applyFill="1" applyBorder="1" applyAlignment="1">
      <alignment vertical="top" wrapText="1"/>
    </xf>
    <xf numFmtId="0" fontId="4" fillId="0" borderId="15" xfId="15" applyNumberFormat="1" applyFont="1" applyFill="1" applyBorder="1" applyAlignment="1" applyProtection="1">
      <alignment vertical="top" wrapText="1"/>
    </xf>
    <xf numFmtId="0" fontId="4" fillId="0" borderId="16" xfId="15" applyNumberFormat="1" applyFont="1" applyFill="1" applyBorder="1" applyAlignment="1" applyProtection="1">
      <alignment vertical="top" wrapText="1"/>
    </xf>
    <xf numFmtId="0" fontId="4" fillId="0" borderId="17" xfId="15" applyNumberFormat="1" applyFont="1" applyFill="1" applyBorder="1" applyAlignment="1" applyProtection="1">
      <alignment vertical="top" wrapText="1"/>
    </xf>
    <xf numFmtId="0" fontId="7" fillId="0" borderId="64" xfId="17" applyNumberFormat="1" applyFont="1" applyFill="1" applyBorder="1" applyAlignment="1">
      <alignment horizontal="center"/>
    </xf>
    <xf numFmtId="0" fontId="7" fillId="0" borderId="26" xfId="17" applyNumberFormat="1" applyFont="1" applyFill="1" applyBorder="1" applyAlignment="1">
      <alignment horizontal="center"/>
    </xf>
    <xf numFmtId="0" fontId="7" fillId="0" borderId="27" xfId="17" applyNumberFormat="1" applyFont="1" applyFill="1" applyBorder="1" applyAlignment="1">
      <alignment horizontal="center"/>
    </xf>
    <xf numFmtId="0" fontId="4" fillId="0" borderId="15" xfId="15" applyFont="1" applyFill="1" applyBorder="1" applyAlignment="1">
      <alignment horizontal="left" vertical="top" wrapText="1"/>
    </xf>
    <xf numFmtId="0" fontId="4" fillId="0" borderId="16" xfId="15" applyFont="1" applyFill="1" applyBorder="1" applyAlignment="1">
      <alignment horizontal="left" vertical="top" wrapText="1"/>
    </xf>
    <xf numFmtId="0" fontId="4" fillId="0" borderId="17" xfId="15" applyFont="1" applyFill="1" applyBorder="1" applyAlignment="1">
      <alignment horizontal="left" vertical="top" wrapText="1"/>
    </xf>
    <xf numFmtId="0" fontId="4" fillId="0" borderId="15" xfId="15" applyNumberFormat="1" applyFont="1" applyFill="1" applyBorder="1" applyAlignment="1">
      <alignment vertical="top" wrapText="1"/>
    </xf>
    <xf numFmtId="0" fontId="4" fillId="0" borderId="16" xfId="15" applyNumberFormat="1" applyFont="1" applyFill="1" applyBorder="1" applyAlignment="1">
      <alignment vertical="top" wrapText="1"/>
    </xf>
    <xf numFmtId="0" fontId="4" fillId="0" borderId="17" xfId="15" applyNumberFormat="1" applyFont="1" applyFill="1" applyBorder="1" applyAlignment="1">
      <alignment vertical="top" wrapText="1"/>
    </xf>
    <xf numFmtId="0" fontId="8" fillId="0" borderId="33" xfId="15" applyFont="1" applyFill="1" applyBorder="1" applyAlignment="1"/>
    <xf numFmtId="0" fontId="8" fillId="0" borderId="23" xfId="15" applyFont="1" applyFill="1" applyBorder="1" applyAlignment="1"/>
    <xf numFmtId="0" fontId="8" fillId="0" borderId="18" xfId="15" applyFont="1" applyFill="1" applyBorder="1" applyAlignment="1"/>
    <xf numFmtId="0" fontId="8" fillId="0" borderId="0" xfId="15" applyFont="1" applyFill="1" applyBorder="1" applyAlignment="1"/>
    <xf numFmtId="0" fontId="4" fillId="0" borderId="25" xfId="15" applyFont="1" applyFill="1" applyBorder="1" applyAlignment="1">
      <alignment horizontal="left" vertical="top" wrapText="1"/>
    </xf>
    <xf numFmtId="0" fontId="8" fillId="0" borderId="46" xfId="15" applyFont="1" applyFill="1" applyBorder="1" applyAlignment="1">
      <alignment wrapText="1"/>
    </xf>
    <xf numFmtId="0" fontId="8" fillId="0" borderId="25" xfId="15" applyFont="1" applyFill="1" applyBorder="1" applyAlignment="1">
      <alignment wrapText="1"/>
    </xf>
    <xf numFmtId="0" fontId="4" fillId="0" borderId="15" xfId="2" applyFont="1" applyFill="1" applyBorder="1" applyAlignment="1"/>
    <xf numFmtId="0" fontId="4" fillId="0" borderId="16" xfId="2" applyFont="1" applyFill="1" applyBorder="1" applyAlignment="1"/>
    <xf numFmtId="0" fontId="4" fillId="0" borderId="17" xfId="2" applyFont="1" applyFill="1" applyBorder="1" applyAlignment="1"/>
    <xf numFmtId="0" fontId="4" fillId="3" borderId="15" xfId="2" applyFont="1" applyFill="1" applyBorder="1" applyAlignment="1">
      <alignment horizontal="left" vertical="top" wrapText="1"/>
    </xf>
    <xf numFmtId="0" fontId="4" fillId="3" borderId="16" xfId="2" applyFont="1" applyFill="1" applyBorder="1" applyAlignment="1">
      <alignment horizontal="left" vertical="top" wrapText="1"/>
    </xf>
    <xf numFmtId="0" fontId="4" fillId="3" borderId="17" xfId="2" applyFont="1" applyFill="1" applyBorder="1" applyAlignment="1">
      <alignment horizontal="left" vertical="top" wrapText="1"/>
    </xf>
    <xf numFmtId="0" fontId="20" fillId="0" borderId="0" xfId="2" applyFont="1" applyFill="1" applyBorder="1"/>
    <xf numFmtId="0" fontId="4" fillId="0" borderId="96" xfId="2" applyFont="1" applyFill="1" applyBorder="1" applyAlignment="1" applyProtection="1">
      <alignment horizontal="left" vertical="top" wrapText="1"/>
    </xf>
    <xf numFmtId="0" fontId="4" fillId="0" borderId="25" xfId="2" applyFont="1" applyFill="1" applyBorder="1" applyAlignment="1" applyProtection="1">
      <alignment horizontal="left" vertical="top" wrapText="1"/>
    </xf>
    <xf numFmtId="0" fontId="4" fillId="0" borderId="70" xfId="2" applyFont="1" applyFill="1" applyBorder="1" applyAlignment="1" applyProtection="1">
      <alignment horizontal="left" vertical="top" wrapText="1"/>
    </xf>
    <xf numFmtId="0" fontId="43" fillId="0" borderId="0" xfId="2" applyFont="1" applyFill="1" applyBorder="1" applyAlignment="1" applyProtection="1">
      <alignment horizontal="justify" vertical="top" wrapText="1"/>
      <protection locked="0"/>
    </xf>
    <xf numFmtId="0" fontId="4" fillId="0" borderId="0" xfId="2" applyFont="1" applyFill="1" applyBorder="1" applyAlignment="1" applyProtection="1">
      <alignment horizontal="justify" vertical="top" wrapText="1"/>
      <protection locked="0"/>
    </xf>
    <xf numFmtId="0" fontId="6" fillId="0" borderId="0" xfId="2" applyFont="1" applyFill="1" applyAlignment="1" applyProtection="1">
      <alignment horizontal="left" vertical="top" wrapText="1"/>
      <protection locked="0"/>
    </xf>
    <xf numFmtId="0" fontId="25" fillId="0" borderId="15" xfId="2" applyFont="1" applyFill="1" applyBorder="1" applyAlignment="1">
      <alignment horizontal="left" vertical="top" wrapText="1"/>
    </xf>
    <xf numFmtId="0" fontId="25" fillId="0" borderId="16" xfId="2" applyFont="1" applyFill="1" applyBorder="1" applyAlignment="1">
      <alignment vertical="top" wrapText="1"/>
    </xf>
    <xf numFmtId="0" fontId="25" fillId="0" borderId="17" xfId="2" applyFont="1" applyFill="1" applyBorder="1" applyAlignment="1">
      <alignment vertical="top" wrapText="1"/>
    </xf>
    <xf numFmtId="0" fontId="7" fillId="0" borderId="0" xfId="2" applyFont="1" applyBorder="1" applyAlignment="1" applyProtection="1">
      <alignment horizontal="right" vertical="top"/>
    </xf>
    <xf numFmtId="0" fontId="7" fillId="0" borderId="19" xfId="2" applyFont="1" applyBorder="1" applyAlignment="1" applyProtection="1">
      <alignment horizontal="right" vertical="top"/>
    </xf>
    <xf numFmtId="0" fontId="4" fillId="0" borderId="15" xfId="2" quotePrefix="1" applyFont="1" applyFill="1" applyBorder="1" applyAlignment="1" applyProtection="1">
      <alignment horizontal="left" vertical="top" wrapText="1"/>
    </xf>
    <xf numFmtId="196" fontId="7" fillId="0" borderId="1" xfId="30" applyFont="1" applyFill="1" applyBorder="1" applyAlignment="1" applyProtection="1">
      <alignment horizontal="center" vertical="top"/>
    </xf>
    <xf numFmtId="196" fontId="7" fillId="0" borderId="2" xfId="30" applyFont="1" applyFill="1" applyBorder="1" applyAlignment="1" applyProtection="1">
      <alignment horizontal="center" vertical="top"/>
    </xf>
    <xf numFmtId="196" fontId="7" fillId="0" borderId="3" xfId="30" applyFont="1" applyFill="1" applyBorder="1" applyAlignment="1" applyProtection="1">
      <alignment horizontal="center" vertical="top"/>
    </xf>
    <xf numFmtId="0" fontId="4" fillId="0" borderId="22" xfId="2" applyFont="1" applyFill="1" applyBorder="1" applyAlignment="1">
      <alignment vertical="top" wrapText="1"/>
    </xf>
    <xf numFmtId="0" fontId="4" fillId="0" borderId="23" xfId="2" applyFont="1" applyFill="1" applyBorder="1" applyAlignment="1">
      <alignment vertical="top" wrapText="1"/>
    </xf>
    <xf numFmtId="0" fontId="4" fillId="0" borderId="24" xfId="2" applyFont="1" applyFill="1" applyBorder="1" applyAlignment="1">
      <alignment vertical="top" wrapText="1"/>
    </xf>
    <xf numFmtId="0" fontId="4" fillId="0" borderId="96" xfId="2" applyFont="1" applyFill="1" applyBorder="1" applyAlignment="1">
      <alignment vertical="top" wrapText="1"/>
    </xf>
    <xf numFmtId="0" fontId="4" fillId="0" borderId="25" xfId="2" applyFont="1" applyFill="1" applyBorder="1" applyAlignment="1">
      <alignment vertical="top" wrapText="1"/>
    </xf>
    <xf numFmtId="0" fontId="4" fillId="0" borderId="70" xfId="2" applyFont="1" applyFill="1" applyBorder="1" applyAlignment="1">
      <alignment vertical="top" wrapText="1"/>
    </xf>
    <xf numFmtId="0" fontId="4" fillId="0" borderId="15" xfId="2" applyNumberFormat="1" applyFont="1" applyFill="1" applyBorder="1" applyAlignment="1">
      <alignment vertical="top" wrapText="1"/>
    </xf>
    <xf numFmtId="0" fontId="4" fillId="0" borderId="16" xfId="2" applyNumberFormat="1" applyFont="1" applyFill="1" applyBorder="1" applyAlignment="1">
      <alignment vertical="top" wrapText="1"/>
    </xf>
    <xf numFmtId="0" fontId="4" fillId="0" borderId="17" xfId="2" applyNumberFormat="1" applyFont="1" applyFill="1" applyBorder="1" applyAlignment="1">
      <alignment vertical="top" wrapText="1"/>
    </xf>
    <xf numFmtId="0" fontId="22" fillId="0" borderId="0" xfId="2" applyFont="1" applyFill="1" applyAlignment="1" applyProtection="1">
      <alignment vertical="top" wrapText="1"/>
    </xf>
    <xf numFmtId="0" fontId="4" fillId="0" borderId="96" xfId="2" applyFont="1" applyFill="1" applyBorder="1" applyAlignment="1" applyProtection="1">
      <alignment vertical="top" wrapText="1"/>
    </xf>
    <xf numFmtId="0" fontId="4" fillId="0" borderId="25" xfId="2" applyFont="1" applyFill="1" applyBorder="1" applyAlignment="1" applyProtection="1">
      <alignment vertical="top" wrapText="1"/>
    </xf>
    <xf numFmtId="0" fontId="4" fillId="0" borderId="70" xfId="2" applyFont="1" applyFill="1" applyBorder="1" applyAlignment="1" applyProtection="1">
      <alignment vertical="top" wrapText="1"/>
    </xf>
    <xf numFmtId="0" fontId="4" fillId="0" borderId="22" xfId="2" applyFont="1" applyFill="1" applyBorder="1" applyAlignment="1" applyProtection="1">
      <alignment vertical="top" wrapText="1"/>
    </xf>
    <xf numFmtId="0" fontId="4" fillId="0" borderId="23" xfId="2" applyFont="1" applyFill="1" applyBorder="1" applyAlignment="1" applyProtection="1">
      <alignment vertical="top" wrapText="1"/>
    </xf>
    <xf numFmtId="0" fontId="4" fillId="0" borderId="24" xfId="2" applyFont="1" applyFill="1" applyBorder="1" applyAlignment="1" applyProtection="1">
      <alignment vertical="top" wrapText="1"/>
    </xf>
    <xf numFmtId="0" fontId="4" fillId="0" borderId="15" xfId="2" applyFont="1" applyFill="1" applyBorder="1" applyAlignment="1">
      <alignment wrapText="1"/>
    </xf>
    <xf numFmtId="0" fontId="4" fillId="0" borderId="16" xfId="2" applyFont="1" applyFill="1" applyBorder="1" applyAlignment="1">
      <alignment wrapText="1"/>
    </xf>
    <xf numFmtId="0" fontId="4" fillId="0" borderId="17" xfId="2" applyFont="1" applyFill="1" applyBorder="1" applyAlignment="1">
      <alignment wrapText="1"/>
    </xf>
    <xf numFmtId="0" fontId="7" fillId="0" borderId="29" xfId="2" applyFont="1" applyFill="1" applyBorder="1" applyAlignment="1">
      <alignment horizontal="center"/>
    </xf>
    <xf numFmtId="0" fontId="7" fillId="0" borderId="29" xfId="2" applyFont="1" applyFill="1" applyBorder="1" applyAlignment="1">
      <alignment horizontal="center" wrapText="1"/>
    </xf>
    <xf numFmtId="0" fontId="7" fillId="2" borderId="0" xfId="2" applyFont="1" applyFill="1" applyBorder="1" applyAlignment="1">
      <alignment horizontal="center"/>
    </xf>
    <xf numFmtId="0" fontId="7" fillId="2" borderId="0" xfId="2" applyFont="1" applyFill="1" applyBorder="1" applyAlignment="1">
      <alignment horizontal="center" wrapText="1"/>
    </xf>
    <xf numFmtId="0" fontId="4" fillId="0" borderId="15" xfId="2" applyFont="1" applyFill="1" applyBorder="1" applyAlignment="1">
      <alignment horizontal="left" wrapText="1"/>
    </xf>
    <xf numFmtId="0" fontId="4" fillId="0" borderId="16" xfId="2" applyFont="1" applyFill="1" applyBorder="1" applyAlignment="1">
      <alignment horizontal="left" wrapText="1"/>
    </xf>
    <xf numFmtId="0" fontId="4" fillId="0" borderId="17" xfId="2" applyFont="1" applyFill="1" applyBorder="1" applyAlignment="1">
      <alignment horizontal="left" wrapText="1"/>
    </xf>
    <xf numFmtId="0" fontId="4" fillId="0" borderId="15" xfId="2" applyNumberFormat="1" applyFont="1" applyFill="1" applyBorder="1" applyAlignment="1">
      <alignment horizontal="left" vertical="top" wrapText="1"/>
    </xf>
    <xf numFmtId="0" fontId="4" fillId="0" borderId="16" xfId="2" applyNumberFormat="1" applyFont="1" applyFill="1" applyBorder="1" applyAlignment="1">
      <alignment horizontal="left" vertical="top" wrapText="1"/>
    </xf>
    <xf numFmtId="0" fontId="4" fillId="0" borderId="17" xfId="2" applyNumberFormat="1" applyFont="1" applyFill="1" applyBorder="1" applyAlignment="1">
      <alignment horizontal="left" vertical="top" wrapText="1"/>
    </xf>
    <xf numFmtId="0" fontId="103" fillId="0" borderId="0" xfId="2" applyFont="1" applyFill="1" applyAlignment="1">
      <alignment horizontal="left" vertical="top" wrapText="1"/>
    </xf>
    <xf numFmtId="0" fontId="7" fillId="0" borderId="2" xfId="2" applyFont="1" applyFill="1" applyBorder="1" applyAlignment="1">
      <alignment horizontal="center" wrapText="1"/>
    </xf>
    <xf numFmtId="0" fontId="7" fillId="0" borderId="71" xfId="2" applyFont="1" applyFill="1" applyBorder="1" applyAlignment="1">
      <alignment horizontal="center" wrapText="1"/>
    </xf>
    <xf numFmtId="0" fontId="7" fillId="0" borderId="56" xfId="2" applyFont="1" applyFill="1" applyBorder="1" applyAlignment="1">
      <alignment horizontal="center" wrapText="1"/>
    </xf>
    <xf numFmtId="0" fontId="7" fillId="0" borderId="3" xfId="2" applyFont="1" applyFill="1" applyBorder="1" applyAlignment="1">
      <alignment horizontal="center" wrapText="1"/>
    </xf>
    <xf numFmtId="2" fontId="14" fillId="0" borderId="0" xfId="2" applyNumberFormat="1" applyFont="1" applyFill="1" applyBorder="1" applyAlignment="1">
      <alignment horizontal="left" vertical="top"/>
    </xf>
    <xf numFmtId="0" fontId="4" fillId="0" borderId="96" xfId="2" applyNumberFormat="1" applyFont="1" applyFill="1" applyBorder="1" applyAlignment="1">
      <alignment horizontal="left" vertical="top" wrapText="1"/>
    </xf>
    <xf numFmtId="0" fontId="4" fillId="0" borderId="25" xfId="2" applyNumberFormat="1" applyFont="1" applyFill="1" applyBorder="1" applyAlignment="1">
      <alignment horizontal="left" vertical="top" wrapText="1"/>
    </xf>
    <xf numFmtId="0" fontId="4" fillId="0" borderId="70" xfId="2" applyNumberFormat="1" applyFont="1" applyFill="1" applyBorder="1" applyAlignment="1">
      <alignment horizontal="left" vertical="top" wrapText="1"/>
    </xf>
    <xf numFmtId="0" fontId="4" fillId="0" borderId="96" xfId="2" applyFont="1" applyFill="1" applyBorder="1" applyAlignment="1">
      <alignment horizontal="left" vertical="top" wrapText="1"/>
    </xf>
    <xf numFmtId="0" fontId="4" fillId="0" borderId="25" xfId="2" applyFont="1" applyFill="1" applyBorder="1" applyAlignment="1">
      <alignment horizontal="left" vertical="top" wrapText="1"/>
    </xf>
    <xf numFmtId="0" fontId="4" fillId="0" borderId="70" xfId="2" applyFont="1" applyFill="1" applyBorder="1" applyAlignment="1">
      <alignment horizontal="left" vertical="top" wrapText="1"/>
    </xf>
    <xf numFmtId="0" fontId="15" fillId="0" borderId="0" xfId="15" applyFont="1" applyFill="1" applyBorder="1" applyAlignment="1">
      <alignment horizontal="center"/>
    </xf>
    <xf numFmtId="0" fontId="4" fillId="0" borderId="15" xfId="3" applyFont="1" applyFill="1" applyBorder="1" applyAlignment="1">
      <alignment vertical="top" wrapText="1"/>
    </xf>
    <xf numFmtId="0" fontId="4" fillId="0" borderId="16" xfId="3" applyFont="1" applyFill="1" applyBorder="1" applyAlignment="1">
      <alignment vertical="top" wrapText="1"/>
    </xf>
    <xf numFmtId="0" fontId="4" fillId="0" borderId="17" xfId="3" applyFont="1" applyFill="1" applyBorder="1" applyAlignment="1">
      <alignment vertical="top" wrapText="1"/>
    </xf>
    <xf numFmtId="0" fontId="6" fillId="0" borderId="0" xfId="2" applyFont="1" applyFill="1" applyBorder="1" applyAlignment="1">
      <alignment vertical="top" wrapText="1"/>
    </xf>
    <xf numFmtId="0" fontId="16" fillId="0" borderId="1" xfId="15" applyFont="1" applyFill="1" applyBorder="1" applyAlignment="1">
      <alignment horizontal="center" vertical="center"/>
    </xf>
    <xf numFmtId="0" fontId="16" fillId="0" borderId="3" xfId="15" applyFont="1" applyFill="1" applyBorder="1" applyAlignment="1">
      <alignment horizontal="center" vertical="center"/>
    </xf>
    <xf numFmtId="0" fontId="16" fillId="0" borderId="1" xfId="15" applyFont="1" applyFill="1" applyBorder="1" applyAlignment="1">
      <alignment horizontal="center"/>
    </xf>
    <xf numFmtId="0" fontId="16" fillId="0" borderId="3" xfId="15" applyFont="1" applyFill="1" applyBorder="1" applyAlignment="1">
      <alignment horizontal="center"/>
    </xf>
    <xf numFmtId="0" fontId="16" fillId="0" borderId="29" xfId="15" applyFont="1" applyFill="1" applyBorder="1" applyAlignment="1">
      <alignment horizontal="center"/>
    </xf>
    <xf numFmtId="0" fontId="7" fillId="0" borderId="115" xfId="2" applyFont="1" applyFill="1" applyBorder="1" applyAlignment="1">
      <alignment horizontal="center"/>
    </xf>
    <xf numFmtId="0" fontId="7" fillId="0" borderId="0" xfId="2" applyFont="1" applyFill="1" applyBorder="1" applyAlignment="1">
      <alignment horizontal="center"/>
    </xf>
    <xf numFmtId="0" fontId="1" fillId="0" borderId="27" xfId="36" applyFill="1" applyBorder="1"/>
    <xf numFmtId="0" fontId="6" fillId="0" borderId="0" xfId="2" applyFont="1" applyFill="1" applyBorder="1" applyAlignment="1" applyProtection="1">
      <alignment vertical="top" wrapText="1"/>
      <protection locked="0"/>
    </xf>
    <xf numFmtId="0" fontId="15" fillId="0" borderId="26" xfId="37" applyFont="1" applyFill="1" applyBorder="1" applyAlignment="1">
      <alignment horizontal="center" vertical="top"/>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7" fillId="0" borderId="6" xfId="2" applyFont="1" applyFill="1" applyBorder="1" applyAlignment="1" applyProtection="1">
      <alignment horizontal="center" wrapText="1"/>
    </xf>
    <xf numFmtId="0" fontId="7" fillId="0" borderId="6" xfId="2" applyFont="1" applyFill="1" applyBorder="1" applyAlignment="1" applyProtection="1">
      <alignment horizontal="center"/>
    </xf>
    <xf numFmtId="0" fontId="7" fillId="0" borderId="4" xfId="2" applyFont="1" applyFill="1" applyBorder="1" applyAlignment="1" applyProtection="1">
      <alignment horizontal="center"/>
    </xf>
    <xf numFmtId="0" fontId="7" fillId="0" borderId="26" xfId="2" applyFont="1" applyFill="1" applyBorder="1" applyAlignment="1" applyProtection="1">
      <alignment horizontal="center"/>
    </xf>
    <xf numFmtId="0" fontId="7" fillId="0" borderId="67" xfId="2" applyFont="1" applyFill="1" applyBorder="1" applyAlignment="1" applyProtection="1">
      <alignment horizontal="center"/>
    </xf>
    <xf numFmtId="0" fontId="14" fillId="0" borderId="26" xfId="2" applyFont="1" applyFill="1" applyBorder="1" applyAlignment="1" applyProtection="1">
      <alignment horizontal="center"/>
    </xf>
    <xf numFmtId="0" fontId="14" fillId="0" borderId="67" xfId="2" applyFont="1" applyFill="1" applyBorder="1" applyAlignment="1" applyProtection="1">
      <alignment horizontal="center"/>
    </xf>
    <xf numFmtId="0" fontId="14" fillId="0" borderId="64" xfId="2" applyFont="1" applyFill="1" applyBorder="1" applyAlignment="1" applyProtection="1">
      <alignment horizontal="center"/>
    </xf>
    <xf numFmtId="0" fontId="14" fillId="0" borderId="27" xfId="2" applyFont="1" applyFill="1" applyBorder="1" applyAlignment="1" applyProtection="1">
      <alignment horizontal="center"/>
    </xf>
    <xf numFmtId="0" fontId="7" fillId="0" borderId="0" xfId="2" applyFont="1" applyFill="1" applyBorder="1" applyAlignment="1">
      <alignment horizontal="center" vertical="top"/>
    </xf>
    <xf numFmtId="0" fontId="4" fillId="2" borderId="15" xfId="2" applyFont="1" applyFill="1" applyBorder="1" applyAlignment="1" applyProtection="1">
      <alignment horizontal="left" vertical="top" wrapText="1"/>
    </xf>
    <xf numFmtId="0" fontId="4" fillId="2" borderId="16" xfId="2" applyFont="1" applyFill="1" applyBorder="1" applyAlignment="1" applyProtection="1">
      <alignment horizontal="left" vertical="top" wrapText="1"/>
    </xf>
    <xf numFmtId="0" fontId="4" fillId="2" borderId="17" xfId="2" applyFont="1" applyFill="1" applyBorder="1" applyAlignment="1" applyProtection="1">
      <alignment horizontal="left" vertical="top" wrapText="1"/>
    </xf>
    <xf numFmtId="0" fontId="0" fillId="0" borderId="0" xfId="2" applyFont="1" applyFill="1" applyAlignment="1" applyProtection="1">
      <alignment horizontal="center"/>
      <protection locked="0"/>
    </xf>
    <xf numFmtId="0" fontId="7" fillId="0" borderId="86" xfId="2" applyFont="1" applyFill="1" applyBorder="1" applyAlignment="1" applyProtection="1">
      <alignment horizontal="center" vertical="top"/>
      <protection locked="0"/>
    </xf>
    <xf numFmtId="0" fontId="7" fillId="0" borderId="87" xfId="2" applyFont="1" applyFill="1" applyBorder="1" applyAlignment="1" applyProtection="1">
      <alignment horizontal="center" vertical="top"/>
      <protection locked="0"/>
    </xf>
    <xf numFmtId="0" fontId="4" fillId="0" borderId="15" xfId="2" applyNumberFormat="1" applyFont="1" applyFill="1" applyBorder="1" applyAlignment="1" applyProtection="1">
      <alignment horizontal="left" vertical="top" wrapText="1"/>
    </xf>
    <xf numFmtId="0" fontId="4" fillId="0" borderId="16" xfId="2" applyNumberFormat="1" applyFont="1" applyFill="1" applyBorder="1" applyAlignment="1" applyProtection="1">
      <alignment horizontal="left" vertical="top" wrapText="1"/>
    </xf>
    <xf numFmtId="0" fontId="4" fillId="0" borderId="17" xfId="2" applyNumberFormat="1" applyFont="1" applyFill="1" applyBorder="1" applyAlignment="1" applyProtection="1">
      <alignment horizontal="left" vertical="top" wrapText="1"/>
    </xf>
    <xf numFmtId="175" fontId="7" fillId="0" borderId="25" xfId="2" applyNumberFormat="1" applyFont="1" applyFill="1" applyBorder="1" applyAlignment="1" applyProtection="1">
      <alignment horizontal="center"/>
    </xf>
    <xf numFmtId="175" fontId="7" fillId="0" borderId="70" xfId="2" applyNumberFormat="1" applyFont="1" applyFill="1" applyBorder="1" applyAlignment="1" applyProtection="1">
      <alignment horizontal="center"/>
    </xf>
    <xf numFmtId="175" fontId="7" fillId="0" borderId="96" xfId="2" applyNumberFormat="1" applyFont="1" applyFill="1" applyBorder="1" applyAlignment="1" applyProtection="1">
      <alignment horizontal="center"/>
    </xf>
    <xf numFmtId="0" fontId="25" fillId="0" borderId="15" xfId="2" applyFont="1" applyFill="1" applyBorder="1" applyAlignment="1" applyProtection="1">
      <alignment horizontal="left" vertical="top"/>
    </xf>
    <xf numFmtId="0" fontId="25" fillId="0" borderId="16" xfId="2" applyFont="1" applyFill="1" applyBorder="1" applyAlignment="1" applyProtection="1">
      <alignment horizontal="left" vertical="top"/>
    </xf>
    <xf numFmtId="0" fontId="25" fillId="0" borderId="17" xfId="2" applyFont="1" applyFill="1" applyBorder="1" applyAlignment="1" applyProtection="1">
      <alignment horizontal="left" vertical="top"/>
    </xf>
    <xf numFmtId="175" fontId="7" fillId="0" borderId="75" xfId="2" applyNumberFormat="1" applyFont="1" applyFill="1" applyBorder="1" applyAlignment="1" applyProtection="1">
      <alignment horizontal="center"/>
    </xf>
    <xf numFmtId="175" fontId="7" fillId="0" borderId="86" xfId="2" applyNumberFormat="1" applyFont="1" applyFill="1" applyBorder="1" applyAlignment="1" applyProtection="1">
      <alignment horizontal="center"/>
    </xf>
    <xf numFmtId="175" fontId="7" fillId="0" borderId="87" xfId="2" applyNumberFormat="1" applyFont="1" applyFill="1" applyBorder="1" applyAlignment="1" applyProtection="1">
      <alignment horizontal="center"/>
    </xf>
    <xf numFmtId="175" fontId="7" fillId="0" borderId="64" xfId="2" applyNumberFormat="1" applyFont="1" applyFill="1" applyBorder="1" applyAlignment="1" applyProtection="1">
      <alignment horizontal="center"/>
    </xf>
    <xf numFmtId="175" fontId="7" fillId="0" borderId="26" xfId="2" applyNumberFormat="1" applyFont="1" applyFill="1" applyBorder="1" applyAlignment="1" applyProtection="1">
      <alignment horizontal="center"/>
    </xf>
    <xf numFmtId="175" fontId="7" fillId="0" borderId="27" xfId="2" applyNumberFormat="1" applyFont="1" applyFill="1" applyBorder="1" applyAlignment="1" applyProtection="1">
      <alignment horizontal="center"/>
    </xf>
    <xf numFmtId="0" fontId="7" fillId="0" borderId="23" xfId="2" applyFont="1" applyFill="1" applyBorder="1" applyAlignment="1" applyProtection="1">
      <alignment horizontal="center" wrapText="1"/>
    </xf>
    <xf numFmtId="0" fontId="7" fillId="0" borderId="24" xfId="2" applyFont="1" applyFill="1" applyBorder="1" applyAlignment="1" applyProtection="1">
      <alignment horizontal="center" wrapText="1"/>
    </xf>
    <xf numFmtId="0" fontId="7" fillId="0" borderId="22" xfId="2" applyFont="1" applyFill="1" applyBorder="1" applyAlignment="1" applyProtection="1">
      <alignment horizontal="center" wrapText="1"/>
    </xf>
    <xf numFmtId="0" fontId="7" fillId="0" borderId="25" xfId="2" applyFont="1" applyFill="1" applyBorder="1" applyAlignment="1" applyProtection="1">
      <alignment horizontal="center"/>
    </xf>
    <xf numFmtId="0" fontId="7" fillId="0" borderId="70" xfId="2" applyFont="1" applyFill="1" applyBorder="1" applyAlignment="1" applyProtection="1">
      <alignment horizontal="center"/>
    </xf>
    <xf numFmtId="0" fontId="8" fillId="0" borderId="25" xfId="2" applyFont="1" applyFill="1" applyBorder="1" applyAlignment="1" applyProtection="1">
      <alignment horizontal="center" wrapText="1"/>
    </xf>
    <xf numFmtId="0" fontId="8" fillId="0" borderId="70" xfId="2" applyFont="1" applyFill="1" applyBorder="1" applyAlignment="1" applyProtection="1">
      <alignment horizontal="center" wrapText="1"/>
    </xf>
    <xf numFmtId="0" fontId="8" fillId="0" borderId="96" xfId="2" applyFont="1" applyFill="1" applyBorder="1" applyAlignment="1" applyProtection="1">
      <alignment horizontal="center" wrapText="1"/>
    </xf>
    <xf numFmtId="0" fontId="7" fillId="0" borderId="16" xfId="2" applyFont="1" applyFill="1" applyBorder="1" applyAlignment="1" applyProtection="1">
      <alignment horizontal="center"/>
    </xf>
    <xf numFmtId="0" fontId="7" fillId="0" borderId="15" xfId="2" applyFont="1" applyFill="1" applyBorder="1" applyAlignment="1" applyProtection="1">
      <alignment horizontal="center"/>
    </xf>
    <xf numFmtId="0" fontId="7" fillId="0" borderId="17" xfId="2" applyFont="1" applyFill="1" applyBorder="1" applyAlignment="1" applyProtection="1">
      <alignment horizontal="center"/>
    </xf>
    <xf numFmtId="0" fontId="7" fillId="0" borderId="96" xfId="2" applyNumberFormat="1" applyFont="1" applyFill="1" applyBorder="1" applyAlignment="1" applyProtection="1">
      <alignment horizontal="center" vertical="center" wrapText="1"/>
    </xf>
    <xf numFmtId="0" fontId="7" fillId="0" borderId="22" xfId="2" applyNumberFormat="1" applyFont="1" applyFill="1" applyBorder="1" applyAlignment="1" applyProtection="1">
      <alignment horizontal="center" vertical="center" wrapText="1"/>
    </xf>
    <xf numFmtId="9" fontId="7" fillId="2" borderId="64" xfId="17" quotePrefix="1" applyFont="1" applyFill="1" applyBorder="1" applyAlignment="1">
      <alignment horizontal="center"/>
    </xf>
    <xf numFmtId="9" fontId="7" fillId="2" borderId="67" xfId="17" quotePrefix="1" applyFont="1" applyFill="1" applyBorder="1" applyAlignment="1">
      <alignment horizontal="center"/>
    </xf>
    <xf numFmtId="9" fontId="7" fillId="2" borderId="26" xfId="17" quotePrefix="1" applyFont="1" applyFill="1" applyBorder="1" applyAlignment="1">
      <alignment horizontal="center"/>
    </xf>
    <xf numFmtId="9" fontId="7" fillId="0" borderId="26" xfId="17" quotePrefix="1" applyFont="1" applyFill="1" applyBorder="1" applyAlignment="1">
      <alignment horizontal="center"/>
    </xf>
    <xf numFmtId="9" fontId="7" fillId="0" borderId="64" xfId="17" quotePrefix="1" applyFont="1" applyFill="1" applyBorder="1" applyAlignment="1">
      <alignment horizontal="center"/>
    </xf>
    <xf numFmtId="9" fontId="7" fillId="0" borderId="67" xfId="17" quotePrefix="1" applyFont="1" applyFill="1" applyBorder="1" applyAlignment="1">
      <alignment horizontal="center"/>
    </xf>
    <xf numFmtId="0" fontId="4" fillId="0" borderId="15" xfId="2" applyFont="1" applyFill="1" applyBorder="1" applyAlignment="1">
      <alignment vertical="top"/>
    </xf>
    <xf numFmtId="0" fontId="4" fillId="0" borderId="16" xfId="2" applyFont="1" applyFill="1" applyBorder="1" applyAlignment="1">
      <alignment vertical="top"/>
    </xf>
    <xf numFmtId="0" fontId="4" fillId="0" borderId="17" xfId="2" applyFont="1" applyFill="1" applyBorder="1" applyAlignment="1">
      <alignment vertical="top"/>
    </xf>
    <xf numFmtId="0" fontId="14" fillId="0" borderId="2" xfId="0" applyFont="1" applyFill="1" applyBorder="1" applyAlignment="1">
      <alignment horizontal="center"/>
    </xf>
    <xf numFmtId="0" fontId="14" fillId="0" borderId="3" xfId="0" applyFont="1" applyFill="1" applyBorder="1" applyAlignment="1">
      <alignment horizontal="center"/>
    </xf>
    <xf numFmtId="0" fontId="14" fillId="0" borderId="1" xfId="0" applyFont="1" applyFill="1" applyBorder="1" applyAlignment="1">
      <alignment horizontal="center"/>
    </xf>
    <xf numFmtId="0" fontId="7" fillId="0" borderId="64" xfId="2" applyFont="1" applyFill="1" applyBorder="1" applyAlignment="1">
      <alignment horizontal="center" wrapText="1"/>
    </xf>
    <xf numFmtId="0" fontId="0" fillId="0" borderId="26" xfId="2" applyFont="1" applyFill="1" applyBorder="1" applyAlignment="1">
      <alignment horizontal="center" wrapText="1"/>
    </xf>
    <xf numFmtId="0" fontId="0" fillId="0" borderId="67" xfId="2" applyFont="1" applyFill="1" applyBorder="1" applyAlignment="1">
      <alignment horizontal="center" wrapText="1"/>
    </xf>
    <xf numFmtId="0" fontId="7" fillId="0" borderId="26" xfId="2" applyFont="1" applyFill="1" applyBorder="1" applyAlignment="1">
      <alignment horizontal="center" wrapText="1"/>
    </xf>
    <xf numFmtId="0" fontId="0" fillId="0" borderId="27" xfId="2" applyFont="1" applyFill="1" applyBorder="1" applyAlignment="1">
      <alignment horizontal="center" wrapText="1"/>
    </xf>
    <xf numFmtId="0" fontId="4" fillId="0" borderId="75" xfId="2" applyFont="1" applyFill="1" applyBorder="1" applyAlignment="1">
      <alignment horizontal="left" vertical="top" wrapText="1"/>
    </xf>
    <xf numFmtId="0" fontId="4" fillId="0" borderId="86" xfId="2" applyFont="1" applyFill="1" applyBorder="1" applyAlignment="1">
      <alignment horizontal="left" vertical="top" wrapText="1"/>
    </xf>
    <xf numFmtId="0" fontId="4" fillId="0" borderId="87" xfId="2" applyFont="1" applyFill="1" applyBorder="1" applyAlignment="1">
      <alignment horizontal="left" vertical="top" wrapText="1"/>
    </xf>
    <xf numFmtId="0" fontId="4" fillId="0" borderId="15" xfId="2" applyFont="1" applyFill="1" applyBorder="1" applyAlignment="1">
      <alignment horizontal="left" vertical="top"/>
    </xf>
    <xf numFmtId="0" fontId="4" fillId="0" borderId="16" xfId="2" applyFont="1" applyFill="1" applyBorder="1" applyAlignment="1">
      <alignment horizontal="left" vertical="top"/>
    </xf>
    <xf numFmtId="0" fontId="4" fillId="0" borderId="17" xfId="2" applyFont="1" applyFill="1" applyBorder="1" applyAlignment="1">
      <alignment horizontal="left" vertical="top"/>
    </xf>
    <xf numFmtId="0" fontId="7" fillId="0" borderId="75" xfId="2" applyFont="1" applyFill="1" applyBorder="1" applyAlignment="1">
      <alignment horizontal="center"/>
    </xf>
    <xf numFmtId="0" fontId="7" fillId="0" borderId="86" xfId="2" applyFont="1" applyFill="1" applyBorder="1" applyAlignment="1">
      <alignment horizontal="center"/>
    </xf>
    <xf numFmtId="0" fontId="7" fillId="0" borderId="88" xfId="2" applyFont="1" applyFill="1" applyBorder="1" applyAlignment="1">
      <alignment horizontal="center"/>
    </xf>
    <xf numFmtId="0" fontId="7" fillId="0" borderId="35" xfId="2" applyFont="1" applyFill="1" applyBorder="1" applyAlignment="1">
      <alignment horizontal="center"/>
    </xf>
    <xf numFmtId="0" fontId="7" fillId="0" borderId="87" xfId="2" applyFont="1" applyFill="1" applyBorder="1" applyAlignment="1">
      <alignment horizontal="center"/>
    </xf>
    <xf numFmtId="0" fontId="7" fillId="0" borderId="15" xfId="2" applyFont="1" applyFill="1" applyBorder="1" applyAlignment="1">
      <alignment horizontal="left" wrapText="1"/>
    </xf>
    <xf numFmtId="0" fontId="7" fillId="0" borderId="16" xfId="2" applyFont="1" applyFill="1" applyBorder="1" applyAlignment="1">
      <alignment horizontal="left" wrapText="1"/>
    </xf>
    <xf numFmtId="0" fontId="7" fillId="0" borderId="17" xfId="2" applyFont="1" applyFill="1" applyBorder="1" applyAlignment="1">
      <alignment horizontal="left" wrapText="1"/>
    </xf>
    <xf numFmtId="0" fontId="7" fillId="0" borderId="15" xfId="2" applyFont="1" applyFill="1" applyBorder="1" applyAlignment="1">
      <alignment horizontal="center"/>
    </xf>
    <xf numFmtId="0" fontId="7" fillId="0" borderId="16" xfId="2" applyFont="1" applyFill="1" applyBorder="1" applyAlignment="1">
      <alignment horizontal="center"/>
    </xf>
    <xf numFmtId="0" fontId="7" fillId="0" borderId="44" xfId="2" applyFont="1" applyFill="1" applyBorder="1" applyAlignment="1">
      <alignment horizontal="center"/>
    </xf>
    <xf numFmtId="0" fontId="7" fillId="0" borderId="37" xfId="2" applyFont="1" applyFill="1" applyBorder="1" applyAlignment="1">
      <alignment horizontal="left" wrapText="1"/>
    </xf>
    <xf numFmtId="0" fontId="7" fillId="0" borderId="17" xfId="2" applyFont="1" applyFill="1" applyBorder="1" applyAlignment="1">
      <alignment horizontal="center"/>
    </xf>
    <xf numFmtId="0" fontId="7" fillId="0" borderId="67" xfId="2" applyFont="1" applyFill="1" applyBorder="1" applyAlignment="1">
      <alignment horizontal="center" wrapText="1"/>
    </xf>
    <xf numFmtId="0" fontId="7" fillId="0" borderId="27" xfId="2" applyFont="1" applyFill="1" applyBorder="1" applyAlignment="1">
      <alignment horizontal="center" wrapText="1"/>
    </xf>
    <xf numFmtId="0" fontId="15" fillId="0" borderId="29" xfId="2" applyFont="1" applyBorder="1"/>
    <xf numFmtId="0" fontId="15" fillId="0" borderId="30" xfId="2" applyFont="1" applyBorder="1"/>
    <xf numFmtId="0" fontId="15" fillId="0" borderId="29" xfId="2" applyFont="1" applyBorder="1" applyAlignment="1">
      <alignment horizontal="left"/>
    </xf>
    <xf numFmtId="0" fontId="7" fillId="0" borderId="64" xfId="2" applyFont="1" applyFill="1" applyBorder="1" applyAlignment="1" applyProtection="1">
      <alignment horizontal="center"/>
      <protection locked="0"/>
    </xf>
    <xf numFmtId="0" fontId="0" fillId="0" borderId="27" xfId="0" applyFill="1" applyBorder="1" applyAlignment="1">
      <alignment horizontal="center"/>
    </xf>
    <xf numFmtId="0" fontId="15" fillId="0" borderId="4" xfId="2" applyFont="1" applyBorder="1"/>
    <xf numFmtId="0" fontId="15" fillId="0" borderId="27" xfId="2" applyFont="1" applyBorder="1"/>
    <xf numFmtId="0" fontId="15" fillId="0" borderId="5" xfId="2" applyFont="1" applyBorder="1"/>
    <xf numFmtId="0" fontId="15" fillId="0" borderId="20" xfId="2" applyFont="1" applyBorder="1"/>
    <xf numFmtId="0" fontId="15" fillId="0" borderId="26" xfId="2" applyFont="1" applyBorder="1" applyAlignment="1">
      <alignment horizontal="center"/>
    </xf>
    <xf numFmtId="0" fontId="15" fillId="0" borderId="27" xfId="2" applyFont="1" applyBorder="1" applyAlignment="1">
      <alignment horizontal="center"/>
    </xf>
    <xf numFmtId="0" fontId="15" fillId="0" borderId="1" xfId="2" applyFont="1" applyBorder="1" applyAlignment="1">
      <alignment horizontal="center"/>
    </xf>
    <xf numFmtId="0" fontId="15" fillId="0" borderId="3" xfId="2" applyFont="1" applyBorder="1" applyAlignment="1">
      <alignment horizontal="center"/>
    </xf>
    <xf numFmtId="0" fontId="6" fillId="3" borderId="1" xfId="2" applyFont="1" applyFill="1" applyBorder="1" applyAlignment="1" applyProtection="1">
      <alignment horizontal="center"/>
    </xf>
    <xf numFmtId="0" fontId="6" fillId="3" borderId="3" xfId="2" applyFont="1" applyFill="1" applyBorder="1" applyAlignment="1" applyProtection="1">
      <alignment horizontal="center"/>
    </xf>
    <xf numFmtId="0" fontId="7" fillId="0" borderId="67" xfId="2" applyFont="1" applyFill="1" applyBorder="1" applyAlignment="1" applyProtection="1">
      <alignment horizontal="center"/>
      <protection locked="0"/>
    </xf>
    <xf numFmtId="0" fontId="7" fillId="0" borderId="117" xfId="2" applyFont="1" applyFill="1" applyBorder="1" applyAlignment="1" applyProtection="1">
      <alignment horizontal="center"/>
      <protection locked="0"/>
    </xf>
    <xf numFmtId="0" fontId="0" fillId="0" borderId="27" xfId="0" applyBorder="1" applyAlignment="1">
      <alignment horizontal="center"/>
    </xf>
    <xf numFmtId="0" fontId="7" fillId="0" borderId="4" xfId="2" applyFont="1" applyFill="1" applyBorder="1" applyAlignment="1" applyProtection="1">
      <alignment horizontal="center"/>
      <protection locked="0"/>
    </xf>
    <xf numFmtId="0" fontId="7" fillId="0" borderId="86" xfId="2" applyFont="1" applyFill="1" applyBorder="1" applyAlignment="1" applyProtection="1">
      <alignment horizontal="center"/>
      <protection locked="0"/>
    </xf>
    <xf numFmtId="0" fontId="7" fillId="0" borderId="87" xfId="2" applyFont="1" applyFill="1" applyBorder="1" applyAlignment="1" applyProtection="1">
      <alignment horizontal="center"/>
      <protection locked="0"/>
    </xf>
    <xf numFmtId="0" fontId="7" fillId="0" borderId="75" xfId="2" applyFont="1" applyFill="1" applyBorder="1" applyAlignment="1" applyProtection="1">
      <alignment horizontal="center"/>
      <protection locked="0"/>
    </xf>
    <xf numFmtId="0" fontId="7" fillId="0" borderId="88" xfId="2" applyFont="1" applyFill="1" applyBorder="1" applyAlignment="1" applyProtection="1">
      <alignment horizontal="center"/>
      <protection locked="0"/>
    </xf>
    <xf numFmtId="0" fontId="0" fillId="3" borderId="4" xfId="2" applyFont="1" applyFill="1" applyBorder="1" applyAlignment="1" applyProtection="1">
      <alignment horizontal="center"/>
      <protection locked="0"/>
    </xf>
    <xf numFmtId="0" fontId="0" fillId="3" borderId="27" xfId="2" applyFont="1" applyFill="1" applyBorder="1" applyAlignment="1" applyProtection="1">
      <alignment horizontal="center"/>
      <protection locked="0"/>
    </xf>
    <xf numFmtId="0" fontId="15" fillId="0" borderId="1" xfId="2" applyFont="1" applyFill="1" applyBorder="1" applyAlignment="1">
      <alignment horizontal="center"/>
    </xf>
    <xf numFmtId="0" fontId="15" fillId="0" borderId="3" xfId="2" applyFont="1" applyFill="1" applyBorder="1" applyAlignment="1">
      <alignment horizontal="center"/>
    </xf>
    <xf numFmtId="0" fontId="15" fillId="0" borderId="4" xfId="2" applyFont="1" applyBorder="1" applyAlignment="1">
      <alignment horizontal="center"/>
    </xf>
    <xf numFmtId="0" fontId="32" fillId="0" borderId="29" xfId="2" applyFont="1" applyBorder="1"/>
    <xf numFmtId="0" fontId="32" fillId="0" borderId="1" xfId="2" applyFont="1" applyFill="1" applyBorder="1" applyAlignment="1">
      <alignment horizontal="center"/>
    </xf>
    <xf numFmtId="0" fontId="32" fillId="0" borderId="3" xfId="2" applyFont="1" applyFill="1" applyBorder="1" applyAlignment="1">
      <alignment horizontal="center"/>
    </xf>
    <xf numFmtId="0" fontId="32" fillId="0" borderId="1" xfId="2" applyFont="1" applyBorder="1" applyAlignment="1">
      <alignment horizontal="center"/>
    </xf>
    <xf numFmtId="0" fontId="32" fillId="0" borderId="3" xfId="2" applyFont="1" applyBorder="1" applyAlignment="1">
      <alignment horizontal="center"/>
    </xf>
    <xf numFmtId="0" fontId="32" fillId="0" borderId="29" xfId="2" applyFont="1" applyBorder="1" applyAlignment="1">
      <alignment horizontal="left"/>
    </xf>
    <xf numFmtId="0" fontId="32" fillId="0" borderId="4" xfId="2" applyFont="1" applyBorder="1"/>
    <xf numFmtId="0" fontId="32" fillId="0" borderId="27" xfId="2" applyFont="1" applyBorder="1"/>
    <xf numFmtId="0" fontId="32" fillId="0" borderId="5" xfId="2" applyFont="1" applyBorder="1"/>
    <xf numFmtId="0" fontId="32" fillId="0" borderId="20" xfId="2" applyFont="1" applyBorder="1"/>
    <xf numFmtId="0" fontId="32" fillId="0" borderId="4" xfId="2" applyFont="1" applyBorder="1" applyAlignment="1">
      <alignment horizontal="center"/>
    </xf>
    <xf numFmtId="0" fontId="32" fillId="0" borderId="27" xfId="2" applyFont="1" applyBorder="1" applyAlignment="1">
      <alignment horizontal="center"/>
    </xf>
    <xf numFmtId="0" fontId="15" fillId="0" borderId="6" xfId="2" applyFont="1" applyFill="1" applyBorder="1" applyAlignment="1" applyProtection="1">
      <alignment horizontal="left" wrapText="1"/>
    </xf>
    <xf numFmtId="0" fontId="15" fillId="0" borderId="0" xfId="2" applyFont="1" applyFill="1" applyBorder="1" applyAlignment="1" applyProtection="1">
      <alignment horizontal="center" wrapText="1"/>
    </xf>
    <xf numFmtId="0" fontId="41" fillId="0" borderId="4" xfId="2" applyFont="1" applyFill="1" applyBorder="1" applyAlignment="1" applyProtection="1">
      <alignment horizontal="center"/>
    </xf>
    <xf numFmtId="0" fontId="41" fillId="0" borderId="67" xfId="2" applyFont="1" applyFill="1" applyBorder="1" applyAlignment="1" applyProtection="1">
      <alignment horizontal="center"/>
    </xf>
    <xf numFmtId="0" fontId="41" fillId="0" borderId="64" xfId="2" applyFont="1" applyFill="1" applyBorder="1" applyAlignment="1" applyProtection="1">
      <alignment horizontal="center"/>
    </xf>
    <xf numFmtId="0" fontId="41" fillId="0" borderId="64" xfId="2" applyFont="1" applyFill="1" applyBorder="1" applyAlignment="1" applyProtection="1">
      <alignment horizontal="center" wrapText="1"/>
    </xf>
    <xf numFmtId="0" fontId="41" fillId="0" borderId="67" xfId="2" applyFont="1" applyFill="1" applyBorder="1" applyAlignment="1" applyProtection="1">
      <alignment horizontal="center" wrapText="1"/>
    </xf>
    <xf numFmtId="0" fontId="41" fillId="0" borderId="27" xfId="2" applyFont="1" applyFill="1" applyBorder="1" applyAlignment="1" applyProtection="1">
      <alignment horizontal="center"/>
    </xf>
    <xf numFmtId="0" fontId="32" fillId="0" borderId="1" xfId="2" applyFont="1" applyBorder="1"/>
    <xf numFmtId="17" fontId="7" fillId="0" borderId="86" xfId="2" quotePrefix="1" applyNumberFormat="1" applyFont="1" applyFill="1" applyBorder="1" applyAlignment="1" applyProtection="1">
      <alignment horizontal="center"/>
    </xf>
    <xf numFmtId="17" fontId="7" fillId="0" borderId="87" xfId="2" quotePrefix="1" applyNumberFormat="1" applyFont="1" applyFill="1" applyBorder="1" applyAlignment="1" applyProtection="1">
      <alignment horizontal="center"/>
    </xf>
    <xf numFmtId="0" fontId="133" fillId="0" borderId="0" xfId="2" applyFont="1" applyFill="1" applyBorder="1" applyProtection="1">
      <protection locked="0"/>
    </xf>
    <xf numFmtId="0" fontId="0" fillId="3" borderId="1" xfId="2" applyFont="1" applyFill="1" applyBorder="1" applyAlignment="1" applyProtection="1">
      <alignment horizontal="center"/>
      <protection locked="0"/>
    </xf>
    <xf numFmtId="0" fontId="0" fillId="3" borderId="3" xfId="2" applyFont="1" applyFill="1" applyBorder="1" applyAlignment="1" applyProtection="1">
      <alignment horizontal="center"/>
      <protection locked="0"/>
    </xf>
    <xf numFmtId="0" fontId="32" fillId="0" borderId="30" xfId="2" applyFont="1" applyBorder="1"/>
    <xf numFmtId="0" fontId="32" fillId="0" borderId="1" xfId="2" applyFont="1" applyBorder="1" applyAlignment="1">
      <alignment horizontal="left"/>
    </xf>
    <xf numFmtId="17" fontId="7" fillId="0" borderId="75" xfId="2" quotePrefix="1" applyNumberFormat="1" applyFont="1" applyFill="1" applyBorder="1" applyAlignment="1" applyProtection="1">
      <alignment horizontal="center"/>
    </xf>
    <xf numFmtId="17" fontId="7" fillId="0" borderId="133" xfId="2" quotePrefix="1" applyNumberFormat="1" applyFont="1" applyFill="1" applyBorder="1" applyAlignment="1" applyProtection="1">
      <alignment horizontal="center"/>
    </xf>
    <xf numFmtId="0" fontId="7" fillId="0" borderId="75" xfId="15" quotePrefix="1" applyFont="1" applyBorder="1" applyAlignment="1">
      <alignment horizontal="center"/>
    </xf>
    <xf numFmtId="0" fontId="7" fillId="0" borderId="86" xfId="15" quotePrefix="1" applyFont="1" applyBorder="1" applyAlignment="1">
      <alignment horizontal="center"/>
    </xf>
    <xf numFmtId="0" fontId="7" fillId="2" borderId="75" xfId="15" quotePrefix="1" applyFont="1" applyFill="1" applyBorder="1" applyAlignment="1">
      <alignment horizontal="center"/>
    </xf>
    <xf numFmtId="0" fontId="7" fillId="2" borderId="86" xfId="15" quotePrefix="1" applyFont="1" applyFill="1" applyBorder="1" applyAlignment="1">
      <alignment horizontal="center"/>
    </xf>
    <xf numFmtId="0" fontId="7" fillId="2" borderId="87" xfId="15" quotePrefix="1" applyFont="1" applyFill="1" applyBorder="1" applyAlignment="1">
      <alignment horizontal="center"/>
    </xf>
    <xf numFmtId="0" fontId="63" fillId="2" borderId="75" xfId="15" quotePrefix="1" applyFont="1" applyFill="1" applyBorder="1" applyAlignment="1">
      <alignment horizontal="center"/>
    </xf>
    <xf numFmtId="0" fontId="63" fillId="2" borderId="86" xfId="15" quotePrefix="1" applyFont="1" applyFill="1" applyBorder="1" applyAlignment="1">
      <alignment horizontal="center"/>
    </xf>
    <xf numFmtId="0" fontId="63" fillId="2" borderId="88" xfId="15" quotePrefix="1" applyFont="1" applyFill="1" applyBorder="1" applyAlignment="1">
      <alignment horizontal="center"/>
    </xf>
    <xf numFmtId="164" fontId="69" fillId="3" borderId="96" xfId="15" quotePrefix="1" applyNumberFormat="1" applyFont="1" applyFill="1" applyBorder="1" applyAlignment="1">
      <alignment horizontal="left" vertical="center" textRotation="135" wrapText="1"/>
    </xf>
    <xf numFmtId="164" fontId="69" fillId="3" borderId="25" xfId="15" quotePrefix="1" applyNumberFormat="1" applyFont="1" applyFill="1" applyBorder="1" applyAlignment="1">
      <alignment horizontal="left" vertical="center" textRotation="135" wrapText="1"/>
    </xf>
    <xf numFmtId="164" fontId="69" fillId="3" borderId="45" xfId="15" quotePrefix="1" applyNumberFormat="1" applyFont="1" applyFill="1" applyBorder="1" applyAlignment="1">
      <alignment horizontal="left" vertical="center" textRotation="135" wrapText="1"/>
    </xf>
    <xf numFmtId="164" fontId="69" fillId="3" borderId="21" xfId="15" quotePrefix="1" applyNumberFormat="1" applyFont="1" applyFill="1" applyBorder="1" applyAlignment="1">
      <alignment horizontal="left" vertical="center" textRotation="135" wrapText="1"/>
    </xf>
    <xf numFmtId="164" fontId="69" fillId="3" borderId="0" xfId="15" quotePrefix="1" applyNumberFormat="1" applyFont="1" applyFill="1" applyBorder="1" applyAlignment="1">
      <alignment horizontal="left" vertical="center" textRotation="135" wrapText="1"/>
    </xf>
    <xf numFmtId="164" fontId="69" fillId="3" borderId="19" xfId="15" quotePrefix="1" applyNumberFormat="1" applyFont="1" applyFill="1" applyBorder="1" applyAlignment="1">
      <alignment horizontal="left" vertical="center" textRotation="135" wrapText="1"/>
    </xf>
    <xf numFmtId="164" fontId="135" fillId="3" borderId="0" xfId="15" quotePrefix="1" applyNumberFormat="1" applyFont="1" applyFill="1" applyBorder="1" applyAlignment="1">
      <alignment horizontal="center" vertical="center" textRotation="165"/>
    </xf>
    <xf numFmtId="164" fontId="135" fillId="3" borderId="0" xfId="15" applyNumberFormat="1" applyFont="1" applyFill="1" applyBorder="1" applyAlignment="1">
      <alignment horizontal="center" vertical="center" textRotation="165"/>
    </xf>
    <xf numFmtId="164" fontId="135" fillId="3" borderId="6" xfId="15" applyNumberFormat="1" applyFont="1" applyFill="1" applyBorder="1" applyAlignment="1">
      <alignment horizontal="center" vertical="center" textRotation="165"/>
    </xf>
    <xf numFmtId="0" fontId="8" fillId="0" borderId="0" xfId="2" applyFont="1" applyFill="1" applyBorder="1" applyAlignment="1" applyProtection="1">
      <alignment horizontal="center"/>
    </xf>
    <xf numFmtId="0" fontId="4" fillId="0" borderId="16" xfId="2" applyFont="1" applyFill="1" applyBorder="1" applyAlignment="1" applyProtection="1"/>
    <xf numFmtId="0" fontId="0" fillId="0" borderId="17" xfId="2" applyFont="1" applyBorder="1" applyAlignment="1"/>
    <xf numFmtId="0" fontId="4" fillId="0" borderId="16" xfId="3" applyFont="1" applyFill="1" applyBorder="1" applyAlignment="1" applyProtection="1">
      <alignment vertical="top" wrapText="1"/>
    </xf>
    <xf numFmtId="0" fontId="26" fillId="0" borderId="16" xfId="3" applyFont="1" applyBorder="1" applyAlignment="1" applyProtection="1"/>
    <xf numFmtId="0" fontId="26" fillId="0" borderId="17" xfId="3" applyFont="1" applyBorder="1" applyAlignment="1"/>
    <xf numFmtId="0" fontId="143" fillId="0" borderId="0" xfId="2" applyFont="1" applyBorder="1" applyAlignment="1" applyProtection="1">
      <alignment horizontal="right" vertical="top" textRotation="90" wrapText="1"/>
    </xf>
    <xf numFmtId="0" fontId="4" fillId="2" borderId="16" xfId="2" applyFont="1" applyFill="1" applyBorder="1" applyAlignment="1" applyProtection="1">
      <alignment vertical="top" wrapText="1"/>
    </xf>
    <xf numFmtId="0" fontId="4" fillId="2" borderId="16" xfId="2" applyFont="1" applyFill="1" applyBorder="1" applyAlignment="1" applyProtection="1"/>
    <xf numFmtId="0" fontId="0" fillId="2" borderId="17" xfId="2" applyFont="1" applyFill="1" applyBorder="1" applyAlignment="1"/>
    <xf numFmtId="0" fontId="7" fillId="0" borderId="6" xfId="2" applyFont="1" applyBorder="1" applyAlignment="1" applyProtection="1">
      <alignment horizontal="left"/>
      <protection locked="0"/>
    </xf>
    <xf numFmtId="0" fontId="32" fillId="0" borderId="6" xfId="2" applyFont="1" applyFill="1" applyBorder="1" applyAlignment="1">
      <alignment horizontal="left" vertical="top" wrapText="1"/>
    </xf>
    <xf numFmtId="0" fontId="25" fillId="0" borderId="15" xfId="3" applyFont="1" applyFill="1" applyBorder="1" applyAlignment="1" applyProtection="1">
      <alignment horizontal="left" vertical="top" wrapText="1"/>
    </xf>
    <xf numFmtId="0" fontId="25" fillId="0" borderId="16" xfId="3" applyFont="1" applyFill="1" applyBorder="1" applyAlignment="1" applyProtection="1">
      <alignment horizontal="left" vertical="top" wrapText="1"/>
    </xf>
    <xf numFmtId="0" fontId="25" fillId="0" borderId="17" xfId="3" applyFont="1" applyFill="1" applyBorder="1" applyAlignment="1" applyProtection="1">
      <alignment horizontal="left" vertical="top" wrapText="1"/>
    </xf>
    <xf numFmtId="0" fontId="12" fillId="0" borderId="25" xfId="2" applyFont="1" applyFill="1" applyBorder="1" applyAlignment="1" applyProtection="1">
      <alignment horizontal="center" vertical="top"/>
    </xf>
    <xf numFmtId="0" fontId="7" fillId="0" borderId="6" xfId="2" applyFont="1" applyFill="1" applyBorder="1" applyAlignment="1" applyProtection="1">
      <alignment horizontal="left"/>
      <protection locked="0"/>
    </xf>
    <xf numFmtId="0" fontId="7" fillId="0" borderId="6" xfId="2" applyFont="1" applyFill="1" applyBorder="1" applyAlignment="1">
      <alignment horizontal="left" wrapText="1"/>
    </xf>
    <xf numFmtId="0" fontId="25" fillId="0" borderId="15" xfId="2" applyFont="1" applyFill="1" applyBorder="1" applyAlignment="1">
      <alignment horizontal="left" wrapText="1"/>
    </xf>
    <xf numFmtId="0" fontId="25" fillId="0" borderId="16" xfId="2" applyFont="1" applyFill="1" applyBorder="1" applyAlignment="1">
      <alignment horizontal="left" wrapText="1"/>
    </xf>
    <xf numFmtId="0" fontId="25" fillId="0" borderId="17" xfId="2" applyFont="1" applyFill="1" applyBorder="1" applyAlignment="1">
      <alignment horizontal="left" wrapText="1"/>
    </xf>
    <xf numFmtId="0" fontId="4" fillId="0" borderId="140" xfId="2" applyFont="1" applyFill="1" applyBorder="1" applyAlignment="1">
      <alignment horizontal="left"/>
    </xf>
    <xf numFmtId="0" fontId="4" fillId="0" borderId="141" xfId="2" applyFont="1" applyFill="1" applyBorder="1" applyAlignment="1">
      <alignment horizontal="left"/>
    </xf>
    <xf numFmtId="0" fontId="4" fillId="0" borderId="142" xfId="2" applyFont="1" applyFill="1" applyBorder="1" applyAlignment="1">
      <alignment horizontal="left"/>
    </xf>
    <xf numFmtId="0" fontId="4" fillId="0" borderId="15" xfId="2" applyFont="1" applyFill="1" applyBorder="1" applyAlignment="1">
      <alignment horizontal="left"/>
    </xf>
    <xf numFmtId="0" fontId="4" fillId="0" borderId="16" xfId="2" applyFont="1" applyFill="1" applyBorder="1" applyAlignment="1">
      <alignment horizontal="left"/>
    </xf>
    <xf numFmtId="0" fontId="4" fillId="0" borderId="17" xfId="2" applyFont="1" applyFill="1" applyBorder="1" applyAlignment="1">
      <alignment horizontal="left"/>
    </xf>
    <xf numFmtId="0" fontId="25" fillId="0" borderId="15" xfId="2" applyFont="1" applyFill="1" applyBorder="1" applyAlignment="1">
      <alignment horizontal="left"/>
    </xf>
    <xf numFmtId="0" fontId="25" fillId="0" borderId="16" xfId="2" applyFont="1" applyFill="1" applyBorder="1" applyAlignment="1">
      <alignment horizontal="left"/>
    </xf>
    <xf numFmtId="0" fontId="25" fillId="0" borderId="17" xfId="2" applyFont="1" applyFill="1" applyBorder="1" applyAlignment="1">
      <alignment horizontal="left"/>
    </xf>
    <xf numFmtId="0" fontId="4" fillId="0" borderId="22" xfId="2" applyFont="1" applyFill="1" applyBorder="1" applyAlignment="1">
      <alignment horizontal="left"/>
    </xf>
    <xf numFmtId="0" fontId="4" fillId="0" borderId="96" xfId="2" applyFont="1" applyFill="1" applyBorder="1" applyAlignment="1">
      <alignment horizontal="left" wrapText="1"/>
    </xf>
    <xf numFmtId="0" fontId="4" fillId="0" borderId="25" xfId="2" applyFont="1" applyFill="1" applyBorder="1" applyAlignment="1">
      <alignment horizontal="left" wrapText="1"/>
    </xf>
    <xf numFmtId="0" fontId="4" fillId="0" borderId="70" xfId="2" applyFont="1" applyFill="1" applyBorder="1" applyAlignment="1">
      <alignment horizontal="left" wrapText="1"/>
    </xf>
    <xf numFmtId="0" fontId="25" fillId="0" borderId="140" xfId="2" applyFont="1" applyFill="1" applyBorder="1" applyAlignment="1">
      <alignment horizontal="left" wrapText="1"/>
    </xf>
    <xf numFmtId="0" fontId="25" fillId="0" borderId="141" xfId="2" applyFont="1" applyFill="1" applyBorder="1" applyAlignment="1">
      <alignment horizontal="left" wrapText="1"/>
    </xf>
    <xf numFmtId="0" fontId="25" fillId="0" borderId="142" xfId="2" applyFont="1" applyFill="1" applyBorder="1" applyAlignment="1">
      <alignment horizontal="left" wrapText="1"/>
    </xf>
    <xf numFmtId="0" fontId="4" fillId="0" borderId="0" xfId="2" applyFont="1" applyFill="1" applyBorder="1" applyAlignment="1" applyProtection="1">
      <alignment horizontal="left" vertical="top" wrapText="1"/>
    </xf>
    <xf numFmtId="0" fontId="25" fillId="0" borderId="15" xfId="2" quotePrefix="1" applyFont="1" applyFill="1" applyBorder="1" applyAlignment="1" applyProtection="1">
      <alignment vertical="top" wrapText="1"/>
    </xf>
    <xf numFmtId="0" fontId="25" fillId="0" borderId="16" xfId="2" applyFont="1" applyFill="1" applyBorder="1" applyAlignment="1" applyProtection="1">
      <alignment vertical="top" wrapText="1"/>
    </xf>
    <xf numFmtId="0" fontId="25" fillId="0" borderId="17" xfId="2" applyFont="1" applyFill="1" applyBorder="1" applyAlignment="1" applyProtection="1">
      <alignment vertical="top" wrapText="1"/>
    </xf>
    <xf numFmtId="0" fontId="4" fillId="0" borderId="15" xfId="2" applyBorder="1" applyAlignment="1">
      <alignment horizontal="left" vertical="top" wrapText="1"/>
    </xf>
    <xf numFmtId="0" fontId="4" fillId="0" borderId="16" xfId="2" applyBorder="1" applyAlignment="1">
      <alignment horizontal="left" vertical="top" wrapText="1"/>
    </xf>
    <xf numFmtId="0" fontId="4" fillId="0" borderId="17" xfId="2" applyBorder="1" applyAlignment="1">
      <alignment horizontal="left" vertical="top" wrapText="1"/>
    </xf>
    <xf numFmtId="0" fontId="4" fillId="0" borderId="15" xfId="2" applyBorder="1" applyAlignment="1">
      <alignment horizontal="left" vertical="top"/>
    </xf>
    <xf numFmtId="0" fontId="4" fillId="0" borderId="16" xfId="2" applyBorder="1" applyAlignment="1">
      <alignment horizontal="left" vertical="top"/>
    </xf>
    <xf numFmtId="0" fontId="4" fillId="0" borderId="17" xfId="2" applyBorder="1" applyAlignment="1">
      <alignment horizontal="left" vertical="top"/>
    </xf>
    <xf numFmtId="0" fontId="25" fillId="0" borderId="16" xfId="2" applyFont="1" applyFill="1" applyBorder="1" applyAlignment="1">
      <alignment horizontal="left" vertical="top" wrapText="1"/>
    </xf>
    <xf numFmtId="0" fontId="25" fillId="0" borderId="17" xfId="2" applyFont="1" applyFill="1" applyBorder="1" applyAlignment="1">
      <alignment horizontal="left" vertical="top" wrapText="1"/>
    </xf>
    <xf numFmtId="0" fontId="8" fillId="0" borderId="6" xfId="2" applyFont="1" applyBorder="1" applyAlignment="1">
      <alignment wrapText="1"/>
    </xf>
    <xf numFmtId="0" fontId="0" fillId="0" borderId="6" xfId="2" applyFont="1" applyBorder="1" applyAlignment="1"/>
    <xf numFmtId="0" fontId="25" fillId="0" borderId="15" xfId="2" applyNumberFormat="1" applyFont="1" applyFill="1" applyBorder="1" applyAlignment="1">
      <alignment horizontal="left" vertical="top" wrapText="1"/>
    </xf>
    <xf numFmtId="0" fontId="25" fillId="0" borderId="16" xfId="2" applyNumberFormat="1" applyFont="1" applyFill="1" applyBorder="1" applyAlignment="1">
      <alignment horizontal="left" vertical="top" wrapText="1"/>
    </xf>
    <xf numFmtId="0" fontId="25" fillId="0" borderId="17" xfId="2" applyNumberFormat="1" applyFont="1" applyFill="1" applyBorder="1" applyAlignment="1">
      <alignment horizontal="left" vertical="top" wrapText="1"/>
    </xf>
    <xf numFmtId="0" fontId="4" fillId="0" borderId="15" xfId="2" applyBorder="1" applyAlignment="1">
      <alignment vertical="top" wrapText="1"/>
    </xf>
    <xf numFmtId="0" fontId="4" fillId="0" borderId="16" xfId="2" applyBorder="1" applyAlignment="1">
      <alignment vertical="top" wrapText="1"/>
    </xf>
    <xf numFmtId="0" fontId="4" fillId="0" borderId="17" xfId="2" applyBorder="1" applyAlignment="1">
      <alignment vertical="top" wrapText="1"/>
    </xf>
    <xf numFmtId="0" fontId="4" fillId="2" borderId="15" xfId="2" applyFont="1" applyFill="1" applyBorder="1" applyAlignment="1">
      <alignment horizontal="left" vertical="top" wrapText="1"/>
    </xf>
    <xf numFmtId="0" fontId="4" fillId="2" borderId="16" xfId="2" applyFont="1" applyFill="1" applyBorder="1" applyAlignment="1">
      <alignment horizontal="left" vertical="top" wrapText="1"/>
    </xf>
    <xf numFmtId="0" fontId="4" fillId="2" borderId="17" xfId="2" applyFont="1" applyFill="1" applyBorder="1" applyAlignment="1">
      <alignment horizontal="left" vertical="top" wrapText="1"/>
    </xf>
    <xf numFmtId="0" fontId="106" fillId="0" borderId="0" xfId="32" applyFont="1" applyFill="1" applyBorder="1" applyAlignment="1" applyProtection="1">
      <alignment vertical="top" wrapText="1"/>
    </xf>
    <xf numFmtId="0" fontId="106" fillId="0" borderId="15" xfId="32" applyFill="1" applyBorder="1" applyAlignment="1" applyProtection="1">
      <alignment horizontal="left" vertical="top" wrapText="1"/>
    </xf>
    <xf numFmtId="0" fontId="4" fillId="0" borderId="16" xfId="32" applyFont="1" applyFill="1" applyBorder="1" applyAlignment="1" applyProtection="1">
      <alignment horizontal="left" vertical="top" wrapText="1"/>
    </xf>
    <xf numFmtId="0" fontId="4" fillId="0" borderId="17" xfId="32" applyFont="1" applyFill="1" applyBorder="1" applyAlignment="1" applyProtection="1">
      <alignment horizontal="left" vertical="top" wrapText="1"/>
    </xf>
    <xf numFmtId="0" fontId="7" fillId="0" borderId="154" xfId="2" applyFont="1" applyFill="1" applyBorder="1" applyAlignment="1">
      <alignment horizontal="left" vertical="top" wrapText="1"/>
    </xf>
    <xf numFmtId="0" fontId="7" fillId="0" borderId="16" xfId="2" applyFont="1" applyFill="1" applyBorder="1" applyAlignment="1">
      <alignment horizontal="left" vertical="top" wrapText="1"/>
    </xf>
    <xf numFmtId="0" fontId="7" fillId="0" borderId="155" xfId="2" applyFont="1" applyFill="1" applyBorder="1" applyAlignment="1">
      <alignment horizontal="left" vertical="top" wrapText="1"/>
    </xf>
    <xf numFmtId="0" fontId="25" fillId="0" borderId="15" xfId="2" applyFont="1" applyFill="1" applyBorder="1" applyAlignment="1">
      <alignment vertical="top" wrapText="1"/>
    </xf>
    <xf numFmtId="172" fontId="8" fillId="0" borderId="61" xfId="14" applyNumberFormat="1" applyFont="1" applyBorder="1" applyAlignment="1">
      <alignment horizontal="center"/>
    </xf>
    <xf numFmtId="0" fontId="7" fillId="0" borderId="26" xfId="2" applyFont="1" applyBorder="1" applyAlignment="1">
      <alignment horizontal="center"/>
    </xf>
    <xf numFmtId="0" fontId="7" fillId="0" borderId="67" xfId="2" applyFont="1" applyBorder="1" applyAlignment="1">
      <alignment horizontal="center"/>
    </xf>
    <xf numFmtId="0" fontId="7" fillId="0" borderId="64" xfId="2" applyFont="1" applyBorder="1" applyAlignment="1">
      <alignment horizontal="center"/>
    </xf>
    <xf numFmtId="0" fontId="32" fillId="0" borderId="4" xfId="2" applyFont="1" applyBorder="1" applyAlignment="1">
      <alignment horizontal="left" vertical="center"/>
    </xf>
    <xf numFmtId="0" fontId="32" fillId="0" borderId="27" xfId="2" applyFont="1" applyBorder="1" applyAlignment="1">
      <alignment horizontal="left" vertical="center"/>
    </xf>
    <xf numFmtId="0" fontId="32" fillId="0" borderId="5" xfId="2" applyFont="1" applyBorder="1" applyAlignment="1">
      <alignment horizontal="left" vertical="center"/>
    </xf>
    <xf numFmtId="0" fontId="32" fillId="0" borderId="20" xfId="2" applyFont="1" applyBorder="1" applyAlignment="1">
      <alignment horizontal="left" vertical="center"/>
    </xf>
    <xf numFmtId="0" fontId="7" fillId="0" borderId="55" xfId="2" applyFont="1" applyBorder="1" applyAlignment="1">
      <alignment horizontal="right"/>
    </xf>
    <xf numFmtId="172" fontId="8" fillId="0" borderId="61" xfId="14" applyNumberFormat="1" applyFont="1" applyBorder="1" applyAlignment="1">
      <alignment horizontal="right"/>
    </xf>
    <xf numFmtId="0" fontId="41" fillId="0" borderId="26" xfId="2" applyFont="1" applyBorder="1" applyAlignment="1">
      <alignment horizontal="center"/>
    </xf>
    <xf numFmtId="0" fontId="41" fillId="0" borderId="67" xfId="2" applyFont="1" applyBorder="1" applyAlignment="1">
      <alignment horizontal="center"/>
    </xf>
    <xf numFmtId="0" fontId="8" fillId="0" borderId="23" xfId="2" applyFont="1" applyFill="1" applyBorder="1" applyAlignment="1">
      <alignment vertical="center" wrapText="1"/>
    </xf>
    <xf numFmtId="0" fontId="8" fillId="0" borderId="16" xfId="2" applyFont="1" applyFill="1" applyBorder="1" applyAlignment="1">
      <alignment vertical="center" wrapText="1"/>
    </xf>
    <xf numFmtId="0" fontId="4" fillId="3" borderId="0" xfId="2" applyFont="1" applyFill="1" applyBorder="1" applyAlignment="1">
      <alignment horizontal="left" vertical="top" wrapText="1"/>
    </xf>
  </cellXfs>
  <cellStyles count="42">
    <cellStyle name="cells" xfId="11" xr:uid="{00000000-0005-0000-0000-000000000000}"/>
    <cellStyle name="cells 2" xfId="12" xr:uid="{00000000-0005-0000-0000-000001000000}"/>
    <cellStyle name="Comma" xfId="18" builtinId="3"/>
    <cellStyle name="Comma 2" xfId="7" xr:uid="{00000000-0005-0000-0000-000003000000}"/>
    <cellStyle name="Comma 2 2" xfId="14" xr:uid="{00000000-0005-0000-0000-000004000000}"/>
    <cellStyle name="Comma 2 2 2" xfId="41" xr:uid="{00000000-0005-0000-0000-000005000000}"/>
    <cellStyle name="Comma 2 2 3" xfId="24" xr:uid="{00000000-0005-0000-0000-000006000000}"/>
    <cellStyle name="Comma 2 3" xfId="19" xr:uid="{00000000-0005-0000-0000-000007000000}"/>
    <cellStyle name="Comma 3 2" xfId="39" xr:uid="{00000000-0005-0000-0000-000008000000}"/>
    <cellStyle name="Comma 5" xfId="33" xr:uid="{00000000-0005-0000-0000-000009000000}"/>
    <cellStyle name="Comma 63" xfId="31" xr:uid="{00000000-0005-0000-0000-00000A000000}"/>
    <cellStyle name="Comma 7" xfId="23" xr:uid="{00000000-0005-0000-0000-00000B000000}"/>
    <cellStyle name="Comma_Ed data request for presidency_updated MARCH 07" xfId="38" xr:uid="{00000000-0005-0000-0000-00000C000000}"/>
    <cellStyle name="Comma_S.S.M STATS 2000 TO 2001" xfId="26" xr:uid="{00000000-0005-0000-0000-00000D000000}"/>
    <cellStyle name="Comma0_Safety and Security indicators 2008" xfId="40" xr:uid="{00000000-0005-0000-0000-00000E000000}"/>
    <cellStyle name="Excel Built-in Excel Built-in Excel Built-in Excel Built-in Excel Built-in Excel Built-in Excel Built-in F4 2" xfId="8" xr:uid="{00000000-0005-0000-0000-00000F000000}"/>
    <cellStyle name="Excel Built-in Excel Built-in Excel Built-in Excel Built-in Excel Built-in Excel Built-in Normal 2" xfId="9" xr:uid="{00000000-0005-0000-0000-000010000000}"/>
    <cellStyle name="F4 2" xfId="2" xr:uid="{00000000-0005-0000-0000-000011000000}"/>
    <cellStyle name="F4 2 2" xfId="3" xr:uid="{00000000-0005-0000-0000-000012000000}"/>
    <cellStyle name="F4 2 2 3" xfId="30" xr:uid="{00000000-0005-0000-0000-000013000000}"/>
    <cellStyle name="Hyperlink" xfId="32" builtinId="8"/>
    <cellStyle name="Normal" xfId="0" builtinId="0"/>
    <cellStyle name="Normal 2" xfId="5" xr:uid="{00000000-0005-0000-0000-000016000000}"/>
    <cellStyle name="Normal 2 2" xfId="15" xr:uid="{00000000-0005-0000-0000-000017000000}"/>
    <cellStyle name="Normal 2 4" xfId="29" xr:uid="{00000000-0005-0000-0000-000018000000}"/>
    <cellStyle name="Normal 3" xfId="20" xr:uid="{00000000-0005-0000-0000-000019000000}"/>
    <cellStyle name="Normal 3 2" xfId="34" xr:uid="{00000000-0005-0000-0000-00001A000000}"/>
    <cellStyle name="Normal 3 3" xfId="35" xr:uid="{00000000-0005-0000-0000-00001B000000}"/>
    <cellStyle name="Normal 44" xfId="27" xr:uid="{00000000-0005-0000-0000-00001C000000}"/>
    <cellStyle name="Normal 5" xfId="36" xr:uid="{00000000-0005-0000-0000-00001D000000}"/>
    <cellStyle name="Normal 6 2" xfId="13" xr:uid="{00000000-0005-0000-0000-00001E000000}"/>
    <cellStyle name="Normal 8" xfId="21" xr:uid="{00000000-0005-0000-0000-00001F000000}"/>
    <cellStyle name="Normal_Budget 199899 master table 2" xfId="4" xr:uid="{00000000-0005-0000-0000-000020000000}"/>
    <cellStyle name="Normal_COUNTRY" xfId="16" xr:uid="{00000000-0005-0000-0000-000021000000}"/>
    <cellStyle name="Normal_CPIX Components 2" xfId="6" xr:uid="{00000000-0005-0000-0000-000022000000}"/>
    <cellStyle name="Normal_CPIX Components 2 2" xfId="10" xr:uid="{00000000-0005-0000-0000-000023000000}"/>
    <cellStyle name="Normal_Mid-year 2000-2007 (30 Jan 08)" xfId="37" xr:uid="{00000000-0005-0000-0000-000024000000}"/>
    <cellStyle name="Percent" xfId="1" builtinId="5"/>
    <cellStyle name="Percent 2 2" xfId="17" xr:uid="{00000000-0005-0000-0000-000026000000}"/>
    <cellStyle name="Percent 2 3" xfId="28" xr:uid="{00000000-0005-0000-0000-000027000000}"/>
    <cellStyle name="Percent 3 2" xfId="25" xr:uid="{00000000-0005-0000-0000-000028000000}"/>
    <cellStyle name="Percent 5" xfId="22" xr:uid="{00000000-0005-0000-0000-000029000000}"/>
  </cellStyles>
  <dxfs count="0"/>
  <tableStyles count="0" defaultTableStyle="TableStyleMedium2" defaultPivotStyle="PivotStyleLight16"/>
  <colors>
    <mruColors>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2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123" Type="http://schemas.openxmlformats.org/officeDocument/2006/relationships/externalLink" Target="externalLinks/externalLink36.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6.xml"/><Relationship Id="rId118" Type="http://schemas.openxmlformats.org/officeDocument/2006/relationships/externalLink" Target="externalLinks/externalLink31.xml"/><Relationship Id="rId134"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08" Type="http://schemas.openxmlformats.org/officeDocument/2006/relationships/externalLink" Target="externalLinks/externalLink21.xml"/><Relationship Id="rId124" Type="http://schemas.openxmlformats.org/officeDocument/2006/relationships/externalLink" Target="externalLinks/externalLink37.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7.xml"/><Relationship Id="rId119" Type="http://schemas.openxmlformats.org/officeDocument/2006/relationships/externalLink" Target="externalLinks/externalLink3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5" Type="http://schemas.openxmlformats.org/officeDocument/2006/relationships/customXml" Target="../customXml/item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120" Type="http://schemas.openxmlformats.org/officeDocument/2006/relationships/externalLink" Target="externalLinks/externalLink33.xml"/><Relationship Id="rId125"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3.xml"/><Relationship Id="rId115" Type="http://schemas.openxmlformats.org/officeDocument/2006/relationships/externalLink" Target="externalLinks/externalLink28.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126"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121"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1.xml"/><Relationship Id="rId111" Type="http://schemas.openxmlformats.org/officeDocument/2006/relationships/externalLink" Target="externalLinks/externalLink24.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122"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2.xml"/><Relationship Id="rId112" Type="http://schemas.openxmlformats.org/officeDocument/2006/relationships/externalLink" Target="externalLinks/externalLink25.xml"/><Relationship Id="rId133"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1.xml"/><Relationship Id="rId1" Type="http://schemas.microsoft.com/office/2011/relationships/chartStyle" Target="style21.xml"/></Relationships>
</file>

<file path=xl/charts/_rels/chart1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4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b="1"/>
              <a:t>GDP</a:t>
            </a:r>
            <a:r>
              <a:rPr lang="en-ZA" b="1" baseline="0"/>
              <a:t> (YEAR ON YEAR)</a:t>
            </a:r>
            <a:endParaRPr lang="en-ZA" b="1"/>
          </a:p>
        </c:rich>
      </c:tx>
      <c:layout>
        <c:manualLayout>
          <c:xMode val="edge"/>
          <c:yMode val="edge"/>
          <c:x val="1.9650349650349667E-2"/>
          <c:y val="2.5940337224383919E-2"/>
        </c:manualLayout>
      </c:layout>
      <c:overlay val="0"/>
    </c:title>
    <c:autoTitleDeleted val="0"/>
    <c:plotArea>
      <c:layout>
        <c:manualLayout>
          <c:layoutTarget val="inner"/>
          <c:xMode val="edge"/>
          <c:yMode val="edge"/>
          <c:x val="6.8493185926173414E-2"/>
          <c:y val="0.14305627722930575"/>
          <c:w val="0.91675495008878893"/>
          <c:h val="0.73714610229558863"/>
        </c:manualLayout>
      </c:layout>
      <c:lineChart>
        <c:grouping val="standard"/>
        <c:varyColors val="0"/>
        <c:ser>
          <c:idx val="0"/>
          <c:order val="0"/>
          <c:spPr>
            <a:ln w="25400">
              <a:solidFill>
                <a:srgbClr val="FF6600"/>
              </a:solidFill>
              <a:prstDash val="solid"/>
            </a:ln>
          </c:spPr>
          <c:marker>
            <c:symbol val="none"/>
          </c:marker>
          <c:cat>
            <c:strRef>
              <c:extLst>
                <c:ext xmlns:c15="http://schemas.microsoft.com/office/drawing/2012/chart" uri="{02D57815-91ED-43cb-92C2-25804820EDAC}">
                  <c15:fullRef>
                    <c15:sqref>GDP!$E$7:$AD$7</c15:sqref>
                  </c15:fullRef>
                </c:ext>
              </c:extLst>
              <c:f>GDP!$Q$7:$AD$7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GDP!$E$8:$AD$8</c15:sqref>
                  </c15:fullRef>
                </c:ext>
              </c:extLst>
              <c:f>GDP!$Q$8:$AD$8</c:f>
              <c:numCache>
                <c:formatCode>#\ ##0.0</c:formatCode>
                <c:ptCount val="14"/>
                <c:pt idx="0" formatCode="0.0">
                  <c:v>5.6036647889724094</c:v>
                </c:pt>
                <c:pt idx="1">
                  <c:v>5.3604651396161387</c:v>
                </c:pt>
                <c:pt idx="2">
                  <c:v>3.1910516450526387</c:v>
                </c:pt>
                <c:pt idx="3" formatCode="0.0">
                  <c:v>-1.5381008639149343</c:v>
                </c:pt>
                <c:pt idx="4">
                  <c:v>3.0397770627674561</c:v>
                </c:pt>
                <c:pt idx="5">
                  <c:v>3.2841650533768529</c:v>
                </c:pt>
                <c:pt idx="6" formatCode="0.0">
                  <c:v>2.2133536525899444</c:v>
                </c:pt>
                <c:pt idx="7">
                  <c:v>2.4851858349998821</c:v>
                </c:pt>
                <c:pt idx="8">
                  <c:v>1.8470084416527328</c:v>
                </c:pt>
                <c:pt idx="9" formatCode="0.0">
                  <c:v>1.2</c:v>
                </c:pt>
                <c:pt idx="10">
                  <c:v>0.4</c:v>
                </c:pt>
                <c:pt idx="11">
                  <c:v>1.4</c:v>
                </c:pt>
                <c:pt idx="12">
                  <c:v>0.8</c:v>
                </c:pt>
                <c:pt idx="13">
                  <c:v>0.2</c:v>
                </c:pt>
              </c:numCache>
            </c:numRef>
          </c:val>
          <c:smooth val="0"/>
          <c:extLst>
            <c:ext xmlns:c16="http://schemas.microsoft.com/office/drawing/2014/chart" uri="{C3380CC4-5D6E-409C-BE32-E72D297353CC}">
              <c16:uniqueId val="{00000000-DE3A-4DB5-AE19-775647238B8D}"/>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BALANCE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 balance  '!$D$8</c:f>
              <c:strCache>
                <c:ptCount val="1"/>
                <c:pt idx="0">
                  <c:v>Budget Deficit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'B balance  '!$E$7:$AD$7</c15:sqref>
                  </c15:fullRef>
                </c:ext>
              </c:extLst>
              <c:f>'B balance  '!$R$7:$AD$7</c:f>
              <c:strCache>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Cache>
            </c:strRef>
          </c:cat>
          <c:val>
            <c:numRef>
              <c:extLst>
                <c:ext xmlns:c15="http://schemas.microsoft.com/office/drawing/2012/chart" uri="{02D57815-91ED-43cb-92C2-25804820EDAC}">
                  <c15:fullRef>
                    <c15:sqref>'B balance  '!$E$8:$AD$8</c15:sqref>
                  </c15:fullRef>
                </c:ext>
              </c:extLst>
              <c:f>'B balance  '!$R$8:$AD$8</c:f>
              <c:numCache>
                <c:formatCode>General</c:formatCode>
                <c:ptCount val="13"/>
                <c:pt idx="0">
                  <c:v>0.6</c:v>
                </c:pt>
                <c:pt idx="1" formatCode="0.0">
                  <c:v>1</c:v>
                </c:pt>
                <c:pt idx="2" formatCode="0.0">
                  <c:v>-1</c:v>
                </c:pt>
                <c:pt idx="3">
                  <c:v>-6.3</c:v>
                </c:pt>
                <c:pt idx="4">
                  <c:v>-4.7</c:v>
                </c:pt>
                <c:pt idx="5">
                  <c:v>-4.7</c:v>
                </c:pt>
                <c:pt idx="6" formatCode="0.0">
                  <c:v>-5</c:v>
                </c:pt>
                <c:pt idx="7" formatCode="#\ ##0.0">
                  <c:v>-4.4000000000000004</c:v>
                </c:pt>
                <c:pt idx="8" formatCode="#\ ##0.0">
                  <c:v>-4.3</c:v>
                </c:pt>
                <c:pt idx="9" formatCode="#\ ##0.0">
                  <c:v>-4.0999999999999996</c:v>
                </c:pt>
                <c:pt idx="10" formatCode="#\ ##0.0">
                  <c:v>-3.8</c:v>
                </c:pt>
                <c:pt idx="11" formatCode="#\ ##0.0">
                  <c:v>-4.4000000000000004</c:v>
                </c:pt>
                <c:pt idx="12" formatCode="#\ ##0.0">
                  <c:v>-4.7</c:v>
                </c:pt>
              </c:numCache>
            </c:numRef>
          </c:val>
          <c:smooth val="0"/>
          <c:extLst>
            <c:ext xmlns:c16="http://schemas.microsoft.com/office/drawing/2014/chart" uri="{C3380CC4-5D6E-409C-BE32-E72D297353CC}">
              <c16:uniqueId val="{00000000-9A10-424F-9D51-4E82510D3822}"/>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22686666365437116"/>
          <c:w val="0.92380968903990823"/>
          <c:h val="0.54627104537828863"/>
        </c:manualLayout>
      </c:layout>
      <c:lineChart>
        <c:grouping val="standard"/>
        <c:varyColors val="0"/>
        <c:ser>
          <c:idx val="0"/>
          <c:order val="0"/>
          <c:tx>
            <c:strRef>
              <c:f>'Confident in happy future'!$D$58</c:f>
              <c:strCache>
                <c:ptCount val="1"/>
                <c:pt idx="0">
                  <c:v>Confident in a happy future for all races</c:v>
                </c:pt>
              </c:strCache>
            </c:strRef>
          </c:tx>
          <c:marker>
            <c:symbol val="none"/>
          </c:marker>
          <c:cat>
            <c:numRef>
              <c:f>'Confident in happy future'!$E$57:$U$57</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'Confident in happy future'!$E$58:$U$58</c:f>
              <c:numCache>
                <c:formatCode>General</c:formatCode>
                <c:ptCount val="17"/>
                <c:pt idx="0">
                  <c:v>76</c:v>
                </c:pt>
                <c:pt idx="1">
                  <c:v>85</c:v>
                </c:pt>
                <c:pt idx="2">
                  <c:v>85</c:v>
                </c:pt>
                <c:pt idx="3">
                  <c:v>82</c:v>
                </c:pt>
                <c:pt idx="4">
                  <c:v>77</c:v>
                </c:pt>
                <c:pt idx="5">
                  <c:v>61</c:v>
                </c:pt>
                <c:pt idx="6">
                  <c:v>64</c:v>
                </c:pt>
                <c:pt idx="7">
                  <c:v>67</c:v>
                </c:pt>
                <c:pt idx="8">
                  <c:v>64</c:v>
                </c:pt>
                <c:pt idx="9">
                  <c:v>58</c:v>
                </c:pt>
                <c:pt idx="10">
                  <c:v>55</c:v>
                </c:pt>
                <c:pt idx="11">
                  <c:v>67</c:v>
                </c:pt>
                <c:pt idx="12">
                  <c:v>67</c:v>
                </c:pt>
                <c:pt idx="13">
                  <c:v>58</c:v>
                </c:pt>
                <c:pt idx="14">
                  <c:v>65</c:v>
                </c:pt>
                <c:pt idx="15">
                  <c:v>59</c:v>
                </c:pt>
                <c:pt idx="16">
                  <c:v>66</c:v>
                </c:pt>
              </c:numCache>
            </c:numRef>
          </c:val>
          <c:smooth val="0"/>
          <c:extLst>
            <c:ext xmlns:c16="http://schemas.microsoft.com/office/drawing/2014/chart" uri="{C3380CC4-5D6E-409C-BE32-E72D297353CC}">
              <c16:uniqueId val="{00000000-23B1-405D-BC4A-F6586AB95BAD}"/>
            </c:ext>
          </c:extLst>
        </c:ser>
        <c:dLbls>
          <c:showLegendKey val="0"/>
          <c:showVal val="0"/>
          <c:showCatName val="0"/>
          <c:showSerName val="0"/>
          <c:showPercent val="0"/>
          <c:showBubbleSize val="0"/>
        </c:dLbls>
        <c:smooth val="0"/>
        <c:axId val="204769120"/>
        <c:axId val="204765984"/>
        <c:extLst/>
      </c:lineChart>
      <c:catAx>
        <c:axId val="204769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5984"/>
        <c:crosses val="autoZero"/>
        <c:auto val="1"/>
        <c:lblAlgn val="ctr"/>
        <c:lblOffset val="100"/>
        <c:tickLblSkip val="1"/>
        <c:tickMarkSkip val="1"/>
        <c:noMultiLvlLbl val="0"/>
      </c:catAx>
      <c:valAx>
        <c:axId val="204765984"/>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'Confident in happy future'!$D$9</c:f>
              <c:strCache>
                <c:ptCount val="1"/>
                <c:pt idx="0">
                  <c:v>Confident in a happy future for all races</c:v>
                </c:pt>
              </c:strCache>
            </c:strRef>
          </c:tx>
          <c:spPr>
            <a:ln w="12700">
              <a:solidFill>
                <a:srgbClr val="FF6600"/>
              </a:solidFill>
              <a:prstDash val="solid"/>
            </a:ln>
          </c:spPr>
          <c:marker>
            <c:symbol val="none"/>
          </c:marker>
          <c:cat>
            <c:multiLvlStrRef>
              <c:f>'Confident in happy future'!$E$7:$AJ$8</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future'!$E$9:$AJ$9</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F6FF-4889-824B-344707485E26}"/>
            </c:ext>
          </c:extLst>
        </c:ser>
        <c:dLbls>
          <c:showLegendKey val="0"/>
          <c:showVal val="0"/>
          <c:showCatName val="0"/>
          <c:showSerName val="0"/>
          <c:showPercent val="0"/>
          <c:showBubbleSize val="0"/>
        </c:dLbls>
        <c:smooth val="0"/>
        <c:axId val="206592656"/>
        <c:axId val="206595400"/>
      </c:lineChart>
      <c:catAx>
        <c:axId val="206592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5400"/>
        <c:crosses val="autoZero"/>
        <c:auto val="1"/>
        <c:lblAlgn val="ctr"/>
        <c:lblOffset val="100"/>
        <c:tickLblSkip val="1"/>
        <c:tickMarkSkip val="1"/>
        <c:noMultiLvlLbl val="0"/>
      </c:catAx>
      <c:valAx>
        <c:axId val="206595400"/>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2656"/>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'Confident in happy future'!$AO$58</c:f>
              <c:strCache>
                <c:ptCount val="1"/>
                <c:pt idx="0">
                  <c:v>Confident in a happy future for all races</c:v>
                </c:pt>
              </c:strCache>
            </c:strRef>
          </c:tx>
          <c:spPr>
            <a:ln w="28575" cap="rnd">
              <a:solidFill>
                <a:schemeClr val="accent1"/>
              </a:solidFill>
              <a:round/>
            </a:ln>
            <a:effectLst/>
          </c:spPr>
          <c:marker>
            <c:symbol val="none"/>
          </c:marker>
          <c:cat>
            <c:numRef>
              <c:f>'Confident in happy future'!$AP$57:$BF$57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'Confident in happy future'!$AP$58:$BF$58</c:f>
              <c:numCache>
                <c:formatCode>General</c:formatCode>
                <c:ptCount val="17"/>
                <c:pt idx="0">
                  <c:v>72</c:v>
                </c:pt>
                <c:pt idx="1">
                  <c:v>70</c:v>
                </c:pt>
                <c:pt idx="2">
                  <c:v>71</c:v>
                </c:pt>
                <c:pt idx="3">
                  <c:v>76</c:v>
                </c:pt>
                <c:pt idx="4">
                  <c:v>85</c:v>
                </c:pt>
                <c:pt idx="5">
                  <c:v>85</c:v>
                </c:pt>
                <c:pt idx="6">
                  <c:v>82</c:v>
                </c:pt>
                <c:pt idx="7">
                  <c:v>77</c:v>
                </c:pt>
                <c:pt idx="8">
                  <c:v>61</c:v>
                </c:pt>
                <c:pt idx="9">
                  <c:v>64</c:v>
                </c:pt>
                <c:pt idx="10">
                  <c:v>67</c:v>
                </c:pt>
                <c:pt idx="11">
                  <c:v>64</c:v>
                </c:pt>
                <c:pt idx="12">
                  <c:v>58</c:v>
                </c:pt>
                <c:pt idx="13">
                  <c:v>55</c:v>
                </c:pt>
                <c:pt idx="14">
                  <c:v>67</c:v>
                </c:pt>
                <c:pt idx="15">
                  <c:v>67</c:v>
                </c:pt>
                <c:pt idx="16">
                  <c:v>60</c:v>
                </c:pt>
              </c:numCache>
            </c:numRef>
          </c:val>
          <c:smooth val="0"/>
          <c:extLst>
            <c:ext xmlns:c16="http://schemas.microsoft.com/office/drawing/2014/chart" uri="{C3380CC4-5D6E-409C-BE32-E72D297353CC}">
              <c16:uniqueId val="{00000000-22DA-43F3-BD2B-83F5EE907305}"/>
            </c:ext>
          </c:extLst>
        </c:ser>
        <c:dLbls>
          <c:showLegendKey val="0"/>
          <c:showVal val="0"/>
          <c:showCatName val="0"/>
          <c:showSerName val="0"/>
          <c:showPercent val="0"/>
          <c:showBubbleSize val="0"/>
        </c:dLbls>
        <c:smooth val="0"/>
        <c:axId val="206593832"/>
        <c:axId val="206597752"/>
      </c:lineChart>
      <c:catAx>
        <c:axId val="206593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7752"/>
        <c:crosses val="autoZero"/>
        <c:auto val="1"/>
        <c:lblAlgn val="ctr"/>
        <c:lblOffset val="100"/>
        <c:noMultiLvlLbl val="0"/>
      </c:catAx>
      <c:valAx>
        <c:axId val="206597752"/>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3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0.33161841747871634"/>
          <c:y val="2.1663194954637255E-2"/>
        </c:manualLayout>
      </c:layout>
      <c:overlay val="0"/>
      <c:spPr>
        <a:noFill/>
        <a:ln w="25400">
          <a:noFill/>
        </a:ln>
      </c:spPr>
    </c:title>
    <c:autoTitleDeleted val="0"/>
    <c:plotArea>
      <c:layout>
        <c:manualLayout>
          <c:layoutTarget val="inner"/>
          <c:xMode val="edge"/>
          <c:yMode val="edge"/>
          <c:x val="4.0991393231695553E-2"/>
          <c:y val="0.12234658922299915"/>
          <c:w val="0.92552470833663358"/>
          <c:h val="0.75172217084280502"/>
        </c:manualLayout>
      </c:layout>
      <c:lineChart>
        <c:grouping val="standard"/>
        <c:varyColors val="0"/>
        <c:ser>
          <c:idx val="0"/>
          <c:order val="0"/>
          <c:tx>
            <c:strRef>
              <c:f>'Race relations opinion'!$D$75</c:f>
              <c:strCache>
                <c:ptCount val="1"/>
                <c:pt idx="0">
                  <c:v>Race relations improving </c:v>
                </c:pt>
              </c:strCache>
            </c:strRef>
          </c:tx>
          <c:spPr>
            <a:ln w="25400">
              <a:solidFill>
                <a:srgbClr val="FF6600"/>
              </a:solidFill>
              <a:prstDash val="solid"/>
            </a:ln>
          </c:spPr>
          <c:marker>
            <c:symbol val="none"/>
          </c:marker>
          <c:cat>
            <c:multiLvlStrRef>
              <c:f>'Race relations opinion'!$E$73:$AJ$74</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opinion'!$E$75:$AJ$75</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DA3A-47C9-B54B-F6A3E9E7C4B7}"/>
            </c:ext>
          </c:extLst>
        </c:ser>
        <c:dLbls>
          <c:showLegendKey val="0"/>
          <c:showVal val="0"/>
          <c:showCatName val="0"/>
          <c:showSerName val="0"/>
          <c:showPercent val="0"/>
          <c:showBubbleSize val="0"/>
        </c:dLbls>
        <c:smooth val="0"/>
        <c:axId val="206596184"/>
        <c:axId val="206592264"/>
      </c:lineChart>
      <c:catAx>
        <c:axId val="206596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2264"/>
        <c:crosses val="autoZero"/>
        <c:auto val="1"/>
        <c:lblAlgn val="ctr"/>
        <c:lblOffset val="100"/>
        <c:tickLblSkip val="1"/>
        <c:tickMarkSkip val="1"/>
        <c:noMultiLvlLbl val="0"/>
      </c:catAx>
      <c:valAx>
        <c:axId val="206592264"/>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61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'Race relations opinion'!$D$9</c:f>
              <c:strCache>
                <c:ptCount val="1"/>
                <c:pt idx="0">
                  <c:v>Race relations improving</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'Race relations opinion'!$E$8:$X$8</c15:sqref>
                  </c15:fullRef>
                </c:ext>
              </c:extLst>
              <c:f>'Race relations opinion'!$I$8:$X$8</c:f>
              <c:strCach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2017/18</c:v>
                </c:pt>
                <c:pt idx="14">
                  <c:v>2018/19</c:v>
                </c:pt>
                <c:pt idx="15">
                  <c:v>2019/20</c:v>
                </c:pt>
              </c:strCache>
            </c:strRef>
          </c:cat>
          <c:val>
            <c:numRef>
              <c:extLst>
                <c:ext xmlns:c15="http://schemas.microsoft.com/office/drawing/2012/chart" uri="{02D57815-91ED-43cb-92C2-25804820EDAC}">
                  <c15:fullRef>
                    <c15:sqref>'Race relations opinion'!$E$9:$X$9</c15:sqref>
                  </c15:fullRef>
                </c:ext>
              </c:extLst>
              <c:f>'Race relations opinion'!$I$9:$X$9</c:f>
              <c:numCache>
                <c:formatCode>General</c:formatCode>
                <c:ptCount val="16"/>
                <c:pt idx="0">
                  <c:v>60</c:v>
                </c:pt>
                <c:pt idx="1">
                  <c:v>59</c:v>
                </c:pt>
                <c:pt idx="2">
                  <c:v>59</c:v>
                </c:pt>
                <c:pt idx="3">
                  <c:v>59</c:v>
                </c:pt>
                <c:pt idx="4">
                  <c:v>49</c:v>
                </c:pt>
                <c:pt idx="5">
                  <c:v>53</c:v>
                </c:pt>
                <c:pt idx="6">
                  <c:v>50</c:v>
                </c:pt>
                <c:pt idx="7">
                  <c:v>44</c:v>
                </c:pt>
                <c:pt idx="8">
                  <c:v>39</c:v>
                </c:pt>
                <c:pt idx="9">
                  <c:v>36</c:v>
                </c:pt>
                <c:pt idx="10">
                  <c:v>45</c:v>
                </c:pt>
                <c:pt idx="11">
                  <c:v>39</c:v>
                </c:pt>
                <c:pt idx="12">
                  <c:v>29</c:v>
                </c:pt>
                <c:pt idx="13">
                  <c:v>38</c:v>
                </c:pt>
                <c:pt idx="14">
                  <c:v>42</c:v>
                </c:pt>
                <c:pt idx="15">
                  <c:v>40</c:v>
                </c:pt>
              </c:numCache>
            </c:numRef>
          </c:val>
          <c:smooth val="0"/>
          <c:extLst>
            <c:ext xmlns:c16="http://schemas.microsoft.com/office/drawing/2014/chart" uri="{C3380CC4-5D6E-409C-BE32-E72D297353CC}">
              <c16:uniqueId val="{00000000-73AF-4589-9290-7DD856C93AAD}"/>
            </c:ext>
          </c:extLst>
        </c:ser>
        <c:dLbls>
          <c:showLegendKey val="0"/>
          <c:showVal val="0"/>
          <c:showCatName val="0"/>
          <c:showSerName val="0"/>
          <c:showPercent val="0"/>
          <c:showBubbleSize val="0"/>
        </c:dLbls>
        <c:smooth val="0"/>
        <c:axId val="206595008"/>
        <c:axId val="206595792"/>
      </c:lineChart>
      <c:catAx>
        <c:axId val="206595008"/>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5792"/>
        <c:crosses val="autoZero"/>
        <c:auto val="1"/>
        <c:lblAlgn val="ctr"/>
        <c:lblOffset val="100"/>
        <c:noMultiLvlLbl val="0"/>
      </c:catAx>
      <c:valAx>
        <c:axId val="206595792"/>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9.0896829940600429E-2"/>
          <c:y val="0.15191568343676667"/>
          <c:w val="0.88611576797112945"/>
          <c:h val="0.58435074120407837"/>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DFE6-43AE-9ED2-DB8C8EB04EB1}"/>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DFE6-43AE-9ED2-DB8C8EB04EB1}"/>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DFE6-43AE-9ED2-DB8C8EB04EB1}"/>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DFE6-43AE-9ED2-DB8C8EB04EB1}"/>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direction'!$E$13:$L$13</c:f>
              <c:numCache>
                <c:formatCode>#.0</c:formatCode>
                <c:ptCount val="8"/>
                <c:pt idx="0">
                  <c:v>40.799999999999997</c:v>
                </c:pt>
                <c:pt idx="1">
                  <c:v>42</c:v>
                </c:pt>
                <c:pt idx="2">
                  <c:v>44</c:v>
                </c:pt>
                <c:pt idx="3">
                  <c:v>40</c:v>
                </c:pt>
                <c:pt idx="4">
                  <c:v>28</c:v>
                </c:pt>
                <c:pt idx="5">
                  <c:v>31</c:v>
                </c:pt>
                <c:pt idx="6">
                  <c:v>20</c:v>
                </c:pt>
                <c:pt idx="7">
                  <c:v>26</c:v>
                </c:pt>
              </c:numCache>
            </c:numRef>
          </c:val>
          <c:smooth val="0"/>
          <c:extLst>
            <c:ext xmlns:c16="http://schemas.microsoft.com/office/drawing/2014/chart" uri="{C3380CC4-5D6E-409C-BE32-E72D297353CC}">
              <c16:uniqueId val="{00000004-DFE6-43AE-9ED2-DB8C8EB04EB1}"/>
            </c:ext>
          </c:extLst>
        </c:ser>
        <c:dLbls>
          <c:showLegendKey val="0"/>
          <c:showVal val="0"/>
          <c:showCatName val="0"/>
          <c:showSerName val="0"/>
          <c:showPercent val="0"/>
          <c:showBubbleSize val="0"/>
        </c:dLbls>
        <c:smooth val="0"/>
        <c:axId val="206594224"/>
        <c:axId val="206593440"/>
      </c:lineChart>
      <c:catAx>
        <c:axId val="20659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3440"/>
        <c:crosses val="autoZero"/>
        <c:auto val="1"/>
        <c:lblAlgn val="ctr"/>
        <c:lblOffset val="100"/>
        <c:tickLblSkip val="2"/>
        <c:tickMarkSkip val="1"/>
        <c:noMultiLvlLbl val="0"/>
      </c:catAx>
      <c:valAx>
        <c:axId val="206593440"/>
        <c:scaling>
          <c:orientation val="minMax"/>
          <c:min val="1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1.4707405134840704E-2"/>
              <c:y val="0.4398639422408647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422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C44A-4C75-8C29-D2668D6D986D}"/>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C44A-4C75-8C29-D2668D6D986D}"/>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C44A-4C75-8C29-D2668D6D986D}"/>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C44A-4C75-8C29-D2668D6D986D}"/>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28</c:v>
                </c:pt>
                <c:pt idx="5">
                  <c:v>31</c:v>
                </c:pt>
                <c:pt idx="6">
                  <c:v>20</c:v>
                </c:pt>
                <c:pt idx="7">
                  <c:v>26</c:v>
                </c:pt>
                <c:pt idx="8">
                  <c:v>27</c:v>
                </c:pt>
                <c:pt idx="9">
                  <c:v>27</c:v>
                </c:pt>
              </c:numCache>
            </c:numRef>
          </c:val>
          <c:smooth val="0"/>
          <c:extLst>
            <c:ext xmlns:c16="http://schemas.microsoft.com/office/drawing/2014/chart" uri="{C3380CC4-5D6E-409C-BE32-E72D297353CC}">
              <c16:uniqueId val="{00000004-C44A-4C75-8C29-D2668D6D986D}"/>
            </c:ext>
          </c:extLst>
        </c:ser>
        <c:dLbls>
          <c:showLegendKey val="0"/>
          <c:showVal val="0"/>
          <c:showCatName val="0"/>
          <c:showSerName val="0"/>
          <c:showPercent val="0"/>
          <c:showBubbleSize val="0"/>
        </c:dLbls>
        <c:smooth val="0"/>
        <c:axId val="206598144"/>
        <c:axId val="206591088"/>
      </c:lineChart>
      <c:catAx>
        <c:axId val="20659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1088"/>
        <c:crosses val="autoZero"/>
        <c:auto val="1"/>
        <c:lblAlgn val="ctr"/>
        <c:lblOffset val="100"/>
        <c:tickLblSkip val="2"/>
        <c:tickMarkSkip val="1"/>
        <c:noMultiLvlLbl val="0"/>
      </c:catAx>
      <c:valAx>
        <c:axId val="206591088"/>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20659814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description'!$D$9</c:f>
              <c:strCache>
                <c:ptCount val="1"/>
                <c:pt idx="0">
                  <c:v>As an African</c:v>
                </c:pt>
              </c:strCache>
            </c:strRef>
          </c:tx>
          <c:spPr>
            <a:solidFill>
              <a:srgbClr val="FCD5B5"/>
            </a:solidFill>
            <a:ln w="12700">
              <a:noFill/>
              <a:prstDash val="solid"/>
            </a:ln>
          </c:spPr>
          <c:invertIfNegative val="0"/>
          <c:cat>
            <c:strRef>
              <c:f>'Self description'!$E$8:$Q$8</c:f>
              <c:strCache>
                <c:ptCount val="13"/>
                <c:pt idx="0">
                  <c:v>2004</c:v>
                </c:pt>
                <c:pt idx="1">
                  <c:v>2007</c:v>
                </c:pt>
                <c:pt idx="2">
                  <c:v>2008</c:v>
                </c:pt>
                <c:pt idx="3">
                  <c:v>2009</c:v>
                </c:pt>
                <c:pt idx="4">
                  <c:v>2010</c:v>
                </c:pt>
                <c:pt idx="5">
                  <c:v>2011</c:v>
                </c:pt>
                <c:pt idx="6">
                  <c:v>2012</c:v>
                </c:pt>
                <c:pt idx="7">
                  <c:v>2014</c:v>
                </c:pt>
                <c:pt idx="8">
                  <c:v>2015</c:v>
                </c:pt>
                <c:pt idx="9">
                  <c:v>2016</c:v>
                </c:pt>
                <c:pt idx="10">
                  <c:v>2017/18</c:v>
                </c:pt>
                <c:pt idx="11">
                  <c:v>2018/19</c:v>
                </c:pt>
                <c:pt idx="12">
                  <c:v>2019/20</c:v>
                </c:pt>
              </c:strCache>
            </c:strRef>
          </c:cat>
          <c:val>
            <c:numRef>
              <c:f>'Self description'!$E$9:$Q$9</c:f>
              <c:numCache>
                <c:formatCode>General</c:formatCode>
                <c:ptCount val="13"/>
                <c:pt idx="0">
                  <c:v>18.399999999999999</c:v>
                </c:pt>
                <c:pt idx="1">
                  <c:v>25.8</c:v>
                </c:pt>
                <c:pt idx="2">
                  <c:v>32.6</c:v>
                </c:pt>
                <c:pt idx="3">
                  <c:v>30.2</c:v>
                </c:pt>
                <c:pt idx="5">
                  <c:v>30.8</c:v>
                </c:pt>
                <c:pt idx="6">
                  <c:v>29.1</c:v>
                </c:pt>
                <c:pt idx="7">
                  <c:v>30</c:v>
                </c:pt>
                <c:pt idx="8">
                  <c:v>29</c:v>
                </c:pt>
                <c:pt idx="9">
                  <c:v>27.8</c:v>
                </c:pt>
                <c:pt idx="10">
                  <c:v>26</c:v>
                </c:pt>
                <c:pt idx="11">
                  <c:v>29.5</c:v>
                </c:pt>
                <c:pt idx="12">
                  <c:v>29.4</c:v>
                </c:pt>
              </c:numCache>
            </c:numRef>
          </c:val>
          <c:extLst>
            <c:ext xmlns:c16="http://schemas.microsoft.com/office/drawing/2014/chart" uri="{C3380CC4-5D6E-409C-BE32-E72D297353CC}">
              <c16:uniqueId val="{00000000-2D35-4CB9-8586-5E8DA293E822}"/>
            </c:ext>
          </c:extLst>
        </c:ser>
        <c:ser>
          <c:idx val="1"/>
          <c:order val="1"/>
          <c:tx>
            <c:strRef>
              <c:f>'Self description'!$D$10</c:f>
              <c:strCache>
                <c:ptCount val="1"/>
                <c:pt idx="0">
                  <c:v>As South African</c:v>
                </c:pt>
              </c:strCache>
            </c:strRef>
          </c:tx>
          <c:spPr>
            <a:solidFill>
              <a:srgbClr val="F8A662"/>
            </a:solidFill>
            <a:ln w="12700">
              <a:noFill/>
              <a:prstDash val="solid"/>
            </a:ln>
          </c:spPr>
          <c:invertIfNegative val="0"/>
          <c:cat>
            <c:strRef>
              <c:f>'Self description'!$E$8:$Q$8</c:f>
              <c:strCache>
                <c:ptCount val="13"/>
                <c:pt idx="0">
                  <c:v>2004</c:v>
                </c:pt>
                <c:pt idx="1">
                  <c:v>2007</c:v>
                </c:pt>
                <c:pt idx="2">
                  <c:v>2008</c:v>
                </c:pt>
                <c:pt idx="3">
                  <c:v>2009</c:v>
                </c:pt>
                <c:pt idx="4">
                  <c:v>2010</c:v>
                </c:pt>
                <c:pt idx="5">
                  <c:v>2011</c:v>
                </c:pt>
                <c:pt idx="6">
                  <c:v>2012</c:v>
                </c:pt>
                <c:pt idx="7">
                  <c:v>2014</c:v>
                </c:pt>
                <c:pt idx="8">
                  <c:v>2015</c:v>
                </c:pt>
                <c:pt idx="9">
                  <c:v>2016</c:v>
                </c:pt>
                <c:pt idx="10">
                  <c:v>2017/18</c:v>
                </c:pt>
                <c:pt idx="11">
                  <c:v>2018/19</c:v>
                </c:pt>
                <c:pt idx="12">
                  <c:v>2019/20</c:v>
                </c:pt>
              </c:strCache>
            </c:strRef>
          </c:cat>
          <c:val>
            <c:numRef>
              <c:f>'Self description'!$E$10:$Q$10</c:f>
              <c:numCache>
                <c:formatCode>General</c:formatCode>
                <c:ptCount val="13"/>
                <c:pt idx="0">
                  <c:v>52.8</c:v>
                </c:pt>
                <c:pt idx="1">
                  <c:v>52.6</c:v>
                </c:pt>
                <c:pt idx="2">
                  <c:v>45.7</c:v>
                </c:pt>
                <c:pt idx="3">
                  <c:v>54.1</c:v>
                </c:pt>
                <c:pt idx="5">
                  <c:v>50.8</c:v>
                </c:pt>
                <c:pt idx="6">
                  <c:v>52.4</c:v>
                </c:pt>
                <c:pt idx="7">
                  <c:v>57</c:v>
                </c:pt>
                <c:pt idx="8">
                  <c:v>52</c:v>
                </c:pt>
                <c:pt idx="9">
                  <c:v>48</c:v>
                </c:pt>
                <c:pt idx="10">
                  <c:v>50</c:v>
                </c:pt>
                <c:pt idx="11">
                  <c:v>48.9</c:v>
                </c:pt>
                <c:pt idx="12">
                  <c:v>49.5</c:v>
                </c:pt>
              </c:numCache>
            </c:numRef>
          </c:val>
          <c:extLst>
            <c:ext xmlns:c16="http://schemas.microsoft.com/office/drawing/2014/chart" uri="{C3380CC4-5D6E-409C-BE32-E72D297353CC}">
              <c16:uniqueId val="{00000001-2D35-4CB9-8586-5E8DA293E822}"/>
            </c:ext>
          </c:extLst>
        </c:ser>
        <c:ser>
          <c:idx val="2"/>
          <c:order val="2"/>
          <c:tx>
            <c:strRef>
              <c:f>'Self description'!$D$11</c:f>
              <c:strCache>
                <c:ptCount val="1"/>
                <c:pt idx="0">
                  <c:v>By race group</c:v>
                </c:pt>
              </c:strCache>
            </c:strRef>
          </c:tx>
          <c:spPr>
            <a:solidFill>
              <a:srgbClr val="E46C0A"/>
            </a:solidFill>
            <a:ln w="12700">
              <a:noFill/>
              <a:prstDash val="solid"/>
            </a:ln>
          </c:spPr>
          <c:invertIfNegative val="0"/>
          <c:cat>
            <c:strRef>
              <c:f>'Self description'!$E$8:$Q$8</c:f>
              <c:strCache>
                <c:ptCount val="13"/>
                <c:pt idx="0">
                  <c:v>2004</c:v>
                </c:pt>
                <c:pt idx="1">
                  <c:v>2007</c:v>
                </c:pt>
                <c:pt idx="2">
                  <c:v>2008</c:v>
                </c:pt>
                <c:pt idx="3">
                  <c:v>2009</c:v>
                </c:pt>
                <c:pt idx="4">
                  <c:v>2010</c:v>
                </c:pt>
                <c:pt idx="5">
                  <c:v>2011</c:v>
                </c:pt>
                <c:pt idx="6">
                  <c:v>2012</c:v>
                </c:pt>
                <c:pt idx="7">
                  <c:v>2014</c:v>
                </c:pt>
                <c:pt idx="8">
                  <c:v>2015</c:v>
                </c:pt>
                <c:pt idx="9">
                  <c:v>2016</c:v>
                </c:pt>
                <c:pt idx="10">
                  <c:v>2017/18</c:v>
                </c:pt>
                <c:pt idx="11">
                  <c:v>2018/19</c:v>
                </c:pt>
                <c:pt idx="12">
                  <c:v>2019/20</c:v>
                </c:pt>
              </c:strCache>
            </c:strRef>
          </c:cat>
          <c:val>
            <c:numRef>
              <c:f>'Self description'!$E$11:$Q$11</c:f>
              <c:numCache>
                <c:formatCode>General</c:formatCode>
                <c:ptCount val="13"/>
                <c:pt idx="0">
                  <c:v>4.0999999999999996</c:v>
                </c:pt>
                <c:pt idx="1">
                  <c:v>9.9</c:v>
                </c:pt>
                <c:pt idx="2">
                  <c:v>11.3</c:v>
                </c:pt>
                <c:pt idx="3">
                  <c:v>7.1</c:v>
                </c:pt>
                <c:pt idx="5">
                  <c:v>9.1</c:v>
                </c:pt>
                <c:pt idx="6">
                  <c:v>8.8000000000000007</c:v>
                </c:pt>
                <c:pt idx="7">
                  <c:v>6</c:v>
                </c:pt>
                <c:pt idx="8">
                  <c:v>9</c:v>
                </c:pt>
                <c:pt idx="9">
                  <c:v>8.8000000000000007</c:v>
                </c:pt>
                <c:pt idx="10">
                  <c:v>10.3</c:v>
                </c:pt>
                <c:pt idx="11">
                  <c:v>8</c:v>
                </c:pt>
                <c:pt idx="12">
                  <c:v>8.6</c:v>
                </c:pt>
              </c:numCache>
            </c:numRef>
          </c:val>
          <c:extLst>
            <c:ext xmlns:c16="http://schemas.microsoft.com/office/drawing/2014/chart" uri="{C3380CC4-5D6E-409C-BE32-E72D297353CC}">
              <c16:uniqueId val="{00000002-2D35-4CB9-8586-5E8DA293E822}"/>
            </c:ext>
          </c:extLst>
        </c:ser>
        <c:ser>
          <c:idx val="3"/>
          <c:order val="3"/>
          <c:tx>
            <c:strRef>
              <c:f>'Self description'!$D$12</c:f>
              <c:strCache>
                <c:ptCount val="1"/>
                <c:pt idx="0">
                  <c:v>By language group</c:v>
                </c:pt>
              </c:strCache>
            </c:strRef>
          </c:tx>
          <c:spPr>
            <a:solidFill>
              <a:srgbClr val="984807"/>
            </a:solidFill>
            <a:ln w="12700">
              <a:noFill/>
              <a:prstDash val="solid"/>
            </a:ln>
          </c:spPr>
          <c:invertIfNegative val="0"/>
          <c:cat>
            <c:strRef>
              <c:f>'Self description'!$E$8:$Q$8</c:f>
              <c:strCache>
                <c:ptCount val="13"/>
                <c:pt idx="0">
                  <c:v>2004</c:v>
                </c:pt>
                <c:pt idx="1">
                  <c:v>2007</c:v>
                </c:pt>
                <c:pt idx="2">
                  <c:v>2008</c:v>
                </c:pt>
                <c:pt idx="3">
                  <c:v>2009</c:v>
                </c:pt>
                <c:pt idx="4">
                  <c:v>2010</c:v>
                </c:pt>
                <c:pt idx="5">
                  <c:v>2011</c:v>
                </c:pt>
                <c:pt idx="6">
                  <c:v>2012</c:v>
                </c:pt>
                <c:pt idx="7">
                  <c:v>2014</c:v>
                </c:pt>
                <c:pt idx="8">
                  <c:v>2015</c:v>
                </c:pt>
                <c:pt idx="9">
                  <c:v>2016</c:v>
                </c:pt>
                <c:pt idx="10">
                  <c:v>2017/18</c:v>
                </c:pt>
                <c:pt idx="11">
                  <c:v>2018/19</c:v>
                </c:pt>
                <c:pt idx="12">
                  <c:v>2019/20</c:v>
                </c:pt>
              </c:strCache>
            </c:strRef>
          </c:cat>
          <c:val>
            <c:numRef>
              <c:f>'Self description'!$E$12:$Q$12</c:f>
              <c:numCache>
                <c:formatCode>General</c:formatCode>
                <c:ptCount val="13"/>
                <c:pt idx="0">
                  <c:v>13.6</c:v>
                </c:pt>
                <c:pt idx="1">
                  <c:v>2.6</c:v>
                </c:pt>
                <c:pt idx="2">
                  <c:v>3.1</c:v>
                </c:pt>
                <c:pt idx="3">
                  <c:v>1.9</c:v>
                </c:pt>
                <c:pt idx="5">
                  <c:v>3.7</c:v>
                </c:pt>
                <c:pt idx="6">
                  <c:v>4.0999999999999996</c:v>
                </c:pt>
                <c:pt idx="7">
                  <c:v>2</c:v>
                </c:pt>
                <c:pt idx="8">
                  <c:v>3</c:v>
                </c:pt>
                <c:pt idx="9">
                  <c:v>4.8</c:v>
                </c:pt>
                <c:pt idx="10">
                  <c:v>4.0999999999999996</c:v>
                </c:pt>
                <c:pt idx="11">
                  <c:v>4</c:v>
                </c:pt>
                <c:pt idx="12">
                  <c:v>4.0999999999999996</c:v>
                </c:pt>
              </c:numCache>
            </c:numRef>
          </c:val>
          <c:extLst>
            <c:ext xmlns:c16="http://schemas.microsoft.com/office/drawing/2014/chart" uri="{C3380CC4-5D6E-409C-BE32-E72D297353CC}">
              <c16:uniqueId val="{00000003-2D35-4CB9-8586-5E8DA293E822}"/>
            </c:ext>
          </c:extLst>
        </c:ser>
        <c:ser>
          <c:idx val="4"/>
          <c:order val="4"/>
          <c:tx>
            <c:strRef>
              <c:f>'Self description'!$D$13</c:f>
              <c:strCache>
                <c:ptCount val="1"/>
                <c:pt idx="0">
                  <c:v>Rest of self descriptors</c:v>
                </c:pt>
              </c:strCache>
            </c:strRef>
          </c:tx>
          <c:spPr>
            <a:solidFill>
              <a:srgbClr val="C83C14"/>
            </a:solidFill>
            <a:ln w="12700">
              <a:noFill/>
              <a:prstDash val="solid"/>
            </a:ln>
          </c:spPr>
          <c:invertIfNegative val="0"/>
          <c:cat>
            <c:strRef>
              <c:f>'Self description'!$E$8:$Q$8</c:f>
              <c:strCache>
                <c:ptCount val="13"/>
                <c:pt idx="0">
                  <c:v>2004</c:v>
                </c:pt>
                <c:pt idx="1">
                  <c:v>2007</c:v>
                </c:pt>
                <c:pt idx="2">
                  <c:v>2008</c:v>
                </c:pt>
                <c:pt idx="3">
                  <c:v>2009</c:v>
                </c:pt>
                <c:pt idx="4">
                  <c:v>2010</c:v>
                </c:pt>
                <c:pt idx="5">
                  <c:v>2011</c:v>
                </c:pt>
                <c:pt idx="6">
                  <c:v>2012</c:v>
                </c:pt>
                <c:pt idx="7">
                  <c:v>2014</c:v>
                </c:pt>
                <c:pt idx="8">
                  <c:v>2015</c:v>
                </c:pt>
                <c:pt idx="9">
                  <c:v>2016</c:v>
                </c:pt>
                <c:pt idx="10">
                  <c:v>2017/18</c:v>
                </c:pt>
                <c:pt idx="11">
                  <c:v>2018/19</c:v>
                </c:pt>
                <c:pt idx="12">
                  <c:v>2019/20</c:v>
                </c:pt>
              </c:strCache>
            </c:strRef>
          </c:cat>
          <c:val>
            <c:numRef>
              <c:f>'Self description'!$E$13:$Q$13</c:f>
              <c:numCache>
                <c:formatCode>General</c:formatCode>
                <c:ptCount val="13"/>
                <c:pt idx="0">
                  <c:v>11.1</c:v>
                </c:pt>
                <c:pt idx="1">
                  <c:v>9.0999999999999943</c:v>
                </c:pt>
                <c:pt idx="2">
                  <c:v>7.3</c:v>
                </c:pt>
                <c:pt idx="3">
                  <c:v>6.7</c:v>
                </c:pt>
                <c:pt idx="5">
                  <c:v>5.6</c:v>
                </c:pt>
                <c:pt idx="6">
                  <c:v>5.6</c:v>
                </c:pt>
                <c:pt idx="7">
                  <c:v>6.9</c:v>
                </c:pt>
                <c:pt idx="8">
                  <c:v>7</c:v>
                </c:pt>
                <c:pt idx="9">
                  <c:v>4.9000000000000004</c:v>
                </c:pt>
                <c:pt idx="10">
                  <c:v>9.1999999999999993</c:v>
                </c:pt>
                <c:pt idx="11">
                  <c:v>4</c:v>
                </c:pt>
                <c:pt idx="12">
                  <c:v>8.3000000000000007</c:v>
                </c:pt>
              </c:numCache>
            </c:numRef>
          </c:val>
          <c:extLst>
            <c:ext xmlns:c16="http://schemas.microsoft.com/office/drawing/2014/chart" uri="{C3380CC4-5D6E-409C-BE32-E72D297353CC}">
              <c16:uniqueId val="{00000004-2D35-4CB9-8586-5E8DA293E822}"/>
            </c:ext>
          </c:extLst>
        </c:ser>
        <c:dLbls>
          <c:showLegendKey val="0"/>
          <c:showVal val="0"/>
          <c:showCatName val="0"/>
          <c:showSerName val="0"/>
          <c:showPercent val="0"/>
          <c:showBubbleSize val="0"/>
        </c:dLbls>
        <c:gapWidth val="150"/>
        <c:overlap val="100"/>
        <c:axId val="206594616"/>
        <c:axId val="221215088"/>
      </c:barChart>
      <c:catAx>
        <c:axId val="206594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5088"/>
        <c:crosses val="autoZero"/>
        <c:auto val="1"/>
        <c:lblAlgn val="ctr"/>
        <c:lblOffset val="100"/>
        <c:tickLblSkip val="1"/>
        <c:tickMarkSkip val="1"/>
        <c:noMultiLvlLbl val="0"/>
      </c:catAx>
      <c:valAx>
        <c:axId val="221215088"/>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4616"/>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8.4253314489534964E-2"/>
          <c:w val="0.89670932358319377"/>
          <c:h val="0.77887879399690418"/>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extLst>
                <c:ext xmlns:c15="http://schemas.microsoft.com/office/drawing/2012/chart" uri="{02D57815-91ED-43cb-92C2-25804820EDAC}">
                  <c15:fullRef>
                    <c15:sqref>'Pride in being SA'!$E$54:$U$54</c15:sqref>
                  </c15:fullRef>
                </c:ext>
              </c:extLst>
              <c:f>'Pride in being SA'!$I$54:$U$54</c:f>
              <c:strCache>
                <c:ptCount val="13"/>
                <c:pt idx="0">
                  <c:v>2007</c:v>
                </c:pt>
                <c:pt idx="1">
                  <c:v>2008</c:v>
                </c:pt>
                <c:pt idx="2">
                  <c:v>2009</c:v>
                </c:pt>
                <c:pt idx="3">
                  <c:v>2010/11</c:v>
                </c:pt>
                <c:pt idx="4">
                  <c:v>2011/12</c:v>
                </c:pt>
                <c:pt idx="5">
                  <c:v>2012/13</c:v>
                </c:pt>
                <c:pt idx="6">
                  <c:v>2013/14</c:v>
                </c:pt>
                <c:pt idx="7">
                  <c:v>2014/15</c:v>
                </c:pt>
                <c:pt idx="8">
                  <c:v>2015/16</c:v>
                </c:pt>
                <c:pt idx="9">
                  <c:v>2016/17</c:v>
                </c:pt>
                <c:pt idx="10">
                  <c:v>2017/18</c:v>
                </c:pt>
                <c:pt idx="11">
                  <c:v>2018/19</c:v>
                </c:pt>
                <c:pt idx="12">
                  <c:v>2019/20</c:v>
                </c:pt>
              </c:strCache>
            </c:strRef>
          </c:cat>
          <c:val>
            <c:numRef>
              <c:extLst>
                <c:ext xmlns:c15="http://schemas.microsoft.com/office/drawing/2012/chart" uri="{02D57815-91ED-43cb-92C2-25804820EDAC}">
                  <c15:fullRef>
                    <c15:sqref>'Pride in being SA'!$E$55:$U$55</c15:sqref>
                  </c15:fullRef>
                </c:ext>
              </c:extLst>
              <c:f>'Pride in being SA'!$I$55:$U$55</c:f>
              <c:numCache>
                <c:formatCode>General</c:formatCode>
                <c:ptCount val="13"/>
                <c:pt idx="0">
                  <c:v>78</c:v>
                </c:pt>
                <c:pt idx="1">
                  <c:v>65</c:v>
                </c:pt>
                <c:pt idx="2">
                  <c:v>75</c:v>
                </c:pt>
                <c:pt idx="3">
                  <c:v>90</c:v>
                </c:pt>
                <c:pt idx="4" formatCode="0">
                  <c:v>88.25</c:v>
                </c:pt>
                <c:pt idx="5">
                  <c:v>87</c:v>
                </c:pt>
                <c:pt idx="6" formatCode="0">
                  <c:v>88</c:v>
                </c:pt>
                <c:pt idx="7" formatCode="0">
                  <c:v>89</c:v>
                </c:pt>
                <c:pt idx="8" formatCode="0">
                  <c:v>85</c:v>
                </c:pt>
                <c:pt idx="9">
                  <c:v>88</c:v>
                </c:pt>
                <c:pt idx="10">
                  <c:v>81</c:v>
                </c:pt>
                <c:pt idx="11">
                  <c:v>83</c:v>
                </c:pt>
                <c:pt idx="12">
                  <c:v>81</c:v>
                </c:pt>
              </c:numCache>
            </c:numRef>
          </c:val>
          <c:smooth val="0"/>
          <c:extLst>
            <c:ext xmlns:c16="http://schemas.microsoft.com/office/drawing/2014/chart" uri="{C3380CC4-5D6E-409C-BE32-E72D297353CC}">
              <c16:uniqueId val="{00000000-0811-4106-A62A-5B8C5FBF1AAF}"/>
            </c:ext>
          </c:extLst>
        </c:ser>
        <c:dLbls>
          <c:showLegendKey val="0"/>
          <c:showVal val="0"/>
          <c:showCatName val="0"/>
          <c:showSerName val="0"/>
          <c:showPercent val="0"/>
          <c:showBubbleSize val="0"/>
        </c:dLbls>
        <c:marker val="1"/>
        <c:smooth val="0"/>
        <c:axId val="221211952"/>
        <c:axId val="221213520"/>
      </c:lineChart>
      <c:catAx>
        <c:axId val="22121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3520"/>
        <c:crosses val="autoZero"/>
        <c:auto val="0"/>
        <c:lblAlgn val="ctr"/>
        <c:lblOffset val="100"/>
        <c:tickLblSkip val="1"/>
        <c:tickMarkSkip val="1"/>
        <c:noMultiLvlLbl val="0"/>
      </c:catAx>
      <c:valAx>
        <c:axId val="221213520"/>
        <c:scaling>
          <c:orientation val="minMax"/>
          <c:max val="100"/>
          <c:min val="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1952"/>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SA'!$E$54:$S$54</c:f>
              <c:strCache>
                <c:ptCount val="15"/>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strCache>
            </c:strRef>
          </c:cat>
          <c:val>
            <c:numRef>
              <c:f>'Pride in being SA'!$E$55:$S$55</c:f>
              <c:numCache>
                <c:formatCode>General</c:formatCode>
                <c:ptCount val="15"/>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numCache>
            </c:numRef>
          </c:val>
          <c:smooth val="0"/>
          <c:extLst>
            <c:ext xmlns:c16="http://schemas.microsoft.com/office/drawing/2014/chart" uri="{C3380CC4-5D6E-409C-BE32-E72D297353CC}">
              <c16:uniqueId val="{00000000-09A6-4FF9-B69B-F82A686D29A4}"/>
            </c:ext>
          </c:extLst>
        </c:ser>
        <c:dLbls>
          <c:showLegendKey val="0"/>
          <c:showVal val="0"/>
          <c:showCatName val="0"/>
          <c:showSerName val="0"/>
          <c:showPercent val="0"/>
          <c:showBubbleSize val="0"/>
        </c:dLbls>
        <c:smooth val="0"/>
        <c:axId val="221215872"/>
        <c:axId val="221209600"/>
      </c:lineChart>
      <c:catAx>
        <c:axId val="221215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21209600"/>
        <c:crosses val="autoZero"/>
        <c:auto val="0"/>
        <c:lblAlgn val="ctr"/>
        <c:lblOffset val="100"/>
        <c:tickLblSkip val="1"/>
        <c:tickMarkSkip val="1"/>
        <c:noMultiLvlLbl val="0"/>
      </c:catAx>
      <c:valAx>
        <c:axId val="221209600"/>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21215872"/>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 balance  '!$D$8</c:f>
              <c:strCache>
                <c:ptCount val="1"/>
                <c:pt idx="0">
                  <c:v>Budget Deficit</c:v>
                </c:pt>
              </c:strCache>
            </c:strRef>
          </c:tx>
          <c:spPr>
            <a:ln w="15875">
              <a:solidFill>
                <a:srgbClr val="FF6600"/>
              </a:solidFill>
              <a:prstDash val="solid"/>
            </a:ln>
          </c:spPr>
          <c:marker>
            <c:symbol val="none"/>
          </c:marker>
          <c:cat>
            <c:strRef>
              <c:f>'B balance  '!$E$7:$AB$7</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strCache>
            </c:strRef>
          </c:cat>
          <c:val>
            <c:numRef>
              <c:f>'B balance  '!$E$8:$AB$8</c:f>
              <c:numCache>
                <c:formatCode>General</c:formatCode>
                <c:ptCount val="24"/>
                <c:pt idx="0">
                  <c:v>-5.4</c:v>
                </c:pt>
                <c:pt idx="1">
                  <c:v>-4.5</c:v>
                </c:pt>
                <c:pt idx="2">
                  <c:v>-5</c:v>
                </c:pt>
                <c:pt idx="3">
                  <c:v>-4.8</c:v>
                </c:pt>
                <c:pt idx="4">
                  <c:v>-3.6</c:v>
                </c:pt>
                <c:pt idx="5">
                  <c:v>-2.7</c:v>
                </c:pt>
                <c:pt idx="6">
                  <c:v>-2.1</c:v>
                </c:pt>
                <c:pt idx="7">
                  <c:v>-1.9</c:v>
                </c:pt>
                <c:pt idx="8">
                  <c:v>-1.2</c:v>
                </c:pt>
                <c:pt idx="9">
                  <c:v>-1.1000000000000001</c:v>
                </c:pt>
                <c:pt idx="10">
                  <c:v>-2.7</c:v>
                </c:pt>
                <c:pt idx="11">
                  <c:v>-1.9</c:v>
                </c:pt>
                <c:pt idx="12">
                  <c:v>-0.2</c:v>
                </c:pt>
                <c:pt idx="13">
                  <c:v>0.6</c:v>
                </c:pt>
                <c:pt idx="14" formatCode="0.0">
                  <c:v>1</c:v>
                </c:pt>
                <c:pt idx="15" formatCode="0.0">
                  <c:v>-1</c:v>
                </c:pt>
                <c:pt idx="16">
                  <c:v>-6.3</c:v>
                </c:pt>
                <c:pt idx="17">
                  <c:v>-4.7</c:v>
                </c:pt>
                <c:pt idx="18">
                  <c:v>-4.7</c:v>
                </c:pt>
                <c:pt idx="19" formatCode="0.0">
                  <c:v>-5</c:v>
                </c:pt>
                <c:pt idx="20" formatCode="#\ ##0.0">
                  <c:v>-4.4000000000000004</c:v>
                </c:pt>
                <c:pt idx="21" formatCode="#\ ##0.0">
                  <c:v>-4.3</c:v>
                </c:pt>
                <c:pt idx="22" formatCode="#\ ##0.0">
                  <c:v>-4.0999999999999996</c:v>
                </c:pt>
                <c:pt idx="23" formatCode="#\ ##0.0">
                  <c:v>-3.8</c:v>
                </c:pt>
              </c:numCache>
            </c:numRef>
          </c:val>
          <c:smooth val="0"/>
          <c:extLst>
            <c:ext xmlns:c16="http://schemas.microsoft.com/office/drawing/2014/chart" uri="{C3380CC4-5D6E-409C-BE32-E72D297353CC}">
              <c16:uniqueId val="{00000000-2821-4944-9214-4CEC3F9F1A67}"/>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32752006795"/>
          <c:y val="6.965174129353234E-2"/>
          <c:w val="0.83348719341116839"/>
          <c:h val="0.80643788929368898"/>
        </c:manualLayout>
      </c:layout>
      <c:lineChart>
        <c:grouping val="standard"/>
        <c:varyColors val="0"/>
        <c:ser>
          <c:idx val="0"/>
          <c:order val="0"/>
          <c:tx>
            <c:strRef>
              <c:f>'Crime Victims '!$D$8</c:f>
              <c:strCache>
                <c:ptCount val="1"/>
                <c:pt idx="0">
                  <c:v>Safe during the day</c:v>
                </c:pt>
              </c:strCache>
            </c:strRef>
          </c:tx>
          <c:spPr>
            <a:ln w="25400">
              <a:solidFill>
                <a:srgbClr val="BE4B48"/>
              </a:solidFill>
            </a:ln>
          </c:spPr>
          <c:marker>
            <c:symbol val="none"/>
          </c:marker>
          <c:cat>
            <c:strRef>
              <c:f>'Crime Victims '!$E$7:$M$7</c:f>
              <c:strCache>
                <c:ptCount val="9"/>
                <c:pt idx="0">
                  <c:v>2007</c:v>
                </c:pt>
                <c:pt idx="1">
                  <c:v>2011</c:v>
                </c:pt>
                <c:pt idx="2">
                  <c:v>2012</c:v>
                </c:pt>
                <c:pt idx="3">
                  <c:v>2013/14</c:v>
                </c:pt>
                <c:pt idx="4">
                  <c:v>2014/15</c:v>
                </c:pt>
                <c:pt idx="5">
                  <c:v>2015/16</c:v>
                </c:pt>
                <c:pt idx="6">
                  <c:v>2016/17</c:v>
                </c:pt>
                <c:pt idx="7">
                  <c:v>2017/18</c:v>
                </c:pt>
                <c:pt idx="8">
                  <c:v>2018/19</c:v>
                </c:pt>
              </c:strCache>
            </c:strRef>
          </c:cat>
          <c:val>
            <c:numRef>
              <c:f>'Crime Victims '!$E$8:$M$8</c:f>
              <c:numCache>
                <c:formatCode>0.0</c:formatCode>
                <c:ptCount val="9"/>
                <c:pt idx="0">
                  <c:v>76</c:v>
                </c:pt>
                <c:pt idx="1">
                  <c:v>88.4</c:v>
                </c:pt>
                <c:pt idx="2">
                  <c:v>85.1</c:v>
                </c:pt>
                <c:pt idx="3">
                  <c:v>86.8</c:v>
                </c:pt>
                <c:pt idx="4">
                  <c:v>85.4</c:v>
                </c:pt>
                <c:pt idx="5">
                  <c:v>83.7</c:v>
                </c:pt>
                <c:pt idx="6" formatCode="General">
                  <c:v>84.8</c:v>
                </c:pt>
                <c:pt idx="7">
                  <c:v>79.099999999999994</c:v>
                </c:pt>
                <c:pt idx="8">
                  <c:v>82.6</c:v>
                </c:pt>
              </c:numCache>
            </c:numRef>
          </c:val>
          <c:smooth val="0"/>
          <c:extLst>
            <c:ext xmlns:c16="http://schemas.microsoft.com/office/drawing/2014/chart" uri="{C3380CC4-5D6E-409C-BE32-E72D297353CC}">
              <c16:uniqueId val="{00000000-51CA-41F8-A2D0-005B62FE48A8}"/>
            </c:ext>
          </c:extLst>
        </c:ser>
        <c:ser>
          <c:idx val="1"/>
          <c:order val="1"/>
          <c:tx>
            <c:strRef>
              <c:f>'Crime Victims '!$D$9</c:f>
              <c:strCache>
                <c:ptCount val="1"/>
                <c:pt idx="0">
                  <c:v>Safe at night</c:v>
                </c:pt>
              </c:strCache>
            </c:strRef>
          </c:tx>
          <c:spPr>
            <a:ln w="25400">
              <a:solidFill>
                <a:srgbClr val="FF6600"/>
              </a:solidFill>
            </a:ln>
          </c:spPr>
          <c:marker>
            <c:symbol val="none"/>
          </c:marker>
          <c:cat>
            <c:strRef>
              <c:f>'Crime Victims '!$E$7:$M$7</c:f>
              <c:strCache>
                <c:ptCount val="9"/>
                <c:pt idx="0">
                  <c:v>2007</c:v>
                </c:pt>
                <c:pt idx="1">
                  <c:v>2011</c:v>
                </c:pt>
                <c:pt idx="2">
                  <c:v>2012</c:v>
                </c:pt>
                <c:pt idx="3">
                  <c:v>2013/14</c:v>
                </c:pt>
                <c:pt idx="4">
                  <c:v>2014/15</c:v>
                </c:pt>
                <c:pt idx="5">
                  <c:v>2015/16</c:v>
                </c:pt>
                <c:pt idx="6">
                  <c:v>2016/17</c:v>
                </c:pt>
                <c:pt idx="7">
                  <c:v>2017/18</c:v>
                </c:pt>
                <c:pt idx="8">
                  <c:v>2018/19</c:v>
                </c:pt>
              </c:strCache>
            </c:strRef>
          </c:cat>
          <c:val>
            <c:numRef>
              <c:f>'Crime Victims '!$E$9:$M$9</c:f>
              <c:numCache>
                <c:formatCode>0.0</c:formatCode>
                <c:ptCount val="9"/>
                <c:pt idx="0">
                  <c:v>23</c:v>
                </c:pt>
                <c:pt idx="1">
                  <c:v>37.6</c:v>
                </c:pt>
                <c:pt idx="2">
                  <c:v>36.5</c:v>
                </c:pt>
                <c:pt idx="3">
                  <c:v>35</c:v>
                </c:pt>
                <c:pt idx="4">
                  <c:v>31.2</c:v>
                </c:pt>
                <c:pt idx="5">
                  <c:v>30.7</c:v>
                </c:pt>
                <c:pt idx="6">
                  <c:v>29.4</c:v>
                </c:pt>
                <c:pt idx="7" formatCode="0.00">
                  <c:v>32</c:v>
                </c:pt>
                <c:pt idx="8" formatCode="0.00">
                  <c:v>35.1</c:v>
                </c:pt>
              </c:numCache>
            </c:numRef>
          </c:val>
          <c:smooth val="0"/>
          <c:extLst>
            <c:ext xmlns:c16="http://schemas.microsoft.com/office/drawing/2014/chart" uri="{C3380CC4-5D6E-409C-BE32-E72D297353CC}">
              <c16:uniqueId val="{00000001-51CA-41F8-A2D0-005B62FE48A8}"/>
            </c:ext>
          </c:extLst>
        </c:ser>
        <c:dLbls>
          <c:showLegendKey val="0"/>
          <c:showVal val="0"/>
          <c:showCatName val="0"/>
          <c:showSerName val="0"/>
          <c:showPercent val="0"/>
          <c:showBubbleSize val="0"/>
        </c:dLbls>
        <c:smooth val="0"/>
        <c:axId val="341008368"/>
        <c:axId val="341015088"/>
      </c:lineChart>
      <c:catAx>
        <c:axId val="341008368"/>
        <c:scaling>
          <c:orientation val="minMax"/>
        </c:scaling>
        <c:delete val="0"/>
        <c:axPos val="b"/>
        <c:numFmt formatCode="General" sourceLinked="0"/>
        <c:majorTickMark val="out"/>
        <c:minorTickMark val="none"/>
        <c:tickLblPos val="nextTo"/>
        <c:crossAx val="341015088"/>
        <c:crosses val="autoZero"/>
        <c:auto val="1"/>
        <c:lblAlgn val="ctr"/>
        <c:lblOffset val="100"/>
        <c:noMultiLvlLbl val="0"/>
      </c:catAx>
      <c:valAx>
        <c:axId val="341015088"/>
        <c:scaling>
          <c:orientation val="minMax"/>
        </c:scaling>
        <c:delete val="0"/>
        <c:axPos val="l"/>
        <c:majorGridlines>
          <c:spPr>
            <a:ln>
              <a:prstDash val="sysDash"/>
            </a:ln>
          </c:spPr>
        </c:majorGridlines>
        <c:numFmt formatCode="0.0" sourceLinked="1"/>
        <c:majorTickMark val="out"/>
        <c:minorTickMark val="none"/>
        <c:tickLblPos val="nextTo"/>
        <c:crossAx val="341008368"/>
        <c:crosses val="autoZero"/>
        <c:crossBetween val="between"/>
      </c:valAx>
    </c:plotArea>
    <c:legend>
      <c:legendPos val="b"/>
      <c:layout>
        <c:manualLayout>
          <c:xMode val="edge"/>
          <c:yMode val="edge"/>
          <c:x val="0.21614208038318816"/>
          <c:y val="0.33698515297528109"/>
          <c:w val="0.70034183392858373"/>
          <c:h val="0.12570141418889802"/>
        </c:manualLayout>
      </c:layout>
      <c:overlay val="0"/>
    </c:legend>
    <c:plotVisOnly val="1"/>
    <c:dispBlanksAs val="gap"/>
    <c:showDLblsOverMax val="0"/>
  </c:chart>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28113535526724E-2"/>
          <c:y val="4.418913307478356E-2"/>
          <c:w val="0.94081192477581954"/>
          <c:h val="0.82653378775413766"/>
        </c:manualLayout>
      </c:layout>
      <c:lineChart>
        <c:grouping val="standard"/>
        <c:varyColors val="0"/>
        <c:ser>
          <c:idx val="0"/>
          <c:order val="0"/>
          <c:tx>
            <c:strRef>
              <c:f>'Crime rate  '!$D$52</c:f>
              <c:strCache>
                <c:ptCount val="1"/>
                <c:pt idx="0">
                  <c:v>Property Crimes</c:v>
                </c:pt>
              </c:strCache>
            </c:strRef>
          </c:tx>
          <c:spPr>
            <a:ln w="12700"/>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'!$E$52:$AD$52</c:f>
              <c:numCache>
                <c:formatCode>0.00</c:formatCode>
                <c:ptCount val="26"/>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60.677283760582569</c:v>
                </c:pt>
                <c:pt idx="21">
                  <c:v>58.55189153987331</c:v>
                </c:pt>
                <c:pt idx="22">
                  <c:v>57.249772206681151</c:v>
                </c:pt>
                <c:pt idx="23">
                  <c:v>52.990211290655587</c:v>
                </c:pt>
                <c:pt idx="24">
                  <c:v>50.807426069238424</c:v>
                </c:pt>
                <c:pt idx="25">
                  <c:v>47.221917893712032</c:v>
                </c:pt>
              </c:numCache>
            </c:numRef>
          </c:val>
          <c:smooth val="0"/>
          <c:extLst>
            <c:ext xmlns:c16="http://schemas.microsoft.com/office/drawing/2014/chart" uri="{C3380CC4-5D6E-409C-BE32-E72D297353CC}">
              <c16:uniqueId val="{00000000-22BC-47A5-95E2-D1A5D142F9EF}"/>
            </c:ext>
          </c:extLst>
        </c:ser>
        <c:ser>
          <c:idx val="1"/>
          <c:order val="1"/>
          <c:tx>
            <c:strRef>
              <c:f>'Crime rate  '!$D$53</c:f>
              <c:strCache>
                <c:ptCount val="1"/>
                <c:pt idx="0">
                  <c:v>Contact Crimes</c:v>
                </c:pt>
              </c:strCache>
            </c:strRef>
          </c:tx>
          <c:spPr>
            <a:ln w="12700"/>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'!$E$53:$AD$53</c:f>
              <c:numCache>
                <c:formatCode>0.00</c:formatCode>
                <c:ptCount val="26"/>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70.273096321810797</c:v>
                </c:pt>
                <c:pt idx="21">
                  <c:v>69.750276786812648</c:v>
                </c:pt>
                <c:pt idx="22">
                  <c:v>66.920900479763816</c:v>
                </c:pt>
                <c:pt idx="23">
                  <c:v>65.174907767951922</c:v>
                </c:pt>
                <c:pt idx="24">
                  <c:v>65.796373780275346</c:v>
                </c:pt>
                <c:pt idx="25">
                  <c:v>63.925293276351795</c:v>
                </c:pt>
              </c:numCache>
            </c:numRef>
          </c:val>
          <c:smooth val="0"/>
          <c:extLst>
            <c:ext xmlns:c16="http://schemas.microsoft.com/office/drawing/2014/chart" uri="{C3380CC4-5D6E-409C-BE32-E72D297353CC}">
              <c16:uniqueId val="{00000001-22BC-47A5-95E2-D1A5D142F9EF}"/>
            </c:ext>
          </c:extLst>
        </c:ser>
        <c:ser>
          <c:idx val="2"/>
          <c:order val="2"/>
          <c:tx>
            <c:strRef>
              <c:f>'Crime rate  '!$D$54</c:f>
              <c:strCache>
                <c:ptCount val="1"/>
                <c:pt idx="0">
                  <c:v>Theft and commercial crime</c:v>
                </c:pt>
              </c:strCache>
            </c:strRef>
          </c:tx>
          <c:spPr>
            <a:ln w="12700"/>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'!$E$54:$AD$54</c:f>
              <c:numCache>
                <c:formatCode>0.00</c:formatCode>
                <c:ptCount val="26"/>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69.629016479795311</c:v>
                </c:pt>
                <c:pt idx="21">
                  <c:v>65.595605387914816</c:v>
                </c:pt>
                <c:pt idx="22">
                  <c:v>63.160644090626548</c:v>
                </c:pt>
                <c:pt idx="23">
                  <c:v>58.090151987491865</c:v>
                </c:pt>
                <c:pt idx="24">
                  <c:v>57.964727978491723</c:v>
                </c:pt>
                <c:pt idx="25">
                  <c:v>56.205574849234871</c:v>
                </c:pt>
              </c:numCache>
            </c:numRef>
          </c:val>
          <c:smooth val="0"/>
          <c:extLst>
            <c:ext xmlns:c16="http://schemas.microsoft.com/office/drawing/2014/chart" uri="{C3380CC4-5D6E-409C-BE32-E72D297353CC}">
              <c16:uniqueId val="{00000002-22BC-47A5-95E2-D1A5D142F9EF}"/>
            </c:ext>
          </c:extLst>
        </c:ser>
        <c:ser>
          <c:idx val="3"/>
          <c:order val="3"/>
          <c:tx>
            <c:strRef>
              <c:f>'Crime rate  '!$D$55</c:f>
              <c:strCache>
                <c:ptCount val="1"/>
                <c:pt idx="0">
                  <c:v>Damage to property and arson</c:v>
                </c:pt>
              </c:strCache>
            </c:strRef>
          </c:tx>
          <c:spPr>
            <a:ln w="12700"/>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'!$E$55:$AD$55</c:f>
              <c:numCache>
                <c:formatCode>0.00</c:formatCode>
                <c:ptCount val="26"/>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67.312138728323703</c:v>
                </c:pt>
                <c:pt idx="21">
                  <c:v>65.635838150289018</c:v>
                </c:pt>
                <c:pt idx="22">
                  <c:v>62.409342843525359</c:v>
                </c:pt>
                <c:pt idx="23">
                  <c:v>58.747797252077895</c:v>
                </c:pt>
                <c:pt idx="24">
                  <c:v>58.692670277545346</c:v>
                </c:pt>
                <c:pt idx="25">
                  <c:v>54.342977657486536</c:v>
                </c:pt>
              </c:numCache>
            </c:numRef>
          </c:val>
          <c:smooth val="0"/>
          <c:extLst>
            <c:ext xmlns:c16="http://schemas.microsoft.com/office/drawing/2014/chart" uri="{C3380CC4-5D6E-409C-BE32-E72D297353CC}">
              <c16:uniqueId val="{00000003-22BC-47A5-95E2-D1A5D142F9EF}"/>
            </c:ext>
          </c:extLst>
        </c:ser>
        <c:ser>
          <c:idx val="4"/>
          <c:order val="4"/>
          <c:tx>
            <c:strRef>
              <c:f>'Crime rate  '!$D$56</c:f>
              <c:strCache>
                <c:ptCount val="1"/>
                <c:pt idx="0">
                  <c:v>Total crimes </c:v>
                </c:pt>
              </c:strCache>
            </c:strRef>
          </c:tx>
          <c:spPr>
            <a:ln w="12700"/>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'!$E$56:$AD$56</c:f>
              <c:numCache>
                <c:formatCode>0.00</c:formatCode>
                <c:ptCount val="26"/>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65.273157240771184</c:v>
                </c:pt>
                <c:pt idx="21">
                  <c:v>64.567718145015846</c:v>
                </c:pt>
                <c:pt idx="22">
                  <c:v>62.332839550723186</c:v>
                </c:pt>
                <c:pt idx="23">
                  <c:v>58.717758580620369</c:v>
                </c:pt>
                <c:pt idx="24">
                  <c:v>58.144125775015162</c:v>
                </c:pt>
                <c:pt idx="25">
                  <c:v>55.588492254463183</c:v>
                </c:pt>
              </c:numCache>
            </c:numRef>
          </c:val>
          <c:smooth val="0"/>
          <c:extLst>
            <c:ext xmlns:c16="http://schemas.microsoft.com/office/drawing/2014/chart" uri="{C3380CC4-5D6E-409C-BE32-E72D297353CC}">
              <c16:uniqueId val="{00000004-22BC-47A5-95E2-D1A5D142F9EF}"/>
            </c:ext>
          </c:extLst>
        </c:ser>
        <c:dLbls>
          <c:showLegendKey val="0"/>
          <c:showVal val="0"/>
          <c:showCatName val="0"/>
          <c:showSerName val="0"/>
          <c:showPercent val="0"/>
          <c:showBubbleSize val="0"/>
        </c:dLbls>
        <c:smooth val="0"/>
        <c:axId val="566569776"/>
        <c:axId val="566570336"/>
      </c:lineChart>
      <c:catAx>
        <c:axId val="566569776"/>
        <c:scaling>
          <c:orientation val="minMax"/>
        </c:scaling>
        <c:delete val="0"/>
        <c:axPos val="b"/>
        <c:numFmt formatCode="General" sourceLinked="1"/>
        <c:majorTickMark val="out"/>
        <c:minorTickMark val="none"/>
        <c:tickLblPos val="nextTo"/>
        <c:txPr>
          <a:bodyPr rot="0" vert="horz"/>
          <a:lstStyle/>
          <a:p>
            <a:pPr>
              <a:defRPr/>
            </a:pPr>
            <a:endParaRPr lang="en-US"/>
          </a:p>
        </c:txPr>
        <c:crossAx val="566570336"/>
        <c:crosses val="autoZero"/>
        <c:auto val="1"/>
        <c:lblAlgn val="ctr"/>
        <c:lblOffset val="100"/>
        <c:noMultiLvlLbl val="0"/>
      </c:catAx>
      <c:valAx>
        <c:axId val="566570336"/>
        <c:scaling>
          <c:orientation val="minMax"/>
        </c:scaling>
        <c:delete val="0"/>
        <c:axPos val="l"/>
        <c:majorGridlines>
          <c:spPr>
            <a:ln>
              <a:prstDash val="sysDash"/>
            </a:ln>
          </c:spPr>
        </c:majorGridlines>
        <c:numFmt formatCode="#\,###\,###" sourceLinked="0"/>
        <c:majorTickMark val="out"/>
        <c:minorTickMark val="none"/>
        <c:tickLblPos val="nextTo"/>
        <c:txPr>
          <a:bodyPr rot="0" vert="horz"/>
          <a:lstStyle/>
          <a:p>
            <a:pPr>
              <a:defRPr/>
            </a:pPr>
            <a:endParaRPr lang="en-US"/>
          </a:p>
        </c:txPr>
        <c:crossAx val="566569776"/>
        <c:crosses val="autoZero"/>
        <c:crossBetween val="midCat"/>
        <c:majorUnit val="25"/>
      </c:valAx>
      <c:spPr>
        <a:solidFill>
          <a:srgbClr val="FFFFFF"/>
        </a:solidFill>
        <a:ln>
          <a:noFill/>
          <a:prstDash val="sysDash"/>
        </a:ln>
      </c:spPr>
    </c:plotArea>
    <c:legend>
      <c:legendPos val="r"/>
      <c:layout>
        <c:manualLayout>
          <c:xMode val="edge"/>
          <c:yMode val="edge"/>
          <c:x val="6.2330655867600497E-2"/>
          <c:y val="8.086587526812955E-2"/>
          <c:w val="0.89700762345040996"/>
          <c:h val="8.9491653010378786E-2"/>
        </c:manualLayout>
      </c:layout>
      <c:overlay val="0"/>
      <c:txPr>
        <a:bodyPr/>
        <a:lstStyle/>
        <a:p>
          <a:pPr>
            <a:defRPr sz="900"/>
          </a:pPr>
          <a:endParaRPr lang="en-US"/>
        </a:p>
      </c:txPr>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27305868411879E-2"/>
          <c:y val="7.3013285217733773E-2"/>
          <c:w val="0.94777269413158816"/>
          <c:h val="0.57923811606882469"/>
        </c:manualLayout>
      </c:layout>
      <c:lineChart>
        <c:grouping val="standard"/>
        <c:varyColors val="0"/>
        <c:ser>
          <c:idx val="0"/>
          <c:order val="0"/>
          <c:tx>
            <c:strRef>
              <c:f>'Crime rate  '!$D$52</c:f>
              <c:strCache>
                <c:ptCount val="1"/>
                <c:pt idx="0">
                  <c:v>Property Crimes</c:v>
                </c:pt>
              </c:strCache>
            </c:strRef>
          </c:tx>
          <c:spPr>
            <a:ln w="28575" cap="rnd">
              <a:solidFill>
                <a:schemeClr val="accent1"/>
              </a:solidFill>
              <a:round/>
            </a:ln>
            <a:effectLst/>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'!$E$52:$AD$52</c:f>
              <c:numCache>
                <c:formatCode>0.00</c:formatCode>
                <c:ptCount val="26"/>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60.677283760582569</c:v>
                </c:pt>
                <c:pt idx="21">
                  <c:v>58.55189153987331</c:v>
                </c:pt>
                <c:pt idx="22">
                  <c:v>57.249772206681151</c:v>
                </c:pt>
                <c:pt idx="23">
                  <c:v>52.990211290655587</c:v>
                </c:pt>
                <c:pt idx="24">
                  <c:v>50.807426069238424</c:v>
                </c:pt>
                <c:pt idx="25">
                  <c:v>47.221917893712032</c:v>
                </c:pt>
              </c:numCache>
            </c:numRef>
          </c:val>
          <c:smooth val="0"/>
          <c:extLst>
            <c:ext xmlns:c16="http://schemas.microsoft.com/office/drawing/2014/chart" uri="{C3380CC4-5D6E-409C-BE32-E72D297353CC}">
              <c16:uniqueId val="{00000000-8AA6-41E8-8B8F-F1F09C20AF43}"/>
            </c:ext>
          </c:extLst>
        </c:ser>
        <c:ser>
          <c:idx val="1"/>
          <c:order val="1"/>
          <c:tx>
            <c:strRef>
              <c:f>'Crime rate  '!$D$53</c:f>
              <c:strCache>
                <c:ptCount val="1"/>
                <c:pt idx="0">
                  <c:v>Contact Crimes</c:v>
                </c:pt>
              </c:strCache>
            </c:strRef>
          </c:tx>
          <c:spPr>
            <a:ln w="28575" cap="rnd">
              <a:solidFill>
                <a:schemeClr val="accent2"/>
              </a:solidFill>
              <a:round/>
            </a:ln>
            <a:effectLst/>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'!$E$53:$AD$53</c:f>
              <c:numCache>
                <c:formatCode>0.00</c:formatCode>
                <c:ptCount val="26"/>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70.273096321810797</c:v>
                </c:pt>
                <c:pt idx="21">
                  <c:v>69.750276786812648</c:v>
                </c:pt>
                <c:pt idx="22">
                  <c:v>66.920900479763816</c:v>
                </c:pt>
                <c:pt idx="23">
                  <c:v>65.174907767951922</c:v>
                </c:pt>
                <c:pt idx="24">
                  <c:v>65.796373780275346</c:v>
                </c:pt>
                <c:pt idx="25">
                  <c:v>63.925293276351795</c:v>
                </c:pt>
              </c:numCache>
            </c:numRef>
          </c:val>
          <c:smooth val="0"/>
          <c:extLst>
            <c:ext xmlns:c16="http://schemas.microsoft.com/office/drawing/2014/chart" uri="{C3380CC4-5D6E-409C-BE32-E72D297353CC}">
              <c16:uniqueId val="{00000001-8AA6-41E8-8B8F-F1F09C20AF43}"/>
            </c:ext>
          </c:extLst>
        </c:ser>
        <c:ser>
          <c:idx val="2"/>
          <c:order val="2"/>
          <c:tx>
            <c:strRef>
              <c:f>'Crime rate  '!$D$54</c:f>
              <c:strCache>
                <c:ptCount val="1"/>
                <c:pt idx="0">
                  <c:v>Theft and commercial crime</c:v>
                </c:pt>
              </c:strCache>
            </c:strRef>
          </c:tx>
          <c:spPr>
            <a:ln w="28575" cap="rnd">
              <a:solidFill>
                <a:schemeClr val="accent3"/>
              </a:solidFill>
              <a:round/>
            </a:ln>
            <a:effectLst/>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'!$E$54:$AD$54</c:f>
              <c:numCache>
                <c:formatCode>0.00</c:formatCode>
                <c:ptCount val="26"/>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69.629016479795311</c:v>
                </c:pt>
                <c:pt idx="21">
                  <c:v>65.595605387914816</c:v>
                </c:pt>
                <c:pt idx="22">
                  <c:v>63.160644090626548</c:v>
                </c:pt>
                <c:pt idx="23">
                  <c:v>58.090151987491865</c:v>
                </c:pt>
                <c:pt idx="24">
                  <c:v>57.964727978491723</c:v>
                </c:pt>
                <c:pt idx="25">
                  <c:v>56.205574849234871</c:v>
                </c:pt>
              </c:numCache>
            </c:numRef>
          </c:val>
          <c:smooth val="0"/>
          <c:extLst>
            <c:ext xmlns:c16="http://schemas.microsoft.com/office/drawing/2014/chart" uri="{C3380CC4-5D6E-409C-BE32-E72D297353CC}">
              <c16:uniqueId val="{00000002-8AA6-41E8-8B8F-F1F09C20AF43}"/>
            </c:ext>
          </c:extLst>
        </c:ser>
        <c:ser>
          <c:idx val="3"/>
          <c:order val="3"/>
          <c:tx>
            <c:strRef>
              <c:f>'Crime rate  '!$D$55</c:f>
              <c:strCache>
                <c:ptCount val="1"/>
                <c:pt idx="0">
                  <c:v>Damage to property and arson</c:v>
                </c:pt>
              </c:strCache>
            </c:strRef>
          </c:tx>
          <c:spPr>
            <a:ln w="28575" cap="rnd">
              <a:solidFill>
                <a:schemeClr val="accent4"/>
              </a:solidFill>
              <a:round/>
            </a:ln>
            <a:effectLst/>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'!$E$55:$AD$55</c:f>
              <c:numCache>
                <c:formatCode>0.00</c:formatCode>
                <c:ptCount val="26"/>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67.312138728323703</c:v>
                </c:pt>
                <c:pt idx="21">
                  <c:v>65.635838150289018</c:v>
                </c:pt>
                <c:pt idx="22">
                  <c:v>62.409342843525359</c:v>
                </c:pt>
                <c:pt idx="23">
                  <c:v>58.747797252077895</c:v>
                </c:pt>
                <c:pt idx="24">
                  <c:v>58.692670277545346</c:v>
                </c:pt>
                <c:pt idx="25">
                  <c:v>54.342977657486536</c:v>
                </c:pt>
              </c:numCache>
            </c:numRef>
          </c:val>
          <c:smooth val="0"/>
          <c:extLst>
            <c:ext xmlns:c16="http://schemas.microsoft.com/office/drawing/2014/chart" uri="{C3380CC4-5D6E-409C-BE32-E72D297353CC}">
              <c16:uniqueId val="{00000003-8AA6-41E8-8B8F-F1F09C20AF43}"/>
            </c:ext>
          </c:extLst>
        </c:ser>
        <c:ser>
          <c:idx val="4"/>
          <c:order val="4"/>
          <c:tx>
            <c:strRef>
              <c:f>'Crime rate  '!$D$56</c:f>
              <c:strCache>
                <c:ptCount val="1"/>
                <c:pt idx="0">
                  <c:v>Total crimes </c:v>
                </c:pt>
              </c:strCache>
            </c:strRef>
          </c:tx>
          <c:spPr>
            <a:ln w="28575" cap="rnd">
              <a:solidFill>
                <a:schemeClr val="accent5"/>
              </a:solidFill>
              <a:round/>
            </a:ln>
            <a:effectLst/>
          </c:spPr>
          <c:marker>
            <c:symbol val="none"/>
          </c:marker>
          <c:cat>
            <c:strRef>
              <c:f>'Crime rate  '!$E$51:$AD$51</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2018/20</c:v>
                </c:pt>
              </c:strCache>
            </c:strRef>
          </c:cat>
          <c:val>
            <c:numRef>
              <c:f>'Crime rate  '!$E$56:$AD$56</c:f>
              <c:numCache>
                <c:formatCode>0.00</c:formatCode>
                <c:ptCount val="26"/>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65.273157240771184</c:v>
                </c:pt>
                <c:pt idx="21">
                  <c:v>64.567718145015846</c:v>
                </c:pt>
                <c:pt idx="22">
                  <c:v>62.332839550723186</c:v>
                </c:pt>
                <c:pt idx="23">
                  <c:v>58.717758580620369</c:v>
                </c:pt>
                <c:pt idx="24">
                  <c:v>58.144125775015162</c:v>
                </c:pt>
                <c:pt idx="25">
                  <c:v>55.588492254463183</c:v>
                </c:pt>
              </c:numCache>
            </c:numRef>
          </c:val>
          <c:smooth val="0"/>
          <c:extLst>
            <c:ext xmlns:c16="http://schemas.microsoft.com/office/drawing/2014/chart" uri="{C3380CC4-5D6E-409C-BE32-E72D297353CC}">
              <c16:uniqueId val="{00000004-8AA6-41E8-8B8F-F1F09C20AF43}"/>
            </c:ext>
          </c:extLst>
        </c:ser>
        <c:dLbls>
          <c:showLegendKey val="0"/>
          <c:showVal val="0"/>
          <c:showCatName val="0"/>
          <c:showSerName val="0"/>
          <c:showPercent val="0"/>
          <c:showBubbleSize val="0"/>
        </c:dLbls>
        <c:smooth val="0"/>
        <c:axId val="489047376"/>
        <c:axId val="576913024"/>
      </c:lineChart>
      <c:catAx>
        <c:axId val="489047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76913024"/>
        <c:crosses val="autoZero"/>
        <c:auto val="1"/>
        <c:lblAlgn val="ctr"/>
        <c:lblOffset val="100"/>
        <c:noMultiLvlLbl val="0"/>
      </c:catAx>
      <c:valAx>
        <c:axId val="576913024"/>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89047376"/>
        <c:crosses val="autoZero"/>
        <c:crossBetween val="between"/>
        <c:majorUnit val="25"/>
        <c:minorUnit val="5"/>
      </c:valAx>
      <c:spPr>
        <a:noFill/>
        <a:ln>
          <a:noFill/>
        </a:ln>
        <a:effectLst/>
      </c:spPr>
    </c:plotArea>
    <c:legend>
      <c:legendPos val="b"/>
      <c:layout>
        <c:manualLayout>
          <c:xMode val="edge"/>
          <c:yMode val="edge"/>
          <c:x val="0.12207063340378521"/>
          <c:y val="0.91112634176541885"/>
          <c:w val="0.76468875603489905"/>
          <c:h val="7.55846216897306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70314732367408E-2"/>
          <c:y val="3.4521842807796167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25400">
              <a:solidFill>
                <a:srgbClr val="FF660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crime'!$E$50:$AD$50</c:f>
              <c:numCache>
                <c:formatCode>0.0</c:formatCode>
                <c:ptCount val="26"/>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67.40935032743451</c:v>
                </c:pt>
                <c:pt idx="24">
                  <c:v>60.867678369867583</c:v>
                </c:pt>
                <c:pt idx="25">
                  <c:v>58.22133606195802</c:v>
                </c:pt>
              </c:numCache>
            </c:numRef>
          </c:val>
          <c:smooth val="0"/>
          <c:extLst>
            <c:ext xmlns:c16="http://schemas.microsoft.com/office/drawing/2014/chart" uri="{C3380CC4-5D6E-409C-BE32-E72D297353CC}">
              <c16:uniqueId val="{00000000-E57A-406D-84B4-3114CC85BA90}"/>
            </c:ext>
          </c:extLst>
        </c:ser>
        <c:ser>
          <c:idx val="1"/>
          <c:order val="1"/>
          <c:tx>
            <c:strRef>
              <c:f>'Property crime'!$D$51</c:f>
              <c:strCache>
                <c:ptCount val="1"/>
                <c:pt idx="0">
                  <c:v>Non-residential burglary</c:v>
                </c:pt>
              </c:strCache>
            </c:strRef>
          </c:tx>
          <c:spPr>
            <a:ln w="25400">
              <a:solidFill>
                <a:srgbClr val="BE4B48"/>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crime'!$E$51:$AD$51</c:f>
              <c:numCache>
                <c:formatCode>0.0</c:formatCode>
                <c:ptCount val="26"/>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55.568741125486078</c:v>
                </c:pt>
                <c:pt idx="24">
                  <c:v>55.913824558101965</c:v>
                </c:pt>
                <c:pt idx="25">
                  <c:v>55.322866041106465</c:v>
                </c:pt>
              </c:numCache>
            </c:numRef>
          </c:val>
          <c:smooth val="0"/>
          <c:extLst>
            <c:ext xmlns:c16="http://schemas.microsoft.com/office/drawing/2014/chart" uri="{C3380CC4-5D6E-409C-BE32-E72D297353CC}">
              <c16:uniqueId val="{00000001-E57A-406D-84B4-3114CC85BA90}"/>
            </c:ext>
          </c:extLst>
        </c:ser>
        <c:ser>
          <c:idx val="2"/>
          <c:order val="2"/>
          <c:tx>
            <c:strRef>
              <c:f>'Property crime'!$D$52</c:f>
              <c:strCache>
                <c:ptCount val="1"/>
                <c:pt idx="0">
                  <c:v>Theft of motot vehicle</c:v>
                </c:pt>
              </c:strCache>
            </c:strRef>
          </c:tx>
          <c:spPr>
            <a:ln w="25400">
              <a:solidFill>
                <a:srgbClr val="FFC60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crime'!$E$52:$AD$52</c:f>
              <c:numCache>
                <c:formatCode>0.0</c:formatCode>
                <c:ptCount val="26"/>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32.7201635998426</c:v>
                </c:pt>
                <c:pt idx="24">
                  <c:v>33.594804458872233</c:v>
                </c:pt>
                <c:pt idx="25">
                  <c:v>33.341478290733448</c:v>
                </c:pt>
              </c:numCache>
            </c:numRef>
          </c:val>
          <c:smooth val="0"/>
          <c:extLst>
            <c:ext xmlns:c16="http://schemas.microsoft.com/office/drawing/2014/chart" uri="{C3380CC4-5D6E-409C-BE32-E72D297353CC}">
              <c16:uniqueId val="{00000002-E57A-406D-84B4-3114CC85BA90}"/>
            </c:ext>
          </c:extLst>
        </c:ser>
        <c:ser>
          <c:idx val="3"/>
          <c:order val="3"/>
          <c:tx>
            <c:strRef>
              <c:f>'Property crime'!$D$53</c:f>
              <c:strCache>
                <c:ptCount val="1"/>
                <c:pt idx="0">
                  <c:v>Theft out of or from motor vehicle</c:v>
                </c:pt>
              </c:strCache>
            </c:strRef>
          </c:tx>
          <c:spPr>
            <a:ln w="25400">
              <a:solidFill>
                <a:srgbClr val="00B05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crime'!$E$53:$AD$53</c:f>
              <c:numCache>
                <c:formatCode>0.0</c:formatCode>
                <c:ptCount val="26"/>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48.165835541303949</c:v>
                </c:pt>
                <c:pt idx="24">
                  <c:v>44.72399948869127</c:v>
                </c:pt>
                <c:pt idx="25">
                  <c:v>46.806668037310679</c:v>
                </c:pt>
              </c:numCache>
            </c:numRef>
          </c:val>
          <c:smooth val="0"/>
          <c:extLst>
            <c:ext xmlns:c16="http://schemas.microsoft.com/office/drawing/2014/chart" uri="{C3380CC4-5D6E-409C-BE32-E72D297353CC}">
              <c16:uniqueId val="{00000003-E57A-406D-84B4-3114CC85BA90}"/>
            </c:ext>
          </c:extLst>
        </c:ser>
        <c:ser>
          <c:idx val="4"/>
          <c:order val="4"/>
          <c:tx>
            <c:strRef>
              <c:f>'Property crime'!$D$54</c:f>
              <c:strCache>
                <c:ptCount val="1"/>
                <c:pt idx="0">
                  <c:v>Stock theft</c:v>
                </c:pt>
              </c:strCache>
            </c:strRef>
          </c:tx>
          <c:spPr>
            <a:ln w="25400">
              <a:solidFill>
                <a:srgbClr val="3D96AE"/>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crime'!$E$54:$AD$54</c:f>
              <c:numCache>
                <c:formatCode>0.0</c:formatCode>
                <c:ptCount val="26"/>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41.713263756182819</c:v>
                </c:pt>
                <c:pt idx="24">
                  <c:v>46.865899790666496</c:v>
                </c:pt>
                <c:pt idx="25">
                  <c:v>46.805855747426648</c:v>
                </c:pt>
              </c:numCache>
            </c:numRef>
          </c:val>
          <c:smooth val="0"/>
          <c:extLst>
            <c:ext xmlns:c16="http://schemas.microsoft.com/office/drawing/2014/chart" uri="{C3380CC4-5D6E-409C-BE32-E72D297353CC}">
              <c16:uniqueId val="{00000004-E57A-406D-84B4-3114CC85BA90}"/>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vert="horz"/>
          <a:lstStyle/>
          <a:p>
            <a:pPr>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268361488"/>
        <c:crosses val="autoZero"/>
        <c:crossBetween val="midCat"/>
      </c:valAx>
      <c:spPr>
        <a:ln>
          <a:noFill/>
        </a:ln>
      </c:spPr>
    </c:plotArea>
    <c:legend>
      <c:legendPos val="b"/>
      <c:overlay val="0"/>
      <c:txPr>
        <a:bodyPr/>
        <a:lstStyle/>
        <a:p>
          <a:pPr>
            <a:defRPr sz="1000"/>
          </a:pPr>
          <a:endParaRPr lang="en-US"/>
        </a:p>
      </c:txPr>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50540708290853E-2"/>
          <c:y val="1.9097952755905513E-2"/>
          <c:w val="0.88293443876349331"/>
          <c:h val="0.85382912190782223"/>
        </c:manualLayout>
      </c:layout>
      <c:lineChart>
        <c:grouping val="standard"/>
        <c:varyColors val="0"/>
        <c:ser>
          <c:idx val="0"/>
          <c:order val="0"/>
          <c:tx>
            <c:strRef>
              <c:f>'Property crime'!$D$50</c:f>
              <c:strCache>
                <c:ptCount val="1"/>
                <c:pt idx="0">
                  <c:v>Residential burglary </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crime'!$E$50:$AD$50</c:f>
              <c:numCache>
                <c:formatCode>0.0</c:formatCode>
                <c:ptCount val="26"/>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67.40935032743451</c:v>
                </c:pt>
                <c:pt idx="24">
                  <c:v>60.867678369867583</c:v>
                </c:pt>
                <c:pt idx="25">
                  <c:v>58.22133606195802</c:v>
                </c:pt>
              </c:numCache>
            </c:numRef>
          </c:val>
          <c:smooth val="0"/>
          <c:extLst>
            <c:ext xmlns:c16="http://schemas.microsoft.com/office/drawing/2014/chart" uri="{C3380CC4-5D6E-409C-BE32-E72D297353CC}">
              <c16:uniqueId val="{00000000-31A0-46C6-A9C9-553E49212714}"/>
            </c:ext>
          </c:extLst>
        </c:ser>
        <c:ser>
          <c:idx val="1"/>
          <c:order val="1"/>
          <c:tx>
            <c:strRef>
              <c:f>'Property crime'!$D$51</c:f>
              <c:strCache>
                <c:ptCount val="1"/>
                <c:pt idx="0">
                  <c:v>Non-residential burglary</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crime'!$E$51:$AD$51</c:f>
              <c:numCache>
                <c:formatCode>0.0</c:formatCode>
                <c:ptCount val="26"/>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55.568741125486078</c:v>
                </c:pt>
                <c:pt idx="24">
                  <c:v>55.913824558101965</c:v>
                </c:pt>
                <c:pt idx="25">
                  <c:v>55.322866041106465</c:v>
                </c:pt>
              </c:numCache>
            </c:numRef>
          </c:val>
          <c:smooth val="0"/>
          <c:extLst>
            <c:ext xmlns:c16="http://schemas.microsoft.com/office/drawing/2014/chart" uri="{C3380CC4-5D6E-409C-BE32-E72D297353CC}">
              <c16:uniqueId val="{00000001-31A0-46C6-A9C9-553E49212714}"/>
            </c:ext>
          </c:extLst>
        </c:ser>
        <c:ser>
          <c:idx val="2"/>
          <c:order val="2"/>
          <c:tx>
            <c:strRef>
              <c:f>'Property crime'!$D$52</c:f>
              <c:strCache>
                <c:ptCount val="1"/>
                <c:pt idx="0">
                  <c:v>Theft of motot vehicle</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crime'!$E$52:$AD$52</c:f>
              <c:numCache>
                <c:formatCode>0.0</c:formatCode>
                <c:ptCount val="26"/>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32.7201635998426</c:v>
                </c:pt>
                <c:pt idx="24">
                  <c:v>33.594804458872233</c:v>
                </c:pt>
                <c:pt idx="25">
                  <c:v>33.341478290733448</c:v>
                </c:pt>
              </c:numCache>
            </c:numRef>
          </c:val>
          <c:smooth val="0"/>
          <c:extLst>
            <c:ext xmlns:c16="http://schemas.microsoft.com/office/drawing/2014/chart" uri="{C3380CC4-5D6E-409C-BE32-E72D297353CC}">
              <c16:uniqueId val="{00000002-31A0-46C6-A9C9-553E49212714}"/>
            </c:ext>
          </c:extLst>
        </c:ser>
        <c:ser>
          <c:idx val="3"/>
          <c:order val="3"/>
          <c:tx>
            <c:strRef>
              <c:f>'Property crime'!$D$53</c:f>
              <c:strCache>
                <c:ptCount val="1"/>
                <c:pt idx="0">
                  <c:v>Theft out of or from motor vehicle</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crime'!$E$53:$AD$53</c:f>
              <c:numCache>
                <c:formatCode>0.0</c:formatCode>
                <c:ptCount val="26"/>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48.165835541303949</c:v>
                </c:pt>
                <c:pt idx="24">
                  <c:v>44.72399948869127</c:v>
                </c:pt>
                <c:pt idx="25">
                  <c:v>46.806668037310679</c:v>
                </c:pt>
              </c:numCache>
            </c:numRef>
          </c:val>
          <c:smooth val="0"/>
          <c:extLst>
            <c:ext xmlns:c16="http://schemas.microsoft.com/office/drawing/2014/chart" uri="{C3380CC4-5D6E-409C-BE32-E72D297353CC}">
              <c16:uniqueId val="{00000003-31A0-46C6-A9C9-553E49212714}"/>
            </c:ext>
          </c:extLst>
        </c:ser>
        <c:ser>
          <c:idx val="4"/>
          <c:order val="4"/>
          <c:tx>
            <c:strRef>
              <c:f>'Property crime'!$D$54</c:f>
              <c:strCache>
                <c:ptCount val="1"/>
                <c:pt idx="0">
                  <c:v>Stock theft</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crime'!$E$54:$AD$54</c:f>
              <c:numCache>
                <c:formatCode>0.0</c:formatCode>
                <c:ptCount val="26"/>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41.713263756182819</c:v>
                </c:pt>
                <c:pt idx="24">
                  <c:v>46.865899790666496</c:v>
                </c:pt>
                <c:pt idx="25">
                  <c:v>46.805855747426648</c:v>
                </c:pt>
              </c:numCache>
            </c:numRef>
          </c:val>
          <c:smooth val="0"/>
          <c:extLst>
            <c:ext xmlns:c16="http://schemas.microsoft.com/office/drawing/2014/chart" uri="{C3380CC4-5D6E-409C-BE32-E72D297353CC}">
              <c16:uniqueId val="{00000004-31A0-46C6-A9C9-553E49212714}"/>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66876592"/>
        <c:crosses val="autoZero"/>
        <c:auto val="1"/>
        <c:lblAlgn val="ctr"/>
        <c:lblOffset val="100"/>
        <c:noMultiLvlLbl val="0"/>
      </c:catAx>
      <c:valAx>
        <c:axId val="266876592"/>
        <c:scaling>
          <c:orientation val="minMax"/>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40205568"/>
        <c:crosses val="autoZero"/>
        <c:crossBetween val="midCat"/>
      </c:valAx>
      <c:spPr>
        <a:ln>
          <a:noFill/>
        </a:ln>
      </c:spPr>
    </c:plotArea>
    <c:legend>
      <c:legendPos val="r"/>
      <c:layout>
        <c:manualLayout>
          <c:xMode val="edge"/>
          <c:yMode val="edge"/>
          <c:x val="7.0789259560618392E-2"/>
          <c:y val="5.8679881737689357E-2"/>
          <c:w val="0.8201790073230345"/>
          <c:h val="6.3569871882496978E-2"/>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55"/>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CE04-4C85-B8D9-3879BBDC260E}"/>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CE04-4C85-B8D9-3879BBDC260E}"/>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CE04-4C85-B8D9-3879BBDC260E}"/>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CE04-4C85-B8D9-3879BBDC260E}"/>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CE04-4C85-B8D9-3879BBDC260E}"/>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CE04-4C85-B8D9-3879BBDC260E}"/>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CE04-4C85-B8D9-3879BBDC260E}"/>
            </c:ext>
          </c:extLst>
        </c:ser>
        <c:dLbls>
          <c:showLegendKey val="0"/>
          <c:showVal val="0"/>
          <c:showCatName val="0"/>
          <c:showSerName val="0"/>
          <c:showPercent val="0"/>
          <c:showBubbleSize val="0"/>
        </c:dLbls>
        <c:smooth val="0"/>
        <c:axId val="339083440"/>
        <c:axId val="339084000"/>
      </c:lineChart>
      <c:catAx>
        <c:axId val="33908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4000"/>
        <c:crosses val="autoZero"/>
        <c:auto val="1"/>
        <c:lblAlgn val="ctr"/>
        <c:lblOffset val="100"/>
        <c:tickLblSkip val="1"/>
        <c:tickMarkSkip val="1"/>
        <c:noMultiLvlLbl val="0"/>
      </c:catAx>
      <c:valAx>
        <c:axId val="33908400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344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horizontalDpi="-4"/>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600"/>
              <a:t>Contact crimes per 100 000 of population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8270223642444051E-2"/>
          <c:y val="0.1414004607240438"/>
          <c:w val="0.90222180280492736"/>
          <c:h val="0.62958755540448796"/>
        </c:manualLayout>
      </c:layout>
      <c:lineChart>
        <c:grouping val="standard"/>
        <c:varyColors val="0"/>
        <c:ser>
          <c:idx val="0"/>
          <c:order val="0"/>
          <c:tx>
            <c:strRef>
              <c:f>'Contact crime'!$D$8</c:f>
              <c:strCache>
                <c:ptCount val="1"/>
                <c:pt idx="0">
                  <c:v>Social Contact crimes</c:v>
                </c:pt>
              </c:strCache>
            </c:strRef>
          </c:tx>
          <c:spPr>
            <a:ln w="28575" cap="rnd" cmpd="sng" algn="ctr">
              <a:solidFill>
                <a:schemeClr val="accent1">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crime'!$E$8:$X$8</c:f>
              <c:numCache>
                <c:formatCode>General</c:formatCode>
                <c:ptCount val="20"/>
              </c:numCache>
            </c:numRef>
          </c:val>
          <c:smooth val="0"/>
          <c:extLst>
            <c:ext xmlns:c16="http://schemas.microsoft.com/office/drawing/2014/chart" uri="{C3380CC4-5D6E-409C-BE32-E72D297353CC}">
              <c16:uniqueId val="{00000000-B9EA-4A04-975F-58081BD71BD4}"/>
            </c:ext>
          </c:extLst>
        </c:ser>
        <c:ser>
          <c:idx val="1"/>
          <c:order val="1"/>
          <c:tx>
            <c:strRef>
              <c:f>'Contact crime'!$D$9</c:f>
              <c:strCache>
                <c:ptCount val="1"/>
                <c:pt idx="0">
                  <c:v>Murder</c:v>
                </c:pt>
              </c:strCache>
            </c:strRef>
          </c:tx>
          <c:spPr>
            <a:ln w="28575" cap="rnd" cmpd="sng" algn="ctr">
              <a:solidFill>
                <a:schemeClr val="accent2">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crime'!$E$9</c:f>
              <c:numCache>
                <c:formatCode>#\ ##0.0</c:formatCode>
                <c:ptCount val="1"/>
                <c:pt idx="0">
                  <c:v>67.90893930971751</c:v>
                </c:pt>
              </c:numCache>
            </c:numRef>
          </c:val>
          <c:smooth val="0"/>
          <c:extLst>
            <c:ext xmlns:c16="http://schemas.microsoft.com/office/drawing/2014/chart" uri="{C3380CC4-5D6E-409C-BE32-E72D297353CC}">
              <c16:uniqueId val="{00000001-B9EA-4A04-975F-58081BD71BD4}"/>
            </c:ext>
          </c:extLst>
        </c:ser>
        <c:ser>
          <c:idx val="2"/>
          <c:order val="2"/>
          <c:tx>
            <c:strRef>
              <c:f>'Contact crime'!$D$10</c:f>
              <c:strCache>
                <c:ptCount val="1"/>
                <c:pt idx="0">
                  <c:v>Attempted Murder</c:v>
                </c:pt>
              </c:strCache>
            </c:strRef>
          </c:tx>
          <c:spPr>
            <a:ln w="28575" cap="rnd" cmpd="sng" algn="ctr">
              <a:solidFill>
                <a:schemeClr val="accent3">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crime'!$E$10:$AC$10</c:f>
              <c:numCache>
                <c:formatCode>#\ ##0.0</c:formatCode>
                <c:ptCount val="25"/>
                <c:pt idx="0">
                  <c:v>67.906412653494357</c:v>
                </c:pt>
                <c:pt idx="1">
                  <c:v>70.412725858317103</c:v>
                </c:pt>
                <c:pt idx="2">
                  <c:v>68.366206762534006</c:v>
                </c:pt>
                <c:pt idx="3">
                  <c:v>70.35863974090303</c:v>
                </c:pt>
                <c:pt idx="4">
                  <c:v>65.449897962589432</c:v>
                </c:pt>
                <c:pt idx="5">
                  <c:v>64.38720369336427</c:v>
                </c:pt>
                <c:pt idx="6">
                  <c:v>69.819622935213999</c:v>
                </c:pt>
                <c:pt idx="7">
                  <c:v>78.896688085955475</c:v>
                </c:pt>
                <c:pt idx="8">
                  <c:v>64.839997991589897</c:v>
                </c:pt>
                <c:pt idx="9">
                  <c:v>52.6</c:v>
                </c:pt>
                <c:pt idx="10">
                  <c:v>43.8</c:v>
                </c:pt>
                <c:pt idx="11">
                  <c:v>42.5</c:v>
                </c:pt>
                <c:pt idx="12">
                  <c:v>39.299999999999997</c:v>
                </c:pt>
                <c:pt idx="13">
                  <c:v>37.6</c:v>
                </c:pt>
                <c:pt idx="14">
                  <c:v>35.299999999999997</c:v>
                </c:pt>
                <c:pt idx="15">
                  <c:v>30.100106947443656</c:v>
                </c:pt>
                <c:pt idx="16">
                  <c:v>28.458517632173116</c:v>
                </c:pt>
                <c:pt idx="17">
                  <c:v>30.915194769445783</c:v>
                </c:pt>
                <c:pt idx="18">
                  <c:v>31.871593616499467</c:v>
                </c:pt>
                <c:pt idx="19">
                  <c:v>32.403733911175642</c:v>
                </c:pt>
                <c:pt idx="20">
                  <c:v>32.978999517814536</c:v>
                </c:pt>
                <c:pt idx="21">
                  <c:v>32.600319690571638</c:v>
                </c:pt>
                <c:pt idx="22">
                  <c:v>32.126750975038746</c:v>
                </c:pt>
                <c:pt idx="23">
                  <c:v>32.895184770131479</c:v>
                </c:pt>
                <c:pt idx="24">
                  <c:v>31.757942411517416</c:v>
                </c:pt>
              </c:numCache>
            </c:numRef>
          </c:val>
          <c:smooth val="0"/>
          <c:extLst>
            <c:ext xmlns:c16="http://schemas.microsoft.com/office/drawing/2014/chart" uri="{C3380CC4-5D6E-409C-BE32-E72D297353CC}">
              <c16:uniqueId val="{00000002-B9EA-4A04-975F-58081BD71BD4}"/>
            </c:ext>
          </c:extLst>
        </c:ser>
        <c:ser>
          <c:idx val="3"/>
          <c:order val="3"/>
          <c:tx>
            <c:strRef>
              <c:f>'Contact crime'!$D$11</c:f>
              <c:strCache>
                <c:ptCount val="1"/>
                <c:pt idx="0">
                  <c:v>Common Assault</c:v>
                </c:pt>
              </c:strCache>
            </c:strRef>
          </c:tx>
          <c:spPr>
            <a:ln w="28575" cap="rnd" cmpd="sng" algn="ctr">
              <a:solidFill>
                <a:schemeClr val="accent4">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crime'!$E$11:$AC$11</c:f>
              <c:numCache>
                <c:formatCode>#\ ##0.0</c:formatCode>
                <c:ptCount val="25"/>
                <c:pt idx="0">
                  <c:v>520.50634190712015</c:v>
                </c:pt>
                <c:pt idx="1">
                  <c:v>500.25905801837609</c:v>
                </c:pt>
                <c:pt idx="2">
                  <c:v>489.01331130975518</c:v>
                </c:pt>
                <c:pt idx="3">
                  <c:v>485.04000762049913</c:v>
                </c:pt>
                <c:pt idx="4">
                  <c:v>538.9100793098354</c:v>
                </c:pt>
                <c:pt idx="5">
                  <c:v>569.66468591929822</c:v>
                </c:pt>
                <c:pt idx="6">
                  <c:v>584.30900751003276</c:v>
                </c:pt>
                <c:pt idx="7">
                  <c:v>621.57680204602934</c:v>
                </c:pt>
                <c:pt idx="8">
                  <c:v>605.67491407611556</c:v>
                </c:pt>
                <c:pt idx="9">
                  <c:v>575</c:v>
                </c:pt>
                <c:pt idx="10">
                  <c:v>485.3</c:v>
                </c:pt>
                <c:pt idx="11">
                  <c:v>443.2</c:v>
                </c:pt>
                <c:pt idx="12">
                  <c:v>413.9</c:v>
                </c:pt>
                <c:pt idx="13">
                  <c:v>396.1</c:v>
                </c:pt>
                <c:pt idx="14">
                  <c:v>400</c:v>
                </c:pt>
                <c:pt idx="15">
                  <c:v>360.7760409729961</c:v>
                </c:pt>
                <c:pt idx="16">
                  <c:v>348.08070802447179</c:v>
                </c:pt>
                <c:pt idx="17">
                  <c:v>326.84687901944301</c:v>
                </c:pt>
                <c:pt idx="18">
                  <c:v>311.5702006840807</c:v>
                </c:pt>
                <c:pt idx="19">
                  <c:v>298.38338224212293</c:v>
                </c:pt>
                <c:pt idx="20">
                  <c:v>300.11308007169691</c:v>
                </c:pt>
                <c:pt idx="21">
                  <c:v>280.16039635209739</c:v>
                </c:pt>
                <c:pt idx="22">
                  <c:v>275.30192248083029</c:v>
                </c:pt>
                <c:pt idx="23">
                  <c:v>280.79107876599267</c:v>
                </c:pt>
                <c:pt idx="24">
                  <c:v>282.03643259735247</c:v>
                </c:pt>
              </c:numCache>
            </c:numRef>
          </c:val>
          <c:smooth val="0"/>
          <c:extLst>
            <c:ext xmlns:c16="http://schemas.microsoft.com/office/drawing/2014/chart" uri="{C3380CC4-5D6E-409C-BE32-E72D297353CC}">
              <c16:uniqueId val="{00000003-B9EA-4A04-975F-58081BD71BD4}"/>
            </c:ext>
          </c:extLst>
        </c:ser>
        <c:ser>
          <c:idx val="4"/>
          <c:order val="4"/>
          <c:tx>
            <c:strRef>
              <c:f>'Contact crime'!$D$12</c:f>
              <c:strCache>
                <c:ptCount val="1"/>
                <c:pt idx="0">
                  <c:v>Assault Grievous Body Harm</c:v>
                </c:pt>
              </c:strCache>
            </c:strRef>
          </c:tx>
          <c:spPr>
            <a:ln w="28575" cap="rnd" cmpd="sng" algn="ctr">
              <a:solidFill>
                <a:schemeClr val="accent5">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crime'!$E$12:$AC$12</c:f>
              <c:numCache>
                <c:formatCode>#\ ##0.0</c:formatCode>
                <c:ptCount val="25"/>
                <c:pt idx="0">
                  <c:v>563.68942341704985</c:v>
                </c:pt>
                <c:pt idx="1">
                  <c:v>570.42045065869388</c:v>
                </c:pt>
                <c:pt idx="2">
                  <c:v>570.39205207928489</c:v>
                </c:pt>
                <c:pt idx="3">
                  <c:v>566.34120784911408</c:v>
                </c:pt>
                <c:pt idx="4">
                  <c:v>608.07853671875387</c:v>
                </c:pt>
                <c:pt idx="5">
                  <c:v>630.15816686371431</c:v>
                </c:pt>
                <c:pt idx="6">
                  <c:v>589.05244912190324</c:v>
                </c:pt>
                <c:pt idx="7">
                  <c:v>585.92467772063662</c:v>
                </c:pt>
                <c:pt idx="8">
                  <c:v>560.70342989921153</c:v>
                </c:pt>
                <c:pt idx="9">
                  <c:v>535.29999999999995</c:v>
                </c:pt>
                <c:pt idx="10">
                  <c:v>484</c:v>
                </c:pt>
                <c:pt idx="11">
                  <c:v>460.1</c:v>
                </c:pt>
                <c:pt idx="12">
                  <c:v>439.1</c:v>
                </c:pt>
                <c:pt idx="13">
                  <c:v>418.5</c:v>
                </c:pt>
                <c:pt idx="14">
                  <c:v>416.2</c:v>
                </c:pt>
                <c:pt idx="15">
                  <c:v>386.97058065831379</c:v>
                </c:pt>
                <c:pt idx="16">
                  <c:v>370.19643452382587</c:v>
                </c:pt>
                <c:pt idx="17">
                  <c:v>352.35629416641672</c:v>
                </c:pt>
                <c:pt idx="18">
                  <c:v>342.05917233958428</c:v>
                </c:pt>
                <c:pt idx="19">
                  <c:v>337.31516495914815</c:v>
                </c:pt>
                <c:pt idx="20">
                  <c:v>332.81554139087359</c:v>
                </c:pt>
                <c:pt idx="21">
                  <c:v>305.52793981469767</c:v>
                </c:pt>
                <c:pt idx="22">
                  <c:v>294.87610536799667</c:v>
                </c:pt>
                <c:pt idx="23">
                  <c:v>296.33223376250317</c:v>
                </c:pt>
                <c:pt idx="24">
                  <c:v>284.12579333770771</c:v>
                </c:pt>
              </c:numCache>
            </c:numRef>
          </c:val>
          <c:smooth val="0"/>
          <c:extLst>
            <c:ext xmlns:c16="http://schemas.microsoft.com/office/drawing/2014/chart" uri="{C3380CC4-5D6E-409C-BE32-E72D297353CC}">
              <c16:uniqueId val="{00000004-B9EA-4A04-975F-58081BD71BD4}"/>
            </c:ext>
          </c:extLst>
        </c:ser>
        <c:ser>
          <c:idx val="5"/>
          <c:order val="5"/>
          <c:tx>
            <c:strRef>
              <c:f>'Contact crime'!$D$13</c:f>
              <c:strCache>
                <c:ptCount val="1"/>
                <c:pt idx="0">
                  <c:v>Sexual Offences</c:v>
                </c:pt>
              </c:strCache>
            </c:strRef>
          </c:tx>
          <c:spPr>
            <a:ln w="28575" cap="rnd" cmpd="sng" algn="ctr">
              <a:solidFill>
                <a:schemeClr val="accent6">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crime'!$E$13:$AC$13</c:f>
              <c:numCache>
                <c:formatCode>#\ ##0.0</c:formatCode>
                <c:ptCount val="25"/>
                <c:pt idx="8">
                  <c:v>142.5</c:v>
                </c:pt>
                <c:pt idx="9">
                  <c:v>148.4</c:v>
                </c:pt>
                <c:pt idx="10">
                  <c:v>145.19999999999999</c:v>
                </c:pt>
                <c:pt idx="11">
                  <c:v>137.6</c:v>
                </c:pt>
                <c:pt idx="12">
                  <c:v>133.4</c:v>
                </c:pt>
                <c:pt idx="13">
                  <c:v>144.80000000000001</c:v>
                </c:pt>
                <c:pt idx="14">
                  <c:v>138.5</c:v>
                </c:pt>
                <c:pt idx="15">
                  <c:v>127.22194291243424</c:v>
                </c:pt>
                <c:pt idx="16">
                  <c:v>116.96199585431964</c:v>
                </c:pt>
                <c:pt idx="17">
                  <c:v>115.93769272739682</c:v>
                </c:pt>
                <c:pt idx="18">
                  <c:v>106.33244606411147</c:v>
                </c:pt>
                <c:pt idx="19">
                  <c:v>99.070023442749857</c:v>
                </c:pt>
                <c:pt idx="20">
                  <c:v>94.414143541511848</c:v>
                </c:pt>
                <c:pt idx="21">
                  <c:v>88.927870136434379</c:v>
                </c:pt>
                <c:pt idx="22">
                  <c:v>88.290859313181656</c:v>
                </c:pt>
                <c:pt idx="23">
                  <c:v>90.851716841427404</c:v>
                </c:pt>
                <c:pt idx="24">
                  <c:v>90.822432247759465</c:v>
                </c:pt>
              </c:numCache>
            </c:numRef>
          </c:val>
          <c:smooth val="0"/>
          <c:extLst>
            <c:ext xmlns:c16="http://schemas.microsoft.com/office/drawing/2014/chart" uri="{C3380CC4-5D6E-409C-BE32-E72D297353CC}">
              <c16:uniqueId val="{00000005-B9EA-4A04-975F-58081BD71BD4}"/>
            </c:ext>
          </c:extLst>
        </c:ser>
        <c:ser>
          <c:idx val="6"/>
          <c:order val="6"/>
          <c:tx>
            <c:strRef>
              <c:f>'Contact crime'!$D$14</c:f>
              <c:strCache>
                <c:ptCount val="1"/>
                <c:pt idx="0">
                  <c:v>Aggravated Robbery</c:v>
                </c:pt>
              </c:strCache>
            </c:strRef>
          </c:tx>
          <c:spPr>
            <a:ln w="28575" cap="rnd" cmpd="sng" algn="ctr">
              <a:solidFill>
                <a:schemeClr val="accent1">
                  <a:lumMod val="60000"/>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crime'!$E$14:$AC$14</c:f>
              <c:numCache>
                <c:formatCode>#\ ##0.0</c:formatCode>
                <c:ptCount val="25"/>
                <c:pt idx="0">
                  <c:v>194.97448077214614</c:v>
                </c:pt>
                <c:pt idx="1">
                  <c:v>163.02901669106365</c:v>
                </c:pt>
                <c:pt idx="2">
                  <c:v>177.45093276331133</c:v>
                </c:pt>
                <c:pt idx="3">
                  <c:v>220.58963612116594</c:v>
                </c:pt>
                <c:pt idx="4">
                  <c:v>229.50781672086839</c:v>
                </c:pt>
                <c:pt idx="5">
                  <c:v>260.30486544349441</c:v>
                </c:pt>
                <c:pt idx="6">
                  <c:v>260.45644402790214</c:v>
                </c:pt>
                <c:pt idx="7">
                  <c:v>279.19980484504561</c:v>
                </c:pt>
                <c:pt idx="8">
                  <c:v>288.14950297778705</c:v>
                </c:pt>
                <c:pt idx="9">
                  <c:v>272.2</c:v>
                </c:pt>
                <c:pt idx="10">
                  <c:v>255.3</c:v>
                </c:pt>
                <c:pt idx="11">
                  <c:v>267.10000000000002</c:v>
                </c:pt>
                <c:pt idx="12">
                  <c:v>247.3</c:v>
                </c:pt>
                <c:pt idx="13">
                  <c:v>249.3</c:v>
                </c:pt>
                <c:pt idx="14">
                  <c:v>230.6</c:v>
                </c:pt>
                <c:pt idx="15">
                  <c:v>198.00030637127344</c:v>
                </c:pt>
                <c:pt idx="16">
                  <c:v>194.68678637314682</c:v>
                </c:pt>
                <c:pt idx="17">
                  <c:v>200.86117675777882</c:v>
                </c:pt>
                <c:pt idx="18">
                  <c:v>223.17619585612019</c:v>
                </c:pt>
                <c:pt idx="19">
                  <c:v>238.44100145792675</c:v>
                </c:pt>
                <c:pt idx="20">
                  <c:v>241.11038059785989</c:v>
                </c:pt>
                <c:pt idx="21">
                  <c:v>252.41475761077817</c:v>
                </c:pt>
                <c:pt idx="22">
                  <c:v>243.7989234854528</c:v>
                </c:pt>
                <c:pt idx="23">
                  <c:v>242.6964443483167</c:v>
                </c:pt>
                <c:pt idx="24">
                  <c:v>245.38911337989765</c:v>
                </c:pt>
              </c:numCache>
            </c:numRef>
          </c:val>
          <c:smooth val="0"/>
          <c:extLst>
            <c:ext xmlns:c16="http://schemas.microsoft.com/office/drawing/2014/chart" uri="{C3380CC4-5D6E-409C-BE32-E72D297353CC}">
              <c16:uniqueId val="{00000006-B9EA-4A04-975F-58081BD71BD4}"/>
            </c:ext>
          </c:extLst>
        </c:ser>
        <c:ser>
          <c:idx val="7"/>
          <c:order val="7"/>
          <c:tx>
            <c:strRef>
              <c:f>'Contact crime'!$D$15</c:f>
              <c:strCache>
                <c:ptCount val="1"/>
                <c:pt idx="0">
                  <c:v>Common Robbery</c:v>
                </c:pt>
              </c:strCache>
            </c:strRef>
          </c:tx>
          <c:spPr>
            <a:ln w="28575" cap="rnd" cmpd="sng" algn="ctr">
              <a:solidFill>
                <a:schemeClr val="accent2">
                  <a:lumMod val="60000"/>
                  <a:shade val="95000"/>
                  <a:satMod val="105000"/>
                </a:schemeClr>
              </a:solidFill>
              <a:prstDash val="solid"/>
              <a:round/>
            </a:ln>
            <a:effectLst/>
          </c:spPr>
          <c:marker>
            <c:symbol val="none"/>
          </c:marker>
          <c:cat>
            <c:strRef>
              <c:f>'Contact crime'!$E$7:$AC$7</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'Contact crime'!$E$15:$AC$15</c:f>
              <c:numCache>
                <c:formatCode>#\ ##0.0</c:formatCode>
                <c:ptCount val="25"/>
                <c:pt idx="0">
                  <c:v>115.42523624235687</c:v>
                </c:pt>
                <c:pt idx="1">
                  <c:v>124.86825642483475</c:v>
                </c:pt>
                <c:pt idx="2">
                  <c:v>133.43373493975903</c:v>
                </c:pt>
                <c:pt idx="3">
                  <c:v>154.73899790436275</c:v>
                </c:pt>
                <c:pt idx="4">
                  <c:v>173.52735465002374</c:v>
                </c:pt>
                <c:pt idx="5">
                  <c:v>206.50922856928531</c:v>
                </c:pt>
                <c:pt idx="6">
                  <c:v>201.2615948253916</c:v>
                </c:pt>
                <c:pt idx="7">
                  <c:v>223.38844477799452</c:v>
                </c:pt>
                <c:pt idx="8">
                  <c:v>205.99569916526156</c:v>
                </c:pt>
                <c:pt idx="9">
                  <c:v>195</c:v>
                </c:pt>
                <c:pt idx="10">
                  <c:v>159.4</c:v>
                </c:pt>
                <c:pt idx="11">
                  <c:v>150.1</c:v>
                </c:pt>
                <c:pt idx="12">
                  <c:v>135.80000000000001</c:v>
                </c:pt>
                <c:pt idx="13">
                  <c:v>121.7</c:v>
                </c:pt>
                <c:pt idx="14">
                  <c:v>116.7</c:v>
                </c:pt>
                <c:pt idx="15">
                  <c:v>106.68685041879738</c:v>
                </c:pt>
                <c:pt idx="16">
                  <c:v>101.55807453175913</c:v>
                </c:pt>
                <c:pt idx="17">
                  <c:v>101.29124790314349</c:v>
                </c:pt>
                <c:pt idx="18">
                  <c:v>100.37610315208687</c:v>
                </c:pt>
                <c:pt idx="19">
                  <c:v>101.49055668239406</c:v>
                </c:pt>
                <c:pt idx="20">
                  <c:v>98.443960054556442</c:v>
                </c:pt>
                <c:pt idx="21">
                  <c:v>95.657449998953908</c:v>
                </c:pt>
                <c:pt idx="22">
                  <c:v>89.38683030569382</c:v>
                </c:pt>
                <c:pt idx="23">
                  <c:v>89.716503668380184</c:v>
                </c:pt>
                <c:pt idx="24">
                  <c:v>88.320652829454801</c:v>
                </c:pt>
              </c:numCache>
            </c:numRef>
          </c:val>
          <c:smooth val="0"/>
          <c:extLst>
            <c:ext xmlns:c16="http://schemas.microsoft.com/office/drawing/2014/chart" uri="{C3380CC4-5D6E-409C-BE32-E72D297353CC}">
              <c16:uniqueId val="{00000007-B9EA-4A04-975F-58081BD71BD4}"/>
            </c:ext>
          </c:extLst>
        </c:ser>
        <c:dLbls>
          <c:showLegendKey val="0"/>
          <c:showVal val="0"/>
          <c:showCatName val="0"/>
          <c:showSerName val="0"/>
          <c:showPercent val="0"/>
          <c:showBubbleSize val="0"/>
        </c:dLbls>
        <c:smooth val="0"/>
        <c:axId val="339090720"/>
        <c:axId val="339091280"/>
      </c:lineChart>
      <c:catAx>
        <c:axId val="339090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339091280"/>
        <c:crosses val="autoZero"/>
        <c:auto val="1"/>
        <c:lblAlgn val="ctr"/>
        <c:lblOffset val="100"/>
        <c:noMultiLvlLbl val="0"/>
      </c:catAx>
      <c:valAx>
        <c:axId val="3390912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Number per 100 000 of population</a:t>
                </a:r>
              </a:p>
            </c:rich>
          </c:tx>
          <c:layout>
            <c:manualLayout>
              <c:xMode val="edge"/>
              <c:yMode val="edge"/>
              <c:x val="2.3333334725204886E-2"/>
              <c:y val="0.1929657949139230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339090720"/>
        <c:crosses val="autoZero"/>
        <c:crossBetween val="between"/>
      </c:valAx>
      <c:spPr>
        <a:solidFill>
          <a:schemeClr val="bg1"/>
        </a:solidFill>
        <a:ln>
          <a:noFill/>
        </a:ln>
        <a:effectLst/>
      </c:spPr>
    </c:plotArea>
    <c:legend>
      <c:legendPos val="b"/>
      <c:layout>
        <c:manualLayout>
          <c:xMode val="edge"/>
          <c:yMode val="edge"/>
          <c:x val="0.15055668024379526"/>
          <c:y val="0.85743478402504658"/>
          <c:w val="0.73996835298018437"/>
          <c:h val="0.120202182948979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7558185354028E-2"/>
          <c:y val="2.1594126521586376E-2"/>
          <c:w val="0.9432842986253348"/>
          <c:h val="0.63302962925812623"/>
        </c:manualLayout>
      </c:layout>
      <c:lineChart>
        <c:grouping val="standard"/>
        <c:varyColors val="0"/>
        <c:ser>
          <c:idx val="0"/>
          <c:order val="0"/>
          <c:tx>
            <c:strRef>
              <c:f>'Serious robberies'!$D$59</c:f>
              <c:strCache>
                <c:ptCount val="1"/>
                <c:pt idx="0">
                  <c:v>Carjacking</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robberies'!$E$59:$T$59</c:f>
              <c:numCache>
                <c:formatCode>0.0</c:formatCode>
                <c:ptCount val="16"/>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numCache>
            </c:numRef>
          </c:val>
          <c:smooth val="0"/>
          <c:extLst>
            <c:ext xmlns:c16="http://schemas.microsoft.com/office/drawing/2014/chart" uri="{C3380CC4-5D6E-409C-BE32-E72D297353CC}">
              <c16:uniqueId val="{00000000-4E7B-4A29-BCED-60E3F5DFC869}"/>
            </c:ext>
          </c:extLst>
        </c:ser>
        <c:ser>
          <c:idx val="1"/>
          <c:order val="1"/>
          <c:tx>
            <c:strRef>
              <c:f>'Serious robberies'!$D$60</c:f>
              <c:strCache>
                <c:ptCount val="1"/>
                <c:pt idx="0">
                  <c:v>Truck jacking</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robberies'!$E$60:$T$60</c:f>
              <c:numCache>
                <c:formatCode>0.0</c:formatCode>
                <c:ptCount val="16"/>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numCache>
            </c:numRef>
          </c:val>
          <c:smooth val="0"/>
          <c:extLst>
            <c:ext xmlns:c16="http://schemas.microsoft.com/office/drawing/2014/chart" uri="{C3380CC4-5D6E-409C-BE32-E72D297353CC}">
              <c16:uniqueId val="{00000001-4E7B-4A29-BCED-60E3F5DFC869}"/>
            </c:ext>
          </c:extLst>
        </c:ser>
        <c:ser>
          <c:idx val="2"/>
          <c:order val="2"/>
          <c:tx>
            <c:strRef>
              <c:f>'Serious robberies'!$D$61</c:f>
              <c:strCache>
                <c:ptCount val="1"/>
                <c:pt idx="0">
                  <c:v>Robbery of cash in transit</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robberies'!$E$61:$T$61</c:f>
              <c:numCache>
                <c:formatCode>0.0</c:formatCode>
                <c:ptCount val="16"/>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pt idx="15">
                  <c:v>74.545454545454547</c:v>
                </c:pt>
              </c:numCache>
            </c:numRef>
          </c:val>
          <c:smooth val="0"/>
          <c:extLst>
            <c:ext xmlns:c16="http://schemas.microsoft.com/office/drawing/2014/chart" uri="{C3380CC4-5D6E-409C-BE32-E72D297353CC}">
              <c16:uniqueId val="{00000002-4E7B-4A29-BCED-60E3F5DFC869}"/>
            </c:ext>
          </c:extLst>
        </c:ser>
        <c:ser>
          <c:idx val="3"/>
          <c:order val="3"/>
          <c:tx>
            <c:strRef>
              <c:f>'Serious robberies'!$D$62</c:f>
              <c:strCache>
                <c:ptCount val="1"/>
                <c:pt idx="0">
                  <c:v>Common Robberies</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robberies'!$E$62:$T$62</c:f>
              <c:numCache>
                <c:formatCode>0.0</c:formatCode>
                <c:ptCount val="16"/>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numCache>
            </c:numRef>
          </c:val>
          <c:smooth val="0"/>
          <c:extLst>
            <c:ext xmlns:c16="http://schemas.microsoft.com/office/drawing/2014/chart" uri="{C3380CC4-5D6E-409C-BE32-E72D297353CC}">
              <c16:uniqueId val="{00000003-4E7B-4A29-BCED-60E3F5DFC869}"/>
            </c:ext>
          </c:extLst>
        </c:ser>
        <c:ser>
          <c:idx val="4"/>
          <c:order val="4"/>
          <c:tx>
            <c:strRef>
              <c:f>'Serious robberies'!$D$63</c:f>
              <c:strCache>
                <c:ptCount val="1"/>
                <c:pt idx="0">
                  <c:v>Bank robbery</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robberies'!$E$63:$T$63</c:f>
              <c:numCache>
                <c:formatCode>0.0</c:formatCode>
                <c:ptCount val="16"/>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numCache>
            </c:numRef>
          </c:val>
          <c:smooth val="0"/>
          <c:extLst>
            <c:ext xmlns:c16="http://schemas.microsoft.com/office/drawing/2014/chart" uri="{C3380CC4-5D6E-409C-BE32-E72D297353CC}">
              <c16:uniqueId val="{00000004-4E7B-4A29-BCED-60E3F5DFC869}"/>
            </c:ext>
          </c:extLst>
        </c:ser>
        <c:ser>
          <c:idx val="5"/>
          <c:order val="5"/>
          <c:tx>
            <c:strRef>
              <c:f>'Serious robberies'!$D$64</c:f>
              <c:strCache>
                <c:ptCount val="1"/>
                <c:pt idx="0">
                  <c:v>Robbery at residential premises</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robberies'!$E$64:$T$64</c:f>
              <c:numCache>
                <c:formatCode>0.0</c:formatCode>
                <c:ptCount val="16"/>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numCache>
            </c:numRef>
          </c:val>
          <c:smooth val="0"/>
          <c:extLst>
            <c:ext xmlns:c16="http://schemas.microsoft.com/office/drawing/2014/chart" uri="{C3380CC4-5D6E-409C-BE32-E72D297353CC}">
              <c16:uniqueId val="{00000005-4E7B-4A29-BCED-60E3F5DFC869}"/>
            </c:ext>
          </c:extLst>
        </c:ser>
        <c:ser>
          <c:idx val="6"/>
          <c:order val="6"/>
          <c:tx>
            <c:strRef>
              <c:f>'Serious robberies'!$D$65</c:f>
              <c:strCache>
                <c:ptCount val="1"/>
                <c:pt idx="0">
                  <c:v>Robbery at non-residential premises</c:v>
                </c:pt>
              </c:strCache>
            </c:strRef>
          </c:tx>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robberies'!$E$65:$T$65</c:f>
              <c:numCache>
                <c:formatCode>0.0</c:formatCode>
                <c:ptCount val="16"/>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numCache>
            </c:numRef>
          </c:val>
          <c:smooth val="0"/>
          <c:extLst>
            <c:ext xmlns:c16="http://schemas.microsoft.com/office/drawing/2014/chart" uri="{C3380CC4-5D6E-409C-BE32-E72D297353CC}">
              <c16:uniqueId val="{00000006-4E7B-4A29-BCED-60E3F5DFC869}"/>
            </c:ext>
          </c:extLst>
        </c:ser>
        <c:dLbls>
          <c:showLegendKey val="0"/>
          <c:showVal val="0"/>
          <c:showCatName val="0"/>
          <c:showSerName val="0"/>
          <c:showPercent val="0"/>
          <c:showBubbleSize val="0"/>
        </c:dLbls>
        <c:smooth val="0"/>
        <c:axId val="339097440"/>
        <c:axId val="339098000"/>
      </c:lineChart>
      <c:catAx>
        <c:axId val="339097440"/>
        <c:scaling>
          <c:orientation val="minMax"/>
        </c:scaling>
        <c:delete val="0"/>
        <c:axPos val="b"/>
        <c:numFmt formatCode="General" sourceLinked="0"/>
        <c:majorTickMark val="out"/>
        <c:minorTickMark val="out"/>
        <c:tickLblPos val="nextTo"/>
        <c:txPr>
          <a:bodyPr/>
          <a:lstStyle/>
          <a:p>
            <a:pPr>
              <a:defRPr sz="900"/>
            </a:pPr>
            <a:endParaRPr lang="en-US"/>
          </a:p>
        </c:txPr>
        <c:crossAx val="339098000"/>
        <c:crosses val="autoZero"/>
        <c:auto val="1"/>
        <c:lblAlgn val="ctr"/>
        <c:lblOffset val="100"/>
        <c:noMultiLvlLbl val="0"/>
      </c:catAx>
      <c:valAx>
        <c:axId val="339098000"/>
        <c:scaling>
          <c:orientation val="minMax"/>
        </c:scaling>
        <c:delete val="0"/>
        <c:axPos val="l"/>
        <c:majorGridlines/>
        <c:numFmt formatCode="0" sourceLinked="0"/>
        <c:majorTickMark val="out"/>
        <c:minorTickMark val="none"/>
        <c:tickLblPos val="nextTo"/>
        <c:crossAx val="339097440"/>
        <c:crosses val="autoZero"/>
        <c:crossBetween val="between"/>
      </c:valAx>
    </c:plotArea>
    <c:legend>
      <c:legendPos val="b"/>
      <c:layout>
        <c:manualLayout>
          <c:xMode val="edge"/>
          <c:yMode val="edge"/>
          <c:x val="2.2662914952224864E-2"/>
          <c:y val="0.79860318887304438"/>
          <c:w val="0.94533980492027569"/>
          <c:h val="0.1404749726166119"/>
        </c:manualLayout>
      </c:layout>
      <c:overlay val="0"/>
      <c:txPr>
        <a:bodyPr/>
        <a:lstStyle/>
        <a:p>
          <a:pPr>
            <a:defRPr sz="10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61990042658869E-2"/>
          <c:y val="1.8242327552193231E-2"/>
          <c:w val="0.9432842986253348"/>
          <c:h val="0.63302962925812623"/>
        </c:manualLayout>
      </c:layout>
      <c:lineChart>
        <c:grouping val="standard"/>
        <c:varyColors val="0"/>
        <c:ser>
          <c:idx val="0"/>
          <c:order val="0"/>
          <c:tx>
            <c:strRef>
              <c:f>'Serious robberies'!$D$59</c:f>
              <c:strCache>
                <c:ptCount val="1"/>
                <c:pt idx="0">
                  <c:v>Carjacking</c:v>
                </c:pt>
              </c:strCache>
            </c:strRef>
          </c:tx>
          <c:spPr>
            <a:ln w="25400">
              <a:solidFill>
                <a:srgbClr val="FF6600"/>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robberies'!$E$59:$T$59</c:f>
              <c:numCache>
                <c:formatCode>0.0</c:formatCode>
                <c:ptCount val="16"/>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numCache>
            </c:numRef>
          </c:val>
          <c:smooth val="0"/>
          <c:extLst>
            <c:ext xmlns:c16="http://schemas.microsoft.com/office/drawing/2014/chart" uri="{C3380CC4-5D6E-409C-BE32-E72D297353CC}">
              <c16:uniqueId val="{00000000-EA93-4515-8791-2EB43FA35CDC}"/>
            </c:ext>
          </c:extLst>
        </c:ser>
        <c:ser>
          <c:idx val="1"/>
          <c:order val="1"/>
          <c:tx>
            <c:strRef>
              <c:f>'Serious robberies'!$D$60</c:f>
              <c:strCache>
                <c:ptCount val="1"/>
                <c:pt idx="0">
                  <c:v>Truck jacking</c:v>
                </c:pt>
              </c:strCache>
            </c:strRef>
          </c:tx>
          <c:spPr>
            <a:ln w="25400">
              <a:solidFill>
                <a:srgbClr val="3D96AE"/>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robberies'!$E$60:$T$60</c:f>
              <c:numCache>
                <c:formatCode>0.0</c:formatCode>
                <c:ptCount val="16"/>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numCache>
            </c:numRef>
          </c:val>
          <c:smooth val="0"/>
          <c:extLst>
            <c:ext xmlns:c16="http://schemas.microsoft.com/office/drawing/2014/chart" uri="{C3380CC4-5D6E-409C-BE32-E72D297353CC}">
              <c16:uniqueId val="{00000001-EA93-4515-8791-2EB43FA35CDC}"/>
            </c:ext>
          </c:extLst>
        </c:ser>
        <c:ser>
          <c:idx val="2"/>
          <c:order val="2"/>
          <c:tx>
            <c:strRef>
              <c:f>'Serious robberies'!$D$61</c:f>
              <c:strCache>
                <c:ptCount val="1"/>
                <c:pt idx="0">
                  <c:v>Robbery of cash in transit</c:v>
                </c:pt>
              </c:strCache>
            </c:strRef>
          </c:tx>
          <c:spPr>
            <a:ln w="25400">
              <a:solidFill>
                <a:srgbClr val="BE4B48"/>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robberies'!$E$61:$T$61</c:f>
              <c:numCache>
                <c:formatCode>0.0</c:formatCode>
                <c:ptCount val="16"/>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pt idx="15">
                  <c:v>74.545454545454547</c:v>
                </c:pt>
              </c:numCache>
            </c:numRef>
          </c:val>
          <c:smooth val="0"/>
          <c:extLst>
            <c:ext xmlns:c16="http://schemas.microsoft.com/office/drawing/2014/chart" uri="{C3380CC4-5D6E-409C-BE32-E72D297353CC}">
              <c16:uniqueId val="{00000002-EA93-4515-8791-2EB43FA35CDC}"/>
            </c:ext>
          </c:extLst>
        </c:ser>
        <c:ser>
          <c:idx val="3"/>
          <c:order val="3"/>
          <c:tx>
            <c:strRef>
              <c:f>'Serious robberies'!$D$62</c:f>
              <c:strCache>
                <c:ptCount val="1"/>
                <c:pt idx="0">
                  <c:v>Common Robberies</c:v>
                </c:pt>
              </c:strCache>
            </c:strRef>
          </c:tx>
          <c:spPr>
            <a:ln w="25400">
              <a:solidFill>
                <a:srgbClr val="000AFF"/>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robberies'!$E$62:$T$62</c:f>
              <c:numCache>
                <c:formatCode>0.0</c:formatCode>
                <c:ptCount val="16"/>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numCache>
            </c:numRef>
          </c:val>
          <c:smooth val="0"/>
          <c:extLst>
            <c:ext xmlns:c16="http://schemas.microsoft.com/office/drawing/2014/chart" uri="{C3380CC4-5D6E-409C-BE32-E72D297353CC}">
              <c16:uniqueId val="{00000003-EA93-4515-8791-2EB43FA35CDC}"/>
            </c:ext>
          </c:extLst>
        </c:ser>
        <c:ser>
          <c:idx val="4"/>
          <c:order val="4"/>
          <c:tx>
            <c:strRef>
              <c:f>'Serious robberies'!$D$63</c:f>
              <c:strCache>
                <c:ptCount val="1"/>
                <c:pt idx="0">
                  <c:v>Bank robbery</c:v>
                </c:pt>
              </c:strCache>
            </c:strRef>
          </c:tx>
          <c:spPr>
            <a:ln w="25400">
              <a:solidFill>
                <a:srgbClr val="FFC000"/>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robberies'!$E$63:$T$63</c:f>
              <c:numCache>
                <c:formatCode>0.0</c:formatCode>
                <c:ptCount val="16"/>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numCache>
            </c:numRef>
          </c:val>
          <c:smooth val="0"/>
          <c:extLst>
            <c:ext xmlns:c16="http://schemas.microsoft.com/office/drawing/2014/chart" uri="{C3380CC4-5D6E-409C-BE32-E72D297353CC}">
              <c16:uniqueId val="{00000004-EA93-4515-8791-2EB43FA35CDC}"/>
            </c:ext>
          </c:extLst>
        </c:ser>
        <c:ser>
          <c:idx val="5"/>
          <c:order val="5"/>
          <c:tx>
            <c:strRef>
              <c:f>'Serious robberies'!$D$64</c:f>
              <c:strCache>
                <c:ptCount val="1"/>
                <c:pt idx="0">
                  <c:v>Robbery at residential premises</c:v>
                </c:pt>
              </c:strCache>
            </c:strRef>
          </c:tx>
          <c:spPr>
            <a:ln w="25400">
              <a:solidFill>
                <a:srgbClr val="F30DE3"/>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robberies'!$E$64:$T$64</c:f>
              <c:numCache>
                <c:formatCode>0.0</c:formatCode>
                <c:ptCount val="16"/>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numCache>
            </c:numRef>
          </c:val>
          <c:smooth val="0"/>
          <c:extLst>
            <c:ext xmlns:c16="http://schemas.microsoft.com/office/drawing/2014/chart" uri="{C3380CC4-5D6E-409C-BE32-E72D297353CC}">
              <c16:uniqueId val="{00000005-EA93-4515-8791-2EB43FA35CDC}"/>
            </c:ext>
          </c:extLst>
        </c:ser>
        <c:ser>
          <c:idx val="6"/>
          <c:order val="6"/>
          <c:tx>
            <c:strRef>
              <c:f>'Serious robberies'!$D$65</c:f>
              <c:strCache>
                <c:ptCount val="1"/>
                <c:pt idx="0">
                  <c:v>Robbery at non-residential premises</c:v>
                </c:pt>
              </c:strCache>
            </c:strRef>
          </c:tx>
          <c:spPr>
            <a:ln w="25400">
              <a:solidFill>
                <a:srgbClr val="00B050"/>
              </a:solidFill>
            </a:ln>
          </c:spPr>
          <c:marker>
            <c:symbol val="none"/>
          </c:marker>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robberies'!$E$65:$T$65</c:f>
              <c:numCache>
                <c:formatCode>0.0</c:formatCode>
                <c:ptCount val="16"/>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numCache>
            </c:numRef>
          </c:val>
          <c:smooth val="0"/>
          <c:extLst>
            <c:ext xmlns:c16="http://schemas.microsoft.com/office/drawing/2014/chart" uri="{C3380CC4-5D6E-409C-BE32-E72D297353CC}">
              <c16:uniqueId val="{00000006-EA93-4515-8791-2EB43FA35CDC}"/>
            </c:ext>
          </c:extLst>
        </c:ser>
        <c:dLbls>
          <c:showLegendKey val="0"/>
          <c:showVal val="0"/>
          <c:showCatName val="0"/>
          <c:showSerName val="0"/>
          <c:showPercent val="0"/>
          <c:showBubbleSize val="0"/>
        </c:dLbls>
        <c:smooth val="0"/>
        <c:axId val="282612064"/>
        <c:axId val="282612624"/>
      </c:lineChart>
      <c:catAx>
        <c:axId val="282612064"/>
        <c:scaling>
          <c:orientation val="minMax"/>
        </c:scaling>
        <c:delete val="0"/>
        <c:axPos val="b"/>
        <c:numFmt formatCode="General" sourceLinked="0"/>
        <c:majorTickMark val="out"/>
        <c:minorTickMark val="out"/>
        <c:tickLblPos val="nextTo"/>
        <c:crossAx val="282612624"/>
        <c:crosses val="autoZero"/>
        <c:auto val="1"/>
        <c:lblAlgn val="ctr"/>
        <c:lblOffset val="100"/>
        <c:noMultiLvlLbl val="0"/>
      </c:catAx>
      <c:valAx>
        <c:axId val="282612624"/>
        <c:scaling>
          <c:orientation val="minMax"/>
        </c:scaling>
        <c:delete val="0"/>
        <c:axPos val="l"/>
        <c:majorGridlines/>
        <c:numFmt formatCode="0.0" sourceLinked="1"/>
        <c:majorTickMark val="out"/>
        <c:minorTickMark val="none"/>
        <c:tickLblPos val="nextTo"/>
        <c:crossAx val="282612064"/>
        <c:crosses val="autoZero"/>
        <c:crossBetween val="between"/>
      </c:valAx>
    </c:plotArea>
    <c:legend>
      <c:legendPos val="b"/>
      <c:layout>
        <c:manualLayout>
          <c:xMode val="edge"/>
          <c:yMode val="edge"/>
          <c:x val="4.5955525745019259E-2"/>
          <c:y val="0.76579745000494182"/>
          <c:w val="0.91589734310409032"/>
          <c:h val="0.21328204790300795"/>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barChart>
        <c:barDir val="col"/>
        <c:grouping val="stacked"/>
        <c:varyColors val="0"/>
        <c:ser>
          <c:idx val="0"/>
          <c:order val="0"/>
          <c:tx>
            <c:strRef>
              <c:f>'Serious robberies'!$D$59</c:f>
              <c:strCache>
                <c:ptCount val="1"/>
                <c:pt idx="0">
                  <c:v>Carjacking</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robberies'!$E$59:$T$59</c:f>
              <c:numCache>
                <c:formatCode>0.0</c:formatCode>
                <c:ptCount val="16"/>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numCache>
            </c:numRef>
          </c:val>
          <c:extLst>
            <c:ext xmlns:c16="http://schemas.microsoft.com/office/drawing/2014/chart" uri="{C3380CC4-5D6E-409C-BE32-E72D297353CC}">
              <c16:uniqueId val="{00000000-1280-4901-9FE9-E96F07577572}"/>
            </c:ext>
          </c:extLst>
        </c:ser>
        <c:ser>
          <c:idx val="1"/>
          <c:order val="1"/>
          <c:tx>
            <c:strRef>
              <c:f>'Serious robberies'!$D$60</c:f>
              <c:strCache>
                <c:ptCount val="1"/>
                <c:pt idx="0">
                  <c:v>Truck jacking</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robberies'!$E$60:$T$60</c:f>
              <c:numCache>
                <c:formatCode>0.0</c:formatCode>
                <c:ptCount val="16"/>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numCache>
            </c:numRef>
          </c:val>
          <c:extLst>
            <c:ext xmlns:c16="http://schemas.microsoft.com/office/drawing/2014/chart" uri="{C3380CC4-5D6E-409C-BE32-E72D297353CC}">
              <c16:uniqueId val="{00000001-1280-4901-9FE9-E96F07577572}"/>
            </c:ext>
          </c:extLst>
        </c:ser>
        <c:ser>
          <c:idx val="2"/>
          <c:order val="2"/>
          <c:tx>
            <c:strRef>
              <c:f>'Serious robberies'!$D$61</c:f>
              <c:strCache>
                <c:ptCount val="1"/>
                <c:pt idx="0">
                  <c:v>Robbery of cash in transit</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robberies'!$E$61:$S$61</c:f>
              <c:numCache>
                <c:formatCode>0.0</c:formatCode>
                <c:ptCount val="15"/>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numCache>
            </c:numRef>
          </c:val>
          <c:extLst>
            <c:ext xmlns:c16="http://schemas.microsoft.com/office/drawing/2014/chart" uri="{C3380CC4-5D6E-409C-BE32-E72D297353CC}">
              <c16:uniqueId val="{00000002-1280-4901-9FE9-E96F07577572}"/>
            </c:ext>
          </c:extLst>
        </c:ser>
        <c:ser>
          <c:idx val="3"/>
          <c:order val="3"/>
          <c:tx>
            <c:strRef>
              <c:f>'Serious robberies'!$D$62</c:f>
              <c:strCache>
                <c:ptCount val="1"/>
                <c:pt idx="0">
                  <c:v>Common Robberies</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robberies'!$E$62:$T$62</c:f>
              <c:numCache>
                <c:formatCode>0.0</c:formatCode>
                <c:ptCount val="16"/>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numCache>
            </c:numRef>
          </c:val>
          <c:extLst>
            <c:ext xmlns:c16="http://schemas.microsoft.com/office/drawing/2014/chart" uri="{C3380CC4-5D6E-409C-BE32-E72D297353CC}">
              <c16:uniqueId val="{00000003-1280-4901-9FE9-E96F07577572}"/>
            </c:ext>
          </c:extLst>
        </c:ser>
        <c:ser>
          <c:idx val="4"/>
          <c:order val="4"/>
          <c:tx>
            <c:strRef>
              <c:f>'Serious robberies'!$D$63</c:f>
              <c:strCache>
                <c:ptCount val="1"/>
                <c:pt idx="0">
                  <c:v>Bank robbery</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robberies'!$E$63:$T$63</c:f>
              <c:numCache>
                <c:formatCode>0.0</c:formatCode>
                <c:ptCount val="16"/>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numCache>
            </c:numRef>
          </c:val>
          <c:extLst>
            <c:ext xmlns:c16="http://schemas.microsoft.com/office/drawing/2014/chart" uri="{C3380CC4-5D6E-409C-BE32-E72D297353CC}">
              <c16:uniqueId val="{00000004-1280-4901-9FE9-E96F07577572}"/>
            </c:ext>
          </c:extLst>
        </c:ser>
        <c:ser>
          <c:idx val="5"/>
          <c:order val="5"/>
          <c:tx>
            <c:strRef>
              <c:f>'Serious robberies'!$D$64</c:f>
              <c:strCache>
                <c:ptCount val="1"/>
                <c:pt idx="0">
                  <c:v>Robbery at residential premises</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robberies'!$E$64:$T$64</c:f>
              <c:numCache>
                <c:formatCode>0.0</c:formatCode>
                <c:ptCount val="16"/>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numCache>
            </c:numRef>
          </c:val>
          <c:extLst>
            <c:ext xmlns:c16="http://schemas.microsoft.com/office/drawing/2014/chart" uri="{C3380CC4-5D6E-409C-BE32-E72D297353CC}">
              <c16:uniqueId val="{00000005-1280-4901-9FE9-E96F07577572}"/>
            </c:ext>
          </c:extLst>
        </c:ser>
        <c:ser>
          <c:idx val="6"/>
          <c:order val="6"/>
          <c:tx>
            <c:strRef>
              <c:f>'Serious robberies'!$D$65</c:f>
              <c:strCache>
                <c:ptCount val="1"/>
                <c:pt idx="0">
                  <c:v>Robbery at non-residential premises</c:v>
                </c:pt>
              </c:strCache>
            </c:strRef>
          </c:tx>
          <c:invertIfNegative val="0"/>
          <c:cat>
            <c:multiLvlStrRef>
              <c:f>'Serious robberies'!$E$57:$T$58</c:f>
              <c:multiLvlStrCache>
                <c:ptCount val="16"/>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lvl>
                <c:lvl>
                  <c:pt idx="0">
                    <c:v>Selected aggravated robberies - reported cases</c:v>
                  </c:pt>
                </c:lvl>
              </c:multiLvlStrCache>
            </c:multiLvlStrRef>
          </c:cat>
          <c:val>
            <c:numRef>
              <c:f>'Serious robberies'!$E$65:$T$65</c:f>
              <c:numCache>
                <c:formatCode>0.0</c:formatCode>
                <c:ptCount val="16"/>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numCache>
            </c:numRef>
          </c:val>
          <c:extLst>
            <c:ext xmlns:c16="http://schemas.microsoft.com/office/drawing/2014/chart" uri="{C3380CC4-5D6E-409C-BE32-E72D297353CC}">
              <c16:uniqueId val="{00000006-1280-4901-9FE9-E96F07577572}"/>
            </c:ext>
          </c:extLst>
        </c:ser>
        <c:dLbls>
          <c:showLegendKey val="0"/>
          <c:showVal val="0"/>
          <c:showCatName val="0"/>
          <c:showSerName val="0"/>
          <c:showPercent val="0"/>
          <c:showBubbleSize val="0"/>
        </c:dLbls>
        <c:gapWidth val="150"/>
        <c:overlap val="100"/>
        <c:axId val="282618784"/>
        <c:axId val="282619344"/>
      </c:barChart>
      <c:catAx>
        <c:axId val="282618784"/>
        <c:scaling>
          <c:orientation val="minMax"/>
        </c:scaling>
        <c:delete val="0"/>
        <c:axPos val="b"/>
        <c:numFmt formatCode="General" sourceLinked="0"/>
        <c:majorTickMark val="out"/>
        <c:minorTickMark val="out"/>
        <c:tickLblPos val="nextTo"/>
        <c:txPr>
          <a:bodyPr/>
          <a:lstStyle/>
          <a:p>
            <a:pPr>
              <a:defRPr sz="1000"/>
            </a:pPr>
            <a:endParaRPr lang="en-US"/>
          </a:p>
        </c:txPr>
        <c:crossAx val="282619344"/>
        <c:crosses val="autoZero"/>
        <c:auto val="1"/>
        <c:lblAlgn val="ctr"/>
        <c:lblOffset val="100"/>
        <c:noMultiLvlLbl val="0"/>
      </c:catAx>
      <c:valAx>
        <c:axId val="282619344"/>
        <c:scaling>
          <c:orientation val="minMax"/>
        </c:scaling>
        <c:delete val="0"/>
        <c:axPos val="l"/>
        <c:majorGridlines>
          <c:spPr>
            <a:ln w="3175">
              <a:prstDash val="sysDash"/>
            </a:ln>
          </c:spPr>
        </c:majorGridlines>
        <c:numFmt formatCode="0.0" sourceLinked="1"/>
        <c:majorTickMark val="out"/>
        <c:minorTickMark val="none"/>
        <c:tickLblPos val="nextTo"/>
        <c:crossAx val="282618784"/>
        <c:crosses val="autoZero"/>
        <c:crossBetween val="between"/>
      </c:valAx>
    </c:plotArea>
    <c:legend>
      <c:legendPos val="b"/>
      <c:layout>
        <c:manualLayout>
          <c:xMode val="edge"/>
          <c:yMode val="edge"/>
          <c:x val="2.2662914952224864E-2"/>
          <c:y val="0.81918141579104264"/>
          <c:w val="0.94317972358247815"/>
          <c:h val="0.15926687848829432"/>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6.8001284012160351E-2"/>
          <c:y val="0.21238728492271799"/>
          <c:w val="0.9164158055763445"/>
          <c:h val="0.64527027027027983"/>
        </c:manualLayout>
      </c:layout>
      <c:lineChart>
        <c:grouping val="standard"/>
        <c:varyColors val="0"/>
        <c:ser>
          <c:idx val="0"/>
          <c:order val="0"/>
          <c:tx>
            <c:strRef>
              <c:f>'G debt  '!$D$8</c:f>
              <c:strCache>
                <c:ptCount val="1"/>
                <c:pt idx="0">
                  <c:v>Net Government Debt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'G debt  '!$E$7:$AC$7</c15:sqref>
                  </c15:fullRef>
                </c:ext>
              </c:extLst>
              <c:f>'G debt  '!$Q$7:$AC$7</c:f>
              <c:strCache>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Cache>
            </c:strRef>
          </c:cat>
          <c:val>
            <c:numRef>
              <c:extLst>
                <c:ext xmlns:c15="http://schemas.microsoft.com/office/drawing/2012/chart" uri="{02D57815-91ED-43cb-92C2-25804820EDAC}">
                  <c15:fullRef>
                    <c15:sqref>'G debt  '!$E$8:$AC$8</c15:sqref>
                  </c15:fullRef>
                </c:ext>
              </c:extLst>
              <c:f>'G debt  '!$Q$8:$AC$8</c:f>
              <c:numCache>
                <c:formatCode>0.0</c:formatCode>
                <c:ptCount val="13"/>
                <c:pt idx="0">
                  <c:v>25</c:v>
                </c:pt>
                <c:pt idx="1">
                  <c:v>22.3</c:v>
                </c:pt>
                <c:pt idx="2">
                  <c:v>21.8</c:v>
                </c:pt>
                <c:pt idx="3">
                  <c:v>26.4</c:v>
                </c:pt>
                <c:pt idx="4">
                  <c:v>29</c:v>
                </c:pt>
                <c:pt idx="5">
                  <c:v>32.200000000000003</c:v>
                </c:pt>
                <c:pt idx="6">
                  <c:v>35.6</c:v>
                </c:pt>
                <c:pt idx="7">
                  <c:v>38.200000000000003</c:v>
                </c:pt>
                <c:pt idx="8">
                  <c:v>41</c:v>
                </c:pt>
                <c:pt idx="9">
                  <c:v>43.7</c:v>
                </c:pt>
                <c:pt idx="10">
                  <c:v>45.4</c:v>
                </c:pt>
                <c:pt idx="11">
                  <c:v>48.1</c:v>
                </c:pt>
                <c:pt idx="12">
                  <c:v>51.7</c:v>
                </c:pt>
              </c:numCache>
            </c:numRef>
          </c:val>
          <c:smooth val="0"/>
          <c:extLst>
            <c:ext xmlns:c16="http://schemas.microsoft.com/office/drawing/2014/chart" uri="{C3380CC4-5D6E-409C-BE32-E72D297353CC}">
              <c16:uniqueId val="{00000000-5372-45B7-A145-8E292C21FFAC}"/>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511992"/>
        <c:crossesAt val="0"/>
        <c:auto val="1"/>
        <c:lblAlgn val="ctr"/>
        <c:lblOffset val="100"/>
        <c:tickLblSkip val="1"/>
        <c:tickMarkSkip val="1"/>
        <c:noMultiLvlLbl val="0"/>
      </c:catAx>
      <c:valAx>
        <c:axId val="399511992"/>
        <c:scaling>
          <c:orientation val="minMax"/>
          <c:max val="50"/>
          <c:min val="1"/>
        </c:scaling>
        <c:delete val="0"/>
        <c:axPos val="l"/>
        <c:majorGridlines>
          <c:spPr>
            <a:ln w="3175">
              <a:solidFill>
                <a:srgbClr val="969696"/>
              </a:solidFill>
              <a:prstDash val="sysDash"/>
            </a:ln>
          </c:spPr>
        </c:majorGridlines>
        <c:numFmt formatCode="0.0" sourceLinked="1"/>
        <c:majorTickMark val="out"/>
        <c:minorTickMark val="none"/>
        <c:tickLblPos val="nextTo"/>
        <c:spPr>
          <a:ln w="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5"/>
      </c:valAx>
      <c:spPr>
        <a:solidFill>
          <a:srgbClr val="FFFFFF"/>
        </a:solidFill>
        <a:ln w="25400">
          <a:noFill/>
        </a:ln>
      </c:spPr>
    </c:plotArea>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66"/>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EF71-4D21-B443-EE142A2ED761}"/>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EF71-4D21-B443-EE142A2ED761}"/>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EF71-4D21-B443-EE142A2ED761}"/>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EF71-4D21-B443-EE142A2ED761}"/>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EF71-4D21-B443-EE142A2ED761}"/>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EF71-4D21-B443-EE142A2ED761}"/>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EF71-4D21-B443-EE142A2ED761}"/>
            </c:ext>
          </c:extLst>
        </c:ser>
        <c:dLbls>
          <c:showLegendKey val="0"/>
          <c:showVal val="0"/>
          <c:showCatName val="0"/>
          <c:showSerName val="0"/>
          <c:showPercent val="0"/>
          <c:showBubbleSize val="0"/>
        </c:dLbls>
        <c:smooth val="0"/>
        <c:axId val="338463360"/>
        <c:axId val="338463920"/>
      </c:lineChart>
      <c:catAx>
        <c:axId val="33846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920"/>
        <c:crosses val="autoZero"/>
        <c:auto val="1"/>
        <c:lblAlgn val="ctr"/>
        <c:lblOffset val="100"/>
        <c:tickLblSkip val="1"/>
        <c:tickMarkSkip val="1"/>
        <c:noMultiLvlLbl val="0"/>
      </c:catAx>
      <c:valAx>
        <c:axId val="33846392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36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paperSize="9" orientation="landscape" horizontalDpi="-4"/>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'Drug-Related Crime '!$D$53</c:f>
              <c:strCache>
                <c:ptCount val="1"/>
                <c:pt idx="0">
                  <c:v>Reported cases</c:v>
                </c:pt>
              </c:strCache>
            </c:strRef>
          </c:tx>
          <c:spPr>
            <a:solidFill>
              <a:schemeClr val="accent1"/>
            </a:solidFill>
            <a:ln>
              <a:noFill/>
            </a:ln>
            <a:effectLst/>
          </c:spPr>
          <c:invertIfNegative val="0"/>
          <c:cat>
            <c:strRef>
              <c:f>'Drug-Related Crime '!$E$52:$R$52</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'Drug-Related Crime '!$E$53:$R$53</c:f>
              <c:numCache>
                <c:formatCode>_ * #\ ##0_ ;_ * \-#\ ##0_ ;_ * "-"??_ ;_ @_ </c:formatCode>
                <c:ptCount val="14"/>
                <c:pt idx="0">
                  <c:v>104689</c:v>
                </c:pt>
                <c:pt idx="1">
                  <c:v>109134</c:v>
                </c:pt>
                <c:pt idx="2">
                  <c:v>117172</c:v>
                </c:pt>
                <c:pt idx="3">
                  <c:v>134480</c:v>
                </c:pt>
                <c:pt idx="4">
                  <c:v>150561</c:v>
                </c:pt>
                <c:pt idx="5">
                  <c:v>176218</c:v>
                </c:pt>
                <c:pt idx="6">
                  <c:v>206721</c:v>
                </c:pt>
                <c:pt idx="7">
                  <c:v>260596</c:v>
                </c:pt>
                <c:pt idx="8">
                  <c:v>266902</c:v>
                </c:pt>
                <c:pt idx="9">
                  <c:v>259165</c:v>
                </c:pt>
                <c:pt idx="10">
                  <c:v>292689</c:v>
                </c:pt>
                <c:pt idx="11">
                  <c:v>323547</c:v>
                </c:pt>
                <c:pt idx="12">
                  <c:v>232657</c:v>
                </c:pt>
                <c:pt idx="13">
                  <c:v>170510</c:v>
                </c:pt>
              </c:numCache>
            </c:numRef>
          </c:val>
          <c:extLst>
            <c:ext xmlns:c16="http://schemas.microsoft.com/office/drawing/2014/chart" uri="{C3380CC4-5D6E-409C-BE32-E72D297353CC}">
              <c16:uniqueId val="{00000000-A6C5-4551-BCC4-B106CD95B137}"/>
            </c:ext>
          </c:extLst>
        </c:ser>
        <c:dLbls>
          <c:showLegendKey val="0"/>
          <c:showVal val="0"/>
          <c:showCatName val="0"/>
          <c:showSerName val="0"/>
          <c:showPercent val="0"/>
          <c:showBubbleSize val="0"/>
        </c:dLbls>
        <c:gapWidth val="219"/>
        <c:axId val="338467280"/>
        <c:axId val="338467840"/>
      </c:barChart>
      <c:lineChart>
        <c:grouping val="standard"/>
        <c:varyColors val="0"/>
        <c:ser>
          <c:idx val="1"/>
          <c:order val="1"/>
          <c:tx>
            <c:strRef>
              <c:f>'Drug-Related Crime '!$D$54</c:f>
              <c:strCache>
                <c:ptCount val="1"/>
                <c:pt idx="0">
                  <c:v>Drug-related crime reported per 100 000 population</c:v>
                </c:pt>
              </c:strCache>
            </c:strRef>
          </c:tx>
          <c:spPr>
            <a:ln w="28575" cap="rnd">
              <a:solidFill>
                <a:schemeClr val="accent2"/>
              </a:solidFill>
              <a:round/>
            </a:ln>
            <a:effectLst/>
          </c:spPr>
          <c:marker>
            <c:symbol val="none"/>
          </c:marker>
          <c:cat>
            <c:strRef>
              <c:f>'Drug-Related Crime '!$E$52:$R$52</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'Drug-Related Crime '!$E$54:$R$54</c:f>
              <c:numCache>
                <c:formatCode>General</c:formatCode>
                <c:ptCount val="14"/>
                <c:pt idx="0">
                  <c:v>220.9</c:v>
                </c:pt>
                <c:pt idx="1">
                  <c:v>228.1</c:v>
                </c:pt>
                <c:pt idx="2">
                  <c:v>240.7</c:v>
                </c:pt>
                <c:pt idx="3">
                  <c:v>273.39999999999998</c:v>
                </c:pt>
                <c:pt idx="4">
                  <c:v>295.04571628346775</c:v>
                </c:pt>
                <c:pt idx="5">
                  <c:v>340.45506178589835</c:v>
                </c:pt>
                <c:pt idx="6">
                  <c:v>393.6203484808205</c:v>
                </c:pt>
                <c:pt idx="7">
                  <c:v>488.88161811085376</c:v>
                </c:pt>
                <c:pt idx="8">
                  <c:v>493.16424635687986</c:v>
                </c:pt>
                <c:pt idx="9">
                  <c:v>471.50672532875836</c:v>
                </c:pt>
                <c:pt idx="10">
                  <c:v>524.12825981399192</c:v>
                </c:pt>
                <c:pt idx="11">
                  <c:v>570.0934513092119</c:v>
                </c:pt>
                <c:pt idx="12">
                  <c:v>560.75544503802575</c:v>
                </c:pt>
                <c:pt idx="13">
                  <c:v>290.58474701303112</c:v>
                </c:pt>
              </c:numCache>
            </c:numRef>
          </c:val>
          <c:smooth val="0"/>
          <c:extLst>
            <c:ext xmlns:c16="http://schemas.microsoft.com/office/drawing/2014/chart" uri="{C3380CC4-5D6E-409C-BE32-E72D297353CC}">
              <c16:uniqueId val="{00000001-A6C5-4551-BCC4-B106CD95B137}"/>
            </c:ext>
          </c:extLst>
        </c:ser>
        <c:dLbls>
          <c:showLegendKey val="0"/>
          <c:showVal val="0"/>
          <c:showCatName val="0"/>
          <c:showSerName val="0"/>
          <c:showPercent val="0"/>
          <c:showBubbleSize val="0"/>
        </c:dLbls>
        <c:marker val="1"/>
        <c:smooth val="0"/>
        <c:axId val="338468960"/>
        <c:axId val="338468400"/>
      </c:lineChart>
      <c:catAx>
        <c:axId val="3384672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840"/>
        <c:crosses val="autoZero"/>
        <c:auto val="1"/>
        <c:lblAlgn val="ctr"/>
        <c:lblOffset val="100"/>
        <c:noMultiLvlLbl val="0"/>
      </c:catAx>
      <c:valAx>
        <c:axId val="338467840"/>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280"/>
        <c:crosses val="autoZero"/>
        <c:crossBetween val="between"/>
        <c:dispUnits>
          <c:builtInUnit val="thousands"/>
          <c:dispUnitsLbl>
            <c:layout>
              <c:manualLayout>
                <c:xMode val="edge"/>
                <c:yMode val="edge"/>
                <c:x val="2.2756657055223419E-2"/>
                <c:y val="0.31071779744346117"/>
              </c:manualLayout>
            </c:layout>
            <c:tx>
              <c:rich>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Reported cases (thousands)</a:t>
                  </a:r>
                </a:p>
                <a:p>
                  <a:pPr algn="ctr" rtl="0">
                    <a:defRPr>
                      <a:solidFill>
                        <a:schemeClr val="tx1"/>
                      </a:solidFill>
                    </a:defRPr>
                  </a:pPr>
                  <a:endParaRPr lang="en-ZA">
                    <a:solidFill>
                      <a:schemeClr val="tx1"/>
                    </a:solidFill>
                  </a:endParaRPr>
                </a:p>
              </c:rich>
            </c:tx>
            <c:spPr>
              <a:noFill/>
              <a:ln>
                <a:noFill/>
              </a:ln>
              <a:effectLst/>
            </c:spPr>
            <c:txPr>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endParaRPr lang="en-US"/>
              </a:p>
            </c:txPr>
          </c:dispUnitsLbl>
        </c:dispUnits>
      </c:valAx>
      <c:valAx>
        <c:axId val="338468400"/>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r>
                  <a:rPr lang="en-ZA" sz="900">
                    <a:solidFill>
                      <a:schemeClr val="tx1"/>
                    </a:solidFill>
                  </a:rPr>
                  <a:t>Number per 100 000 of population</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8960"/>
        <c:crosses val="max"/>
        <c:crossBetween val="between"/>
      </c:valAx>
      <c:catAx>
        <c:axId val="338468960"/>
        <c:scaling>
          <c:orientation val="minMax"/>
        </c:scaling>
        <c:delete val="1"/>
        <c:axPos val="b"/>
        <c:numFmt formatCode="General" sourceLinked="1"/>
        <c:majorTickMark val="out"/>
        <c:minorTickMark val="none"/>
        <c:tickLblPos val="nextTo"/>
        <c:crossAx val="33846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78"/>
          <c:y val="3.8610038610038609E-2"/>
        </c:manualLayout>
      </c:layout>
      <c:overlay val="0"/>
      <c:spPr>
        <a:noFill/>
        <a:ln w="25400">
          <a:noFill/>
        </a:ln>
      </c:spPr>
    </c:title>
    <c:autoTitleDeleted val="0"/>
    <c:plotArea>
      <c:layout/>
      <c:lineChart>
        <c:grouping val="standard"/>
        <c:varyColors val="0"/>
        <c:ser>
          <c:idx val="0"/>
          <c:order val="0"/>
          <c:tx>
            <c:strRef>
              <c:f>'[20]Contact Crime'!$A$171</c:f>
              <c:strCache>
                <c:ptCount val="1"/>
                <c:pt idx="0">
                  <c:v>Murder</c:v>
                </c:pt>
              </c:strCache>
            </c:strRef>
          </c:tx>
          <c:spPr>
            <a:ln w="25400">
              <a:solidFill>
                <a:srgbClr val="0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C662-4D43-8486-1AF72EFF17AD}"/>
            </c:ext>
          </c:extLst>
        </c:ser>
        <c:ser>
          <c:idx val="1"/>
          <c:order val="1"/>
          <c:tx>
            <c:strRef>
              <c:f>'[20]Contact Crime'!$A$172</c:f>
              <c:strCache>
                <c:ptCount val="1"/>
                <c:pt idx="0">
                  <c:v>Attempted Murder</c:v>
                </c:pt>
              </c:strCache>
            </c:strRef>
          </c:tx>
          <c:spPr>
            <a:ln w="25400">
              <a:solidFill>
                <a:srgbClr val="FF00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C662-4D43-8486-1AF72EFF17AD}"/>
            </c:ext>
          </c:extLst>
        </c:ser>
        <c:ser>
          <c:idx val="2"/>
          <c:order val="2"/>
          <c:tx>
            <c:strRef>
              <c:f>'[20]Contact Crime'!$A$173</c:f>
              <c:strCache>
                <c:ptCount val="1"/>
                <c:pt idx="0">
                  <c:v>Common Assault</c:v>
                </c:pt>
              </c:strCache>
            </c:strRef>
          </c:tx>
          <c:spPr>
            <a:ln w="25400">
              <a:solidFill>
                <a:srgbClr val="FFFF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C662-4D43-8486-1AF72EFF17AD}"/>
            </c:ext>
          </c:extLst>
        </c:ser>
        <c:ser>
          <c:idx val="3"/>
          <c:order val="3"/>
          <c:tx>
            <c:strRef>
              <c:f>'[20]Contact Crime'!$A$174</c:f>
              <c:strCache>
                <c:ptCount val="1"/>
                <c:pt idx="0">
                  <c:v>Assault GBH</c:v>
                </c:pt>
              </c:strCache>
            </c:strRef>
          </c:tx>
          <c:spPr>
            <a:ln w="25400">
              <a:solidFill>
                <a:srgbClr val="00FFFF"/>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C662-4D43-8486-1AF72EFF17AD}"/>
            </c:ext>
          </c:extLst>
        </c:ser>
        <c:ser>
          <c:idx val="4"/>
          <c:order val="4"/>
          <c:tx>
            <c:strRef>
              <c:f>'[20]Contact Crime'!$A$175</c:f>
              <c:strCache>
                <c:ptCount val="1"/>
                <c:pt idx="0">
                  <c:v>Rape</c:v>
                </c:pt>
              </c:strCache>
            </c:strRef>
          </c:tx>
          <c:spPr>
            <a:ln w="25400">
              <a:solidFill>
                <a:srgbClr val="800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C662-4D43-8486-1AF72EFF17AD}"/>
            </c:ext>
          </c:extLst>
        </c:ser>
        <c:ser>
          <c:idx val="5"/>
          <c:order val="5"/>
          <c:tx>
            <c:strRef>
              <c:f>'[20]Contact Crime'!$A$176</c:f>
              <c:strCache>
                <c:ptCount val="1"/>
                <c:pt idx="0">
                  <c:v>Aggravated Robbery</c:v>
                </c:pt>
              </c:strCache>
            </c:strRef>
          </c:tx>
          <c:spPr>
            <a:ln w="25400">
              <a:solidFill>
                <a:srgbClr val="80000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C662-4D43-8486-1AF72EFF17AD}"/>
            </c:ext>
          </c:extLst>
        </c:ser>
        <c:ser>
          <c:idx val="6"/>
          <c:order val="6"/>
          <c:tx>
            <c:strRef>
              <c:f>'[20]Contact Crime'!$A$177</c:f>
              <c:strCache>
                <c:ptCount val="1"/>
                <c:pt idx="0">
                  <c:v>Common Robbery</c:v>
                </c:pt>
              </c:strCache>
            </c:strRef>
          </c:tx>
          <c:spPr>
            <a:ln w="25400">
              <a:solidFill>
                <a:srgbClr val="008080"/>
              </a:solidFill>
              <a:prstDash val="solid"/>
            </a:ln>
          </c:spPr>
          <c:marker>
            <c:symbol val="none"/>
          </c:marker>
          <c:cat>
            <c:strRef>
              <c:f>'[20]Contact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'[20]Contact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C662-4D43-8486-1AF72EFF17AD}"/>
            </c:ext>
          </c:extLst>
        </c:ser>
        <c:dLbls>
          <c:showLegendKey val="0"/>
          <c:showVal val="0"/>
          <c:showCatName val="0"/>
          <c:showSerName val="0"/>
          <c:showPercent val="0"/>
          <c:showBubbleSize val="0"/>
        </c:dLbls>
        <c:smooth val="0"/>
        <c:axId val="338475120"/>
        <c:axId val="338475680"/>
      </c:lineChart>
      <c:catAx>
        <c:axId val="33847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680"/>
        <c:crosses val="autoZero"/>
        <c:auto val="1"/>
        <c:lblAlgn val="ctr"/>
        <c:lblOffset val="100"/>
        <c:tickLblSkip val="1"/>
        <c:tickMarkSkip val="1"/>
        <c:noMultiLvlLbl val="0"/>
      </c:catAx>
      <c:valAx>
        <c:axId val="33847568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12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4"/>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'Sexual offences '!$D$53</c:f>
              <c:strCache>
                <c:ptCount val="1"/>
                <c:pt idx="0">
                  <c:v>Reported cases</c:v>
                </c:pt>
              </c:strCache>
            </c:strRef>
          </c:tx>
          <c:spPr>
            <a:solidFill>
              <a:schemeClr val="accent1"/>
            </a:solidFill>
            <a:ln>
              <a:noFill/>
            </a:ln>
            <a:effectLst/>
          </c:spPr>
          <c:invertIfNegative val="0"/>
          <c:cat>
            <c:strRef>
              <c:f>'Sexual offences '!$E$52:$R$52</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'Sexual offences '!$E$53:$R$53</c:f>
              <c:numCache>
                <c:formatCode>_ * #\ ##0_ ;_ * \-#\ ##0_ ;_ * "-"??_ ;_ @_ </c:formatCode>
                <c:ptCount val="14"/>
                <c:pt idx="0">
                  <c:v>65201</c:v>
                </c:pt>
                <c:pt idx="1">
                  <c:v>63818</c:v>
                </c:pt>
                <c:pt idx="2">
                  <c:v>70514</c:v>
                </c:pt>
                <c:pt idx="3">
                  <c:v>64921</c:v>
                </c:pt>
                <c:pt idx="4">
                  <c:v>64921</c:v>
                </c:pt>
                <c:pt idx="5">
                  <c:v>60539</c:v>
                </c:pt>
                <c:pt idx="6">
                  <c:v>60888</c:v>
                </c:pt>
                <c:pt idx="7">
                  <c:v>56680</c:v>
                </c:pt>
                <c:pt idx="8">
                  <c:v>53617</c:v>
                </c:pt>
                <c:pt idx="9">
                  <c:v>51895</c:v>
                </c:pt>
                <c:pt idx="10">
                  <c:v>49660</c:v>
                </c:pt>
                <c:pt idx="11">
                  <c:v>50108</c:v>
                </c:pt>
                <c:pt idx="12" formatCode="#,##0">
                  <c:v>52420</c:v>
                </c:pt>
                <c:pt idx="13" formatCode="#,##0">
                  <c:v>53293</c:v>
                </c:pt>
              </c:numCache>
            </c:numRef>
          </c:val>
          <c:extLst>
            <c:ext xmlns:c16="http://schemas.microsoft.com/office/drawing/2014/chart" uri="{C3380CC4-5D6E-409C-BE32-E72D297353CC}">
              <c16:uniqueId val="{00000000-DA3F-4ECA-8F02-0B01BA048E55}"/>
            </c:ext>
          </c:extLst>
        </c:ser>
        <c:dLbls>
          <c:showLegendKey val="0"/>
          <c:showVal val="0"/>
          <c:showCatName val="0"/>
          <c:showSerName val="0"/>
          <c:showPercent val="0"/>
          <c:showBubbleSize val="0"/>
        </c:dLbls>
        <c:gapWidth val="219"/>
        <c:axId val="280363504"/>
        <c:axId val="280364064"/>
      </c:barChart>
      <c:lineChart>
        <c:grouping val="standard"/>
        <c:varyColors val="0"/>
        <c:ser>
          <c:idx val="1"/>
          <c:order val="1"/>
          <c:tx>
            <c:strRef>
              <c:f>'Sexual offences '!$D$54</c:f>
              <c:strCache>
                <c:ptCount val="1"/>
                <c:pt idx="0">
                  <c:v>Sexual offences reported per 100 000 population</c:v>
                </c:pt>
              </c:strCache>
            </c:strRef>
          </c:tx>
          <c:spPr>
            <a:ln w="28575" cap="rnd">
              <a:solidFill>
                <a:schemeClr val="accent2"/>
              </a:solidFill>
              <a:round/>
            </a:ln>
            <a:effectLst/>
          </c:spPr>
          <c:marker>
            <c:symbol val="none"/>
          </c:marker>
          <c:cat>
            <c:strRef>
              <c:f>'Sexual offences '!$E$52:$R$52</c:f>
              <c:strCache>
                <c:ptCount val="14"/>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strCache>
            </c:strRef>
          </c:cat>
          <c:val>
            <c:numRef>
              <c:f>'Sexual offences '!$E$54:$R$54</c:f>
              <c:numCache>
                <c:formatCode>0.0</c:formatCode>
                <c:ptCount val="14"/>
                <c:pt idx="0">
                  <c:v>134.82571521464288</c:v>
                </c:pt>
                <c:pt idx="1">
                  <c:v>130.26683024641071</c:v>
                </c:pt>
                <c:pt idx="2">
                  <c:v>142.03350564921692</c:v>
                </c:pt>
                <c:pt idx="3">
                  <c:v>90.822432247759465</c:v>
                </c:pt>
                <c:pt idx="4">
                  <c:v>127.22194291243424</c:v>
                </c:pt>
                <c:pt idx="5">
                  <c:v>116.96199585431964</c:v>
                </c:pt>
                <c:pt idx="6">
                  <c:v>115.93769272739682</c:v>
                </c:pt>
                <c:pt idx="7">
                  <c:v>106.33244606411147</c:v>
                </c:pt>
                <c:pt idx="8">
                  <c:v>99.070023442749857</c:v>
                </c:pt>
                <c:pt idx="9">
                  <c:v>94.414143541511848</c:v>
                </c:pt>
                <c:pt idx="10">
                  <c:v>88.927870136434379</c:v>
                </c:pt>
                <c:pt idx="11">
                  <c:v>89.730119146122703</c:v>
                </c:pt>
                <c:pt idx="12">
                  <c:v>86.844674313053105</c:v>
                </c:pt>
                <c:pt idx="13">
                  <c:v>90.822432247759465</c:v>
                </c:pt>
              </c:numCache>
            </c:numRef>
          </c:val>
          <c:smooth val="0"/>
          <c:extLst>
            <c:ext xmlns:c16="http://schemas.microsoft.com/office/drawing/2014/chart" uri="{C3380CC4-5D6E-409C-BE32-E72D297353CC}">
              <c16:uniqueId val="{00000001-DA3F-4ECA-8F02-0B01BA048E55}"/>
            </c:ext>
          </c:extLst>
        </c:ser>
        <c:dLbls>
          <c:showLegendKey val="0"/>
          <c:showVal val="0"/>
          <c:showCatName val="0"/>
          <c:showSerName val="0"/>
          <c:showPercent val="0"/>
          <c:showBubbleSize val="0"/>
        </c:dLbls>
        <c:marker val="1"/>
        <c:smooth val="0"/>
        <c:axId val="280365184"/>
        <c:axId val="280364624"/>
      </c:lineChart>
      <c:catAx>
        <c:axId val="2803635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4064"/>
        <c:crosses val="autoZero"/>
        <c:auto val="1"/>
        <c:lblAlgn val="ctr"/>
        <c:lblOffset val="100"/>
        <c:noMultiLvlLbl val="0"/>
      </c:catAx>
      <c:valAx>
        <c:axId val="280364064"/>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280363504"/>
        <c:crosses val="autoZero"/>
        <c:crossBetween val="between"/>
        <c:dispUnits>
          <c:builtInUnit val="thousands"/>
          <c:dispUnitsLbl>
            <c:layout>
              <c:manualLayout>
                <c:xMode val="edge"/>
                <c:yMode val="edge"/>
                <c:x val="2.307579491494861E-2"/>
                <c:y val="0.16606425702811245"/>
              </c:manualLayout>
            </c:layout>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1000" b="0" i="0" u="none" strike="noStrike" baseline="0">
                      <a:effectLst/>
                    </a:rPr>
                    <a:t>Reported cases (thousands)</a:t>
                  </a:r>
                  <a:endParaRPr lang="en-ZA">
                    <a:solidFill>
                      <a:schemeClr val="tx1"/>
                    </a:solidFill>
                  </a:endParaRPr>
                </a:p>
              </c:rich>
            </c:tx>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ispUnitsLbl>
        </c:dispUnits>
      </c:valAx>
      <c:valAx>
        <c:axId val="2803646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800" b="0" i="0" baseline="0">
                    <a:solidFill>
                      <a:schemeClr val="tx1"/>
                    </a:solidFill>
                    <a:effectLst/>
                    <a:latin typeface="Arial Narrow" panose="020B0606020202030204" pitchFamily="34" charset="0"/>
                  </a:rPr>
                  <a:t>Number per 100 000 of population</a:t>
                </a:r>
                <a:endParaRPr lang="en-ZA" sz="800">
                  <a:solidFill>
                    <a:schemeClr val="tx1"/>
                  </a:solidFill>
                  <a:effectLst/>
                  <a:latin typeface="Arial Narrow" panose="020B060602020203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5184"/>
        <c:crosses val="max"/>
        <c:crossBetween val="between"/>
      </c:valAx>
      <c:catAx>
        <c:axId val="280365184"/>
        <c:scaling>
          <c:orientation val="minMax"/>
        </c:scaling>
        <c:delete val="1"/>
        <c:axPos val="b"/>
        <c:numFmt formatCode="General" sourceLinked="1"/>
        <c:majorTickMark val="out"/>
        <c:minorTickMark val="none"/>
        <c:tickLblPos val="nextTo"/>
        <c:crossAx val="28036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n-ZA">
                <a:solidFill>
                  <a:sysClr val="windowText" lastClr="000000"/>
                </a:solidFill>
              </a:rPr>
              <a:t>Forfeiture  Assets and Freeze Orders completed </a:t>
            </a:r>
          </a:p>
        </c:rich>
      </c:tx>
      <c:layout>
        <c:manualLayout>
          <c:xMode val="edge"/>
          <c:yMode val="edge"/>
          <c:x val="0.28735185095343108"/>
          <c:y val="0"/>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n-US"/>
        </a:p>
      </c:txPr>
    </c:title>
    <c:autoTitleDeleted val="0"/>
    <c:plotArea>
      <c:layout>
        <c:manualLayout>
          <c:layoutTarget val="inner"/>
          <c:xMode val="edge"/>
          <c:yMode val="edge"/>
          <c:x val="0.11538149185637395"/>
          <c:y val="0.11819343742821636"/>
          <c:w val="0.83449808986878815"/>
          <c:h val="0.71209396060415631"/>
        </c:manualLayout>
      </c:layout>
      <c:barChart>
        <c:barDir val="col"/>
        <c:grouping val="clustered"/>
        <c:varyColors val="0"/>
        <c:ser>
          <c:idx val="0"/>
          <c:order val="0"/>
          <c:tx>
            <c:strRef>
              <c:f>[21]Sheet2!$B$5:$D$5</c:f>
              <c:strCache>
                <c:ptCount val="1"/>
                <c:pt idx="0">
                  <c:v>Value of Forfeiture Assets(Rand in Millions)</c:v>
                </c:pt>
              </c:strCache>
            </c:strRef>
          </c:tx>
          <c:spPr>
            <a:solidFill>
              <a:schemeClr val="accent2">
                <a:shade val="76000"/>
              </a:schemeClr>
            </a:solidFill>
            <a:ln>
              <a:noFill/>
            </a:ln>
            <a:effectLst/>
          </c:spPr>
          <c:invertIfNegative val="0"/>
          <c:dLbls>
            <c:dLbl>
              <c:idx val="0"/>
              <c:tx>
                <c:rich>
                  <a:bodyPr/>
                  <a:lstStyle/>
                  <a:p>
                    <a:r>
                      <a:rPr lang="en-US"/>
                      <a:t>R164k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5-4177-8448-A786C394C603}"/>
                </c:ext>
              </c:extLst>
            </c:dLbl>
            <c:dLbl>
              <c:idx val="1"/>
              <c:tx>
                <c:rich>
                  <a:bodyPr/>
                  <a:lstStyle/>
                  <a:p>
                    <a:r>
                      <a:rPr lang="en-US"/>
                      <a:t>R119k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5-4177-8448-A786C394C603}"/>
                </c:ext>
              </c:extLst>
            </c:dLbl>
            <c:dLbl>
              <c:idx val="2"/>
              <c:tx>
                <c:rich>
                  <a:bodyPr/>
                  <a:lstStyle/>
                  <a:p>
                    <a:r>
                      <a:rPr lang="en-US"/>
                      <a:t>R294k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5-4177-8448-A786C394C603}"/>
                </c:ext>
              </c:extLst>
            </c:dLbl>
            <c:dLbl>
              <c:idx val="3"/>
              <c:tx>
                <c:rich>
                  <a:bodyPr/>
                  <a:lstStyle/>
                  <a:p>
                    <a:r>
                      <a:rPr lang="en-US"/>
                      <a:t>R1.94m</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5-4177-8448-A786C394C603}"/>
                </c:ext>
              </c:extLst>
            </c:dLbl>
            <c:dLbl>
              <c:idx val="4"/>
              <c:tx>
                <c:rich>
                  <a:bodyPr/>
                  <a:lstStyle/>
                  <a:p>
                    <a:r>
                      <a:rPr lang="en-US"/>
                      <a:t>R3.495m</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5-4177-8448-A786C394C603}"/>
                </c:ext>
              </c:extLst>
            </c:dLbl>
            <c:dLbl>
              <c:idx val="5"/>
              <c:tx>
                <c:rich>
                  <a:bodyPr/>
                  <a:lstStyle/>
                  <a:p>
                    <a:r>
                      <a:rPr lang="en-US"/>
                      <a:t>R1.194m</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D5-4177-8448-A786C394C603}"/>
                </c:ext>
              </c:extLst>
            </c:dLbl>
            <c:dLbl>
              <c:idx val="6"/>
              <c:tx>
                <c:rich>
                  <a:bodyPr/>
                  <a:lstStyle/>
                  <a:p>
                    <a:r>
                      <a:rPr lang="en-US"/>
                      <a:t>R4.4m</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D5-4177-8448-A786C394C603}"/>
                </c:ext>
              </c:extLst>
            </c:dLbl>
            <c:dLbl>
              <c:idx val="7"/>
              <c:tx>
                <c:rich>
                  <a:bodyPr/>
                  <a:lstStyle/>
                  <a:p>
                    <a:r>
                      <a:rPr lang="en-US"/>
                      <a:t>R455k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D5-4177-8448-A786C394C603}"/>
                </c:ext>
              </c:extLst>
            </c:dLbl>
            <c:dLbl>
              <c:idx val="8"/>
              <c:tx>
                <c:rich>
                  <a:bodyPr/>
                  <a:lstStyle/>
                  <a:p>
                    <a:r>
                      <a:rPr lang="en-US"/>
                      <a:t>R455k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D5-4177-8448-A786C394C6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[21]Sheet2!$E$4:$M$4</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[21]Sheet2!$E$5:$M$5</c:f>
              <c:numCache>
                <c:formatCode>General</c:formatCode>
                <c:ptCount val="9"/>
                <c:pt idx="0">
                  <c:v>164000</c:v>
                </c:pt>
                <c:pt idx="1">
                  <c:v>119000</c:v>
                </c:pt>
                <c:pt idx="2">
                  <c:v>294000</c:v>
                </c:pt>
                <c:pt idx="3">
                  <c:v>1940000</c:v>
                </c:pt>
                <c:pt idx="4">
                  <c:v>3495000</c:v>
                </c:pt>
                <c:pt idx="5">
                  <c:v>1194000</c:v>
                </c:pt>
                <c:pt idx="6">
                  <c:v>4400000</c:v>
                </c:pt>
                <c:pt idx="7">
                  <c:v>455000</c:v>
                </c:pt>
                <c:pt idx="8">
                  <c:v>455000</c:v>
                </c:pt>
              </c:numCache>
            </c:numRef>
          </c:val>
          <c:extLst>
            <c:ext xmlns:c16="http://schemas.microsoft.com/office/drawing/2014/chart" uri="{C3380CC4-5D6E-409C-BE32-E72D297353CC}">
              <c16:uniqueId val="{00000009-46D5-4177-8448-A786C394C603}"/>
            </c:ext>
          </c:extLst>
        </c:ser>
        <c:dLbls>
          <c:showLegendKey val="0"/>
          <c:showVal val="0"/>
          <c:showCatName val="0"/>
          <c:showSerName val="0"/>
          <c:showPercent val="0"/>
          <c:showBubbleSize val="0"/>
        </c:dLbls>
        <c:gapWidth val="247"/>
        <c:axId val="628772952"/>
        <c:axId val="628785416"/>
      </c:barChart>
      <c:lineChart>
        <c:grouping val="stacked"/>
        <c:varyColors val="0"/>
        <c:ser>
          <c:idx val="1"/>
          <c:order val="1"/>
          <c:tx>
            <c:strRef>
              <c:f>[21]Sheet2!$B$6:$D$6</c:f>
              <c:strCache>
                <c:ptCount val="1"/>
                <c:pt idx="0">
                  <c:v>Freeze Assets completed</c:v>
                </c:pt>
              </c:strCache>
            </c:strRef>
          </c:tx>
          <c:spPr>
            <a:ln w="22225" cap="rnd">
              <a:solidFill>
                <a:schemeClr val="accent2">
                  <a:tint val="77000"/>
                </a:schemeClr>
              </a:solidFill>
              <a:round/>
            </a:ln>
            <a:effectLst/>
          </c:spPr>
          <c:marker>
            <c:symbol val="none"/>
          </c:marker>
          <c:dLbls>
            <c:dLbl>
              <c:idx val="0"/>
              <c:layout>
                <c:manualLayout>
                  <c:x val="-1.3482209481475285E-2"/>
                  <c:y val="-3.52010565860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D5-4177-8448-A786C394C603}"/>
                </c:ext>
              </c:extLst>
            </c:dLbl>
            <c:dLbl>
              <c:idx val="1"/>
              <c:layout>
                <c:manualLayout>
                  <c:x val="-2.2919756118507984E-2"/>
                  <c:y val="-4.4001320732556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D5-4177-8448-A786C394C603}"/>
                </c:ext>
              </c:extLst>
            </c:dLbl>
            <c:dLbl>
              <c:idx val="2"/>
              <c:layout>
                <c:manualLayout>
                  <c:x val="-1.617865137777039E-2"/>
                  <c:y val="-3.9601188659300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D5-4177-8448-A786C394C603}"/>
                </c:ext>
              </c:extLst>
            </c:dLbl>
            <c:dLbl>
              <c:idx val="3"/>
              <c:layout>
                <c:manualLayout>
                  <c:x val="-2.2919756118508033E-2"/>
                  <c:y val="-3.9601188659300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D5-4177-8448-A786C394C603}"/>
                </c:ext>
              </c:extLst>
            </c:dLbl>
            <c:dLbl>
              <c:idx val="4"/>
              <c:layout>
                <c:manualLayout>
                  <c:x val="-1.6178651377770342E-2"/>
                  <c:y val="-4.4001320732556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D5-4177-8448-A786C394C603}"/>
                </c:ext>
              </c:extLst>
            </c:dLbl>
            <c:dLbl>
              <c:idx val="5"/>
              <c:layout>
                <c:manualLayout>
                  <c:x val="-1.8875093274065398E-2"/>
                  <c:y val="-3.9601188659300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D5-4177-8448-A786C394C603}"/>
                </c:ext>
              </c:extLst>
            </c:dLbl>
            <c:dLbl>
              <c:idx val="7"/>
              <c:layout>
                <c:manualLayout>
                  <c:x val="-1.2133988533327757E-2"/>
                  <c:y val="-3.9601188659300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D5-4177-8448-A786C394C603}"/>
                </c:ext>
              </c:extLst>
            </c:dLbl>
            <c:dLbl>
              <c:idx val="8"/>
              <c:layout>
                <c:manualLayout>
                  <c:x val="-2.7193616524135749E-2"/>
                  <c:y val="-4.3314622955454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D5-4177-8448-A786C394C603}"/>
                </c:ext>
              </c:extLst>
            </c:dLbl>
            <c:spPr>
              <a:noFill/>
              <a:ln>
                <a:solidFill>
                  <a:schemeClr val="accent2">
                    <a:lumMod val="7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[21]Sheet2!$E$4:$M$4</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[21]Sheet2!$E$6:$M$6</c:f>
              <c:numCache>
                <c:formatCode>General</c:formatCode>
                <c:ptCount val="9"/>
                <c:pt idx="0">
                  <c:v>318</c:v>
                </c:pt>
                <c:pt idx="1">
                  <c:v>276</c:v>
                </c:pt>
                <c:pt idx="2">
                  <c:v>363</c:v>
                </c:pt>
                <c:pt idx="3">
                  <c:v>342</c:v>
                </c:pt>
                <c:pt idx="4">
                  <c:v>326</c:v>
                </c:pt>
                <c:pt idx="5">
                  <c:v>377</c:v>
                </c:pt>
                <c:pt idx="6">
                  <c:v>324</c:v>
                </c:pt>
                <c:pt idx="7">
                  <c:v>273</c:v>
                </c:pt>
                <c:pt idx="8">
                  <c:v>326</c:v>
                </c:pt>
              </c:numCache>
            </c:numRef>
          </c:val>
          <c:smooth val="0"/>
          <c:extLst>
            <c:ext xmlns:c16="http://schemas.microsoft.com/office/drawing/2014/chart" uri="{C3380CC4-5D6E-409C-BE32-E72D297353CC}">
              <c16:uniqueId val="{00000012-46D5-4177-8448-A786C394C603}"/>
            </c:ext>
          </c:extLst>
        </c:ser>
        <c:dLbls>
          <c:showLegendKey val="0"/>
          <c:showVal val="0"/>
          <c:showCatName val="0"/>
          <c:showSerName val="0"/>
          <c:showPercent val="0"/>
          <c:showBubbleSize val="0"/>
        </c:dLbls>
        <c:marker val="1"/>
        <c:smooth val="0"/>
        <c:axId val="628782792"/>
        <c:axId val="628774264"/>
      </c:lineChart>
      <c:catAx>
        <c:axId val="6287729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en-US"/>
          </a:p>
        </c:txPr>
        <c:crossAx val="628785416"/>
        <c:crossesAt val="0"/>
        <c:auto val="1"/>
        <c:lblAlgn val="ctr"/>
        <c:lblOffset val="100"/>
        <c:noMultiLvlLbl val="0"/>
      </c:catAx>
      <c:valAx>
        <c:axId val="62878541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8772952"/>
        <c:crosses val="autoZero"/>
        <c:crossBetween val="between"/>
      </c:valAx>
      <c:valAx>
        <c:axId val="62877426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8782792"/>
        <c:crosses val="max"/>
        <c:crossBetween val="between"/>
      </c:valAx>
      <c:catAx>
        <c:axId val="628782792"/>
        <c:scaling>
          <c:orientation val="minMax"/>
        </c:scaling>
        <c:delete val="1"/>
        <c:axPos val="b"/>
        <c:numFmt formatCode="General" sourceLinked="1"/>
        <c:majorTickMark val="out"/>
        <c:minorTickMark val="none"/>
        <c:tickLblPos val="nextTo"/>
        <c:crossAx val="628774264"/>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layout>
        <c:manualLayout>
          <c:xMode val="edge"/>
          <c:yMode val="edge"/>
          <c:x val="0.2480219134083235"/>
          <c:y val="0.8985191496139896"/>
          <c:w val="0.5364784608596328"/>
          <c:h val="7.486305985125475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950656352978"/>
          <c:y val="5.8217341962050265E-2"/>
          <c:w val="0.81338121398778374"/>
          <c:h val="0.60503093849020173"/>
        </c:manualLayout>
      </c:layout>
      <c:barChart>
        <c:barDir val="col"/>
        <c:grouping val="clustered"/>
        <c:varyColors val="0"/>
        <c:ser>
          <c:idx val="1"/>
          <c:order val="0"/>
          <c:tx>
            <c:strRef>
              <c:f>'Inmates '!$D$9</c:f>
              <c:strCache>
                <c:ptCount val="1"/>
                <c:pt idx="0">
                  <c:v>Sentenced Offenders</c:v>
                </c:pt>
              </c:strCache>
            </c:strRef>
          </c:tx>
          <c:spPr>
            <a:solidFill>
              <a:srgbClr val="FCD5B5"/>
            </a:solidFill>
            <a:ln w="12700">
              <a:noFill/>
              <a:prstDash val="solid"/>
            </a:ln>
          </c:spPr>
          <c:invertIfNegative val="0"/>
          <c:cat>
            <c:strRef>
              <c:f>'Inmates '!$E$8:$AB$8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'Inmates '!$E$9:$AB$9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113339</c:v>
                </c:pt>
                <c:pt idx="17">
                  <c:v>113044</c:v>
                </c:pt>
                <c:pt idx="18">
                  <c:v>104878</c:v>
                </c:pt>
                <c:pt idx="19">
                  <c:v>107696</c:v>
                </c:pt>
                <c:pt idx="20">
                  <c:v>115064</c:v>
                </c:pt>
                <c:pt idx="21">
                  <c:v>116727</c:v>
                </c:pt>
                <c:pt idx="22">
                  <c:v>117255</c:v>
                </c:pt>
                <c:pt idx="23">
                  <c:v>117878</c:v>
                </c:pt>
              </c:numCache>
            </c:numRef>
          </c:val>
          <c:extLst>
            <c:ext xmlns:c16="http://schemas.microsoft.com/office/drawing/2014/chart" uri="{C3380CC4-5D6E-409C-BE32-E72D297353CC}">
              <c16:uniqueId val="{00000000-5534-4CE5-AF83-22F95E467BCF}"/>
            </c:ext>
          </c:extLst>
        </c:ser>
        <c:ser>
          <c:idx val="0"/>
          <c:order val="1"/>
          <c:tx>
            <c:strRef>
              <c:f>'Inmates '!$D$10</c:f>
              <c:strCache>
                <c:ptCount val="1"/>
                <c:pt idx="0">
                  <c:v>Unsentenced Inmates</c:v>
                </c:pt>
              </c:strCache>
            </c:strRef>
          </c:tx>
          <c:spPr>
            <a:solidFill>
              <a:srgbClr val="F8A662"/>
            </a:solidFill>
            <a:ln w="28575">
              <a:noFill/>
              <a:prstDash val="solid"/>
            </a:ln>
          </c:spPr>
          <c:invertIfNegative val="0"/>
          <c:cat>
            <c:strRef>
              <c:f>'Inmates '!$E$8:$AB$8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'Inmates '!$E$10:$AB$10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47757</c:v>
                </c:pt>
                <c:pt idx="17">
                  <c:v>45898</c:v>
                </c:pt>
                <c:pt idx="18">
                  <c:v>45730</c:v>
                </c:pt>
                <c:pt idx="19">
                  <c:v>44858</c:v>
                </c:pt>
                <c:pt idx="20">
                  <c:v>42077</c:v>
                </c:pt>
                <c:pt idx="21">
                  <c:v>45257</c:v>
                </c:pt>
                <c:pt idx="22">
                  <c:v>43799</c:v>
                </c:pt>
                <c:pt idx="23">
                  <c:v>42705</c:v>
                </c:pt>
              </c:numCache>
            </c:numRef>
          </c:val>
          <c:extLst>
            <c:ext xmlns:c16="http://schemas.microsoft.com/office/drawing/2014/chart" uri="{C3380CC4-5D6E-409C-BE32-E72D297353CC}">
              <c16:uniqueId val="{00000001-5534-4CE5-AF83-22F95E467BCF}"/>
            </c:ext>
          </c:extLst>
        </c:ser>
        <c:dLbls>
          <c:showLegendKey val="0"/>
          <c:showVal val="0"/>
          <c:showCatName val="0"/>
          <c:showSerName val="0"/>
          <c:showPercent val="0"/>
          <c:showBubbleSize val="0"/>
        </c:dLbls>
        <c:gapWidth val="150"/>
        <c:axId val="139525120"/>
        <c:axId val="139342592"/>
      </c:barChart>
      <c:lineChart>
        <c:grouping val="standard"/>
        <c:varyColors val="0"/>
        <c:ser>
          <c:idx val="4"/>
          <c:order val="4"/>
          <c:tx>
            <c:strRef>
              <c:f>Inmates!#REF!</c:f>
              <c:strCache>
                <c:ptCount val="1"/>
                <c:pt idx="0">
                  <c:v>#REF!</c:v>
                </c:pt>
              </c:strCache>
            </c:strRef>
          </c:tx>
          <c:spPr>
            <a:ln>
              <a:solidFill>
                <a:srgbClr val="FF6600"/>
              </a:solidFill>
            </a:ln>
          </c:spPr>
          <c:marker>
            <c:symbol val="none"/>
          </c:marker>
          <c:cat>
            <c:strRef>
              <c:f>'Inmates '!$E$8:$Y$8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Inmates!#REF!</c:f>
              <c:numCache>
                <c:formatCode>General</c:formatCode>
                <c:ptCount val="1"/>
                <c:pt idx="0">
                  <c:v>1</c:v>
                </c:pt>
              </c:numCache>
            </c:numRef>
          </c:val>
          <c:smooth val="0"/>
          <c:extLst>
            <c:ext xmlns:c16="http://schemas.microsoft.com/office/drawing/2014/chart" uri="{C3380CC4-5D6E-409C-BE32-E72D297353CC}">
              <c16:uniqueId val="{00000002-5534-4CE5-AF83-22F95E467BCF}"/>
            </c:ext>
          </c:extLst>
        </c:ser>
        <c:dLbls>
          <c:showLegendKey val="0"/>
          <c:showVal val="0"/>
          <c:showCatName val="0"/>
          <c:showSerName val="0"/>
          <c:showPercent val="0"/>
          <c:showBubbleSize val="0"/>
        </c:dLbls>
        <c:marker val="1"/>
        <c:smooth val="0"/>
        <c:axId val="139525120"/>
        <c:axId val="139342592"/>
      </c:lineChart>
      <c:lineChart>
        <c:grouping val="standard"/>
        <c:varyColors val="0"/>
        <c:ser>
          <c:idx val="2"/>
          <c:order val="2"/>
          <c:tx>
            <c:strRef>
              <c:f>Inmates!#REF!</c:f>
              <c:strCache>
                <c:ptCount val="1"/>
                <c:pt idx="0">
                  <c:v>#REF!</c:v>
                </c:pt>
              </c:strCache>
            </c:strRef>
          </c:tx>
          <c:spPr>
            <a:ln>
              <a:solidFill>
                <a:srgbClr val="BE4B48"/>
              </a:solidFill>
            </a:ln>
          </c:spPr>
          <c:marker>
            <c:symbol val="none"/>
          </c:marker>
          <c:cat>
            <c:strRef>
              <c:f>'Inmates '!$E$8:$AB$8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Inmates!#REF!</c:f>
              <c:numCache>
                <c:formatCode>General</c:formatCode>
                <c:ptCount val="1"/>
                <c:pt idx="0">
                  <c:v>1</c:v>
                </c:pt>
              </c:numCache>
            </c:numRef>
          </c:val>
          <c:smooth val="0"/>
          <c:extLst>
            <c:ext xmlns:c16="http://schemas.microsoft.com/office/drawing/2014/chart" uri="{C3380CC4-5D6E-409C-BE32-E72D297353CC}">
              <c16:uniqueId val="{00000003-5534-4CE5-AF83-22F95E467BCF}"/>
            </c:ext>
          </c:extLst>
        </c:ser>
        <c:ser>
          <c:idx val="3"/>
          <c:order val="3"/>
          <c:tx>
            <c:strRef>
              <c:f>Inmates!#REF!</c:f>
              <c:strCache>
                <c:ptCount val="1"/>
                <c:pt idx="0">
                  <c:v>#REF!</c:v>
                </c:pt>
              </c:strCache>
            </c:strRef>
          </c:tx>
          <c:spPr>
            <a:ln>
              <a:solidFill>
                <a:srgbClr val="FFC000"/>
              </a:solidFill>
            </a:ln>
          </c:spPr>
          <c:marker>
            <c:symbol val="none"/>
          </c:marker>
          <c:cat>
            <c:strRef>
              <c:f>'Inmates '!$E$8:$AB$8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Inmates!#REF!</c:f>
              <c:numCache>
                <c:formatCode>General</c:formatCode>
                <c:ptCount val="1"/>
                <c:pt idx="0">
                  <c:v>1</c:v>
                </c:pt>
              </c:numCache>
            </c:numRef>
          </c:val>
          <c:smooth val="0"/>
          <c:extLst>
            <c:ext xmlns:c16="http://schemas.microsoft.com/office/drawing/2014/chart" uri="{C3380CC4-5D6E-409C-BE32-E72D297353CC}">
              <c16:uniqueId val="{00000004-5534-4CE5-AF83-22F95E467BCF}"/>
            </c:ext>
          </c:extLst>
        </c:ser>
        <c:ser>
          <c:idx val="5"/>
          <c:order val="5"/>
          <c:tx>
            <c:strRef>
              <c:f>Inmates!#REF!</c:f>
              <c:strCache>
                <c:ptCount val="1"/>
                <c:pt idx="0">
                  <c:v>#REF!</c:v>
                </c:pt>
              </c:strCache>
            </c:strRef>
          </c:tx>
          <c:spPr>
            <a:ln>
              <a:solidFill>
                <a:srgbClr val="00B050"/>
              </a:solidFill>
            </a:ln>
          </c:spPr>
          <c:marker>
            <c:symbol val="none"/>
          </c:marker>
          <c:cat>
            <c:strRef>
              <c:f>'Inmates '!$E$8:$AB$8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Inmates!#REF!</c:f>
              <c:numCache>
                <c:formatCode>General</c:formatCode>
                <c:ptCount val="1"/>
                <c:pt idx="0">
                  <c:v>1</c:v>
                </c:pt>
              </c:numCache>
            </c:numRef>
          </c:val>
          <c:smooth val="0"/>
          <c:extLst>
            <c:ext xmlns:c16="http://schemas.microsoft.com/office/drawing/2014/chart" uri="{C3380CC4-5D6E-409C-BE32-E72D297353CC}">
              <c16:uniqueId val="{00000005-5534-4CE5-AF83-22F95E467BCF}"/>
            </c:ext>
          </c:extLst>
        </c:ser>
        <c:dLbls>
          <c:showLegendKey val="0"/>
          <c:showVal val="0"/>
          <c:showCatName val="0"/>
          <c:showSerName val="0"/>
          <c:showPercent val="0"/>
          <c:showBubbleSize val="0"/>
        </c:dLbls>
        <c:marker val="1"/>
        <c:smooth val="0"/>
        <c:axId val="139346304"/>
        <c:axId val="139344512"/>
      </c:lineChart>
      <c:catAx>
        <c:axId val="13952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9342592"/>
        <c:crosses val="autoZero"/>
        <c:auto val="0"/>
        <c:lblAlgn val="ctr"/>
        <c:lblOffset val="100"/>
        <c:tickLblSkip val="1"/>
        <c:tickMarkSkip val="1"/>
        <c:noMultiLvlLbl val="0"/>
      </c:catAx>
      <c:valAx>
        <c:axId val="13934259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525120"/>
        <c:crosses val="autoZero"/>
        <c:crossBetween val="between"/>
        <c:majorUnit val="20500"/>
      </c:valAx>
      <c:valAx>
        <c:axId val="139344512"/>
        <c:scaling>
          <c:orientation val="minMax"/>
        </c:scaling>
        <c:delete val="0"/>
        <c:axPos val="r"/>
        <c:numFmt formatCode="General" sourceLinked="1"/>
        <c:majorTickMark val="out"/>
        <c:minorTickMark val="none"/>
        <c:tickLblPos val="nextTo"/>
        <c:crossAx val="139346304"/>
        <c:crosses val="max"/>
        <c:crossBetween val="between"/>
      </c:valAx>
      <c:catAx>
        <c:axId val="139346304"/>
        <c:scaling>
          <c:orientation val="minMax"/>
        </c:scaling>
        <c:delete val="1"/>
        <c:axPos val="b"/>
        <c:numFmt formatCode="General" sourceLinked="1"/>
        <c:majorTickMark val="out"/>
        <c:minorTickMark val="none"/>
        <c:tickLblPos val="nextTo"/>
        <c:crossAx val="139344512"/>
        <c:crosses val="autoZero"/>
        <c:auto val="0"/>
        <c:lblAlgn val="ctr"/>
        <c:lblOffset val="100"/>
        <c:noMultiLvlLbl val="0"/>
      </c:catAx>
      <c:spPr>
        <a:solidFill>
          <a:srgbClr val="FFFFFF"/>
        </a:solidFill>
        <a:ln w="25400">
          <a:noFill/>
        </a:ln>
      </c:spPr>
    </c:plotArea>
    <c:legend>
      <c:legendPos val="b"/>
      <c:layout>
        <c:manualLayout>
          <c:xMode val="edge"/>
          <c:yMode val="edge"/>
          <c:x val="0.1637163564708774"/>
          <c:y val="0.7948584058571625"/>
          <c:w val="0.78535772224430211"/>
          <c:h val="4.8817809690887087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ZA">
                <a:solidFill>
                  <a:schemeClr val="tx1"/>
                </a:solidFill>
              </a:rPr>
              <a:t>Sentenced population</a:t>
            </a:r>
          </a:p>
        </c:rich>
      </c:tx>
      <c:layout>
        <c:manualLayout>
          <c:xMode val="edge"/>
          <c:yMode val="edge"/>
          <c:x val="0.43393876309784762"/>
          <c:y val="6.606409604662528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1946298314576922E-2"/>
          <c:y val="0.18779743294741991"/>
          <c:w val="0.94083490223980304"/>
          <c:h val="0.58831974484202132"/>
        </c:manualLayout>
      </c:layout>
      <c:barChart>
        <c:barDir val="col"/>
        <c:grouping val="clustered"/>
        <c:varyColors val="0"/>
        <c:ser>
          <c:idx val="0"/>
          <c:order val="0"/>
          <c:tx>
            <c:strRef>
              <c:f>'Inmates '!$D$9</c:f>
              <c:strCache>
                <c:ptCount val="1"/>
                <c:pt idx="0">
                  <c:v>Sentenced Offenders</c:v>
                </c:pt>
              </c:strCache>
            </c:strRef>
          </c:tx>
          <c:spPr>
            <a:solidFill>
              <a:schemeClr val="accent1"/>
            </a:solidFill>
            <a:ln>
              <a:noFill/>
            </a:ln>
            <a:effectLst/>
          </c:spPr>
          <c:invertIfNegative val="0"/>
          <c:cat>
            <c:strRef>
              <c:f>'Inmates '!$E$8:$AD$8</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'Inmates '!$E$9:$AD$9</c:f>
              <c:numCache>
                <c:formatCode>#\ ###\ ###</c:formatCode>
                <c:ptCount val="26"/>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113339</c:v>
                </c:pt>
                <c:pt idx="17">
                  <c:v>113044</c:v>
                </c:pt>
                <c:pt idx="18">
                  <c:v>104878</c:v>
                </c:pt>
                <c:pt idx="19">
                  <c:v>107696</c:v>
                </c:pt>
                <c:pt idx="20">
                  <c:v>115064</c:v>
                </c:pt>
                <c:pt idx="21">
                  <c:v>116727</c:v>
                </c:pt>
                <c:pt idx="22">
                  <c:v>117255</c:v>
                </c:pt>
                <c:pt idx="23">
                  <c:v>117878</c:v>
                </c:pt>
                <c:pt idx="24">
                  <c:v>115147</c:v>
                </c:pt>
                <c:pt idx="25">
                  <c:v>102841</c:v>
                </c:pt>
              </c:numCache>
            </c:numRef>
          </c:val>
          <c:extLst>
            <c:ext xmlns:c16="http://schemas.microsoft.com/office/drawing/2014/chart" uri="{C3380CC4-5D6E-409C-BE32-E72D297353CC}">
              <c16:uniqueId val="{00000000-21F6-41D6-B1BC-AA9CF67915A9}"/>
            </c:ext>
          </c:extLst>
        </c:ser>
        <c:dLbls>
          <c:showLegendKey val="0"/>
          <c:showVal val="0"/>
          <c:showCatName val="0"/>
          <c:showSerName val="0"/>
          <c:showPercent val="0"/>
          <c:showBubbleSize val="0"/>
        </c:dLbls>
        <c:gapWidth val="219"/>
        <c:axId val="139376128"/>
        <c:axId val="139377664"/>
      </c:barChart>
      <c:lineChart>
        <c:grouping val="standard"/>
        <c:varyColors val="0"/>
        <c:ser>
          <c:idx val="1"/>
          <c:order val="1"/>
          <c:tx>
            <c:strRef>
              <c:f>'Inmates '!$D$10</c:f>
              <c:strCache>
                <c:ptCount val="1"/>
                <c:pt idx="0">
                  <c:v>Unsentenced Inmates</c:v>
                </c:pt>
              </c:strCache>
            </c:strRef>
          </c:tx>
          <c:spPr>
            <a:ln w="28575" cap="rnd">
              <a:solidFill>
                <a:schemeClr val="accent2"/>
              </a:solidFill>
              <a:round/>
            </a:ln>
            <a:effectLst/>
          </c:spPr>
          <c:marker>
            <c:symbol val="none"/>
          </c:marker>
          <c:cat>
            <c:strRef>
              <c:f>'Inmates '!$E$8:$AD$8</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'Inmates '!$E$10:$AD$10</c:f>
              <c:numCache>
                <c:formatCode>#\ ###\ ###</c:formatCode>
                <c:ptCount val="26"/>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47757</c:v>
                </c:pt>
                <c:pt idx="17">
                  <c:v>45898</c:v>
                </c:pt>
                <c:pt idx="18">
                  <c:v>45730</c:v>
                </c:pt>
                <c:pt idx="19">
                  <c:v>44858</c:v>
                </c:pt>
                <c:pt idx="20">
                  <c:v>42077</c:v>
                </c:pt>
                <c:pt idx="21">
                  <c:v>45257</c:v>
                </c:pt>
                <c:pt idx="22">
                  <c:v>43799</c:v>
                </c:pt>
                <c:pt idx="23">
                  <c:v>42705</c:v>
                </c:pt>
                <c:pt idx="24">
                  <c:v>47728</c:v>
                </c:pt>
                <c:pt idx="25">
                  <c:v>51596</c:v>
                </c:pt>
              </c:numCache>
            </c:numRef>
          </c:val>
          <c:smooth val="0"/>
          <c:extLst>
            <c:ext xmlns:c16="http://schemas.microsoft.com/office/drawing/2014/chart" uri="{C3380CC4-5D6E-409C-BE32-E72D297353CC}">
              <c16:uniqueId val="{00000001-21F6-41D6-B1BC-AA9CF67915A9}"/>
            </c:ext>
          </c:extLst>
        </c:ser>
        <c:dLbls>
          <c:showLegendKey val="0"/>
          <c:showVal val="0"/>
          <c:showCatName val="0"/>
          <c:showSerName val="0"/>
          <c:showPercent val="0"/>
          <c:showBubbleSize val="0"/>
        </c:dLbls>
        <c:marker val="1"/>
        <c:smooth val="0"/>
        <c:axId val="139376128"/>
        <c:axId val="139377664"/>
      </c:lineChart>
      <c:catAx>
        <c:axId val="1393761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9377664"/>
        <c:crosses val="autoZero"/>
        <c:auto val="1"/>
        <c:lblAlgn val="ctr"/>
        <c:lblOffset val="100"/>
        <c:noMultiLvlLbl val="0"/>
      </c:catAx>
      <c:valAx>
        <c:axId val="139377664"/>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9376128"/>
        <c:crosses val="autoZero"/>
        <c:crossBetween val="between"/>
      </c:valAx>
      <c:spPr>
        <a:noFill/>
        <a:ln>
          <a:noFill/>
        </a:ln>
        <a:effectLst/>
      </c:spPr>
    </c:plotArea>
    <c:legend>
      <c:legendPos val="b"/>
      <c:layout>
        <c:manualLayout>
          <c:xMode val="edge"/>
          <c:yMode val="edge"/>
          <c:x val="0.37880025166531367"/>
          <c:y val="0.86657706193602912"/>
          <c:w val="0.24239941914802174"/>
          <c:h val="0.10830812513636816"/>
        </c:manualLayout>
      </c:layout>
      <c:overlay val="0"/>
      <c:spPr>
        <a:noFill/>
        <a:ln>
          <a:noFill/>
        </a:ln>
        <a:effectLst/>
      </c:spPr>
      <c:txPr>
        <a:bodyPr rot="0" spcFirstLastPara="1" vertOverflow="ellipsis" vert="horz" wrap="square" anchor="ctr" anchorCtr="1"/>
        <a:lstStyle/>
        <a:p>
          <a:pPr>
            <a:defRPr sz="92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80688071533"/>
          <c:y val="8.4372824003042496E-2"/>
          <c:w val="0.86075258125172305"/>
          <c:h val="0.53860874295656203"/>
        </c:manualLayout>
      </c:layout>
      <c:lineChart>
        <c:grouping val="standard"/>
        <c:varyColors val="0"/>
        <c:ser>
          <c:idx val="1"/>
          <c:order val="0"/>
          <c:tx>
            <c:strRef>
              <c:f>'Rehabilitation  '!$D$9</c:f>
              <c:strCache>
                <c:ptCount val="1"/>
                <c:pt idx="0">
                  <c:v>Correctional Programmes</c:v>
                </c:pt>
              </c:strCache>
            </c:strRef>
          </c:tx>
          <c:spPr>
            <a:ln w="28575">
              <a:solidFill>
                <a:srgbClr val="FF0000"/>
              </a:solidFill>
            </a:ln>
          </c:spPr>
          <c:marker>
            <c:symbol val="none"/>
          </c:marker>
          <c:cat>
            <c:strRef>
              <c:f>'Rehabilitation  '!$E$8:$AC$8</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'Rehabilitation  '!$E$9:$AC$9</c:f>
              <c:numCache>
                <c:formatCode>General</c:formatCode>
                <c:ptCount val="25"/>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pt idx="20" formatCode="#\ ##0">
                  <c:v>75595</c:v>
                </c:pt>
                <c:pt idx="21" formatCode="#\ ##0">
                  <c:v>80960</c:v>
                </c:pt>
                <c:pt idx="22" formatCode="#\ ##0">
                  <c:v>86518</c:v>
                </c:pt>
                <c:pt idx="23" formatCode="#\ ##0">
                  <c:v>93419</c:v>
                </c:pt>
                <c:pt idx="24" formatCode="#\ ##0">
                  <c:v>94694</c:v>
                </c:pt>
              </c:numCache>
            </c:numRef>
          </c:val>
          <c:smooth val="0"/>
          <c:extLst>
            <c:ext xmlns:c16="http://schemas.microsoft.com/office/drawing/2014/chart" uri="{C3380CC4-5D6E-409C-BE32-E72D297353CC}">
              <c16:uniqueId val="{00000000-AE3A-45F9-A95C-4EDAFE6C9DF2}"/>
            </c:ext>
          </c:extLst>
        </c:ser>
        <c:ser>
          <c:idx val="2"/>
          <c:order val="1"/>
          <c:tx>
            <c:strRef>
              <c:f>'Rehabilitation  '!$D$10</c:f>
              <c:strCache>
                <c:ptCount val="1"/>
                <c:pt idx="0">
                  <c:v>Development Programmes</c:v>
                </c:pt>
              </c:strCache>
            </c:strRef>
          </c:tx>
          <c:spPr>
            <a:ln w="28575">
              <a:solidFill>
                <a:srgbClr val="C0504D"/>
              </a:solidFill>
            </a:ln>
          </c:spPr>
          <c:marker>
            <c:symbol val="none"/>
          </c:marker>
          <c:cat>
            <c:strRef>
              <c:f>'Rehabilitation  '!$E$8:$AC$8</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'Rehabilitation  '!$E$10:$AC$10</c:f>
              <c:numCache>
                <c:formatCode>#\ ##0</c:formatCode>
                <c:ptCount val="25"/>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28033</c:v>
                </c:pt>
                <c:pt idx="20">
                  <c:v>26499</c:v>
                </c:pt>
                <c:pt idx="21">
                  <c:v>24171</c:v>
                </c:pt>
                <c:pt idx="22">
                  <c:v>25573</c:v>
                </c:pt>
                <c:pt idx="23">
                  <c:v>104227</c:v>
                </c:pt>
                <c:pt idx="24">
                  <c:v>42113</c:v>
                </c:pt>
              </c:numCache>
            </c:numRef>
          </c:val>
          <c:smooth val="0"/>
          <c:extLst>
            <c:ext xmlns:c16="http://schemas.microsoft.com/office/drawing/2014/chart" uri="{C3380CC4-5D6E-409C-BE32-E72D297353CC}">
              <c16:uniqueId val="{00000001-AE3A-45F9-A95C-4EDAFE6C9DF2}"/>
            </c:ext>
          </c:extLst>
        </c:ser>
        <c:ser>
          <c:idx val="3"/>
          <c:order val="2"/>
          <c:tx>
            <c:strRef>
              <c:f>'Rehabilitation  '!$D$15</c:f>
              <c:strCache>
                <c:ptCount val="1"/>
                <c:pt idx="0">
                  <c:v>Psychological Services</c:v>
                </c:pt>
              </c:strCache>
            </c:strRef>
          </c:tx>
          <c:spPr>
            <a:ln w="28575">
              <a:solidFill>
                <a:srgbClr val="FFC000"/>
              </a:solidFill>
            </a:ln>
          </c:spPr>
          <c:marker>
            <c:symbol val="none"/>
          </c:marker>
          <c:cat>
            <c:strRef>
              <c:f>'Rehabilitation  '!$E$8:$AC$8</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'Rehabilitation  '!$E$15:$AC$15</c:f>
              <c:numCache>
                <c:formatCode>###\ ###\ ###</c:formatCode>
                <c:ptCount val="25"/>
                <c:pt idx="12">
                  <c:v>157444</c:v>
                </c:pt>
                <c:pt idx="13">
                  <c:v>9073</c:v>
                </c:pt>
                <c:pt idx="17">
                  <c:v>20865</c:v>
                </c:pt>
                <c:pt idx="18">
                  <c:v>21120</c:v>
                </c:pt>
                <c:pt idx="19">
                  <c:v>23565</c:v>
                </c:pt>
                <c:pt idx="20">
                  <c:v>32523</c:v>
                </c:pt>
                <c:pt idx="21">
                  <c:v>36014</c:v>
                </c:pt>
                <c:pt idx="22">
                  <c:v>39407</c:v>
                </c:pt>
                <c:pt idx="23">
                  <c:v>45331</c:v>
                </c:pt>
                <c:pt idx="24">
                  <c:v>46737</c:v>
                </c:pt>
              </c:numCache>
            </c:numRef>
          </c:val>
          <c:smooth val="0"/>
          <c:extLst>
            <c:ext xmlns:c16="http://schemas.microsoft.com/office/drawing/2014/chart" uri="{C3380CC4-5D6E-409C-BE32-E72D297353CC}">
              <c16:uniqueId val="{00000002-AE3A-45F9-A95C-4EDAFE6C9DF2}"/>
            </c:ext>
          </c:extLst>
        </c:ser>
        <c:ser>
          <c:idx val="4"/>
          <c:order val="3"/>
          <c:tx>
            <c:strRef>
              <c:f>'Rehabilitation  '!$D$16</c:f>
              <c:strCache>
                <c:ptCount val="1"/>
                <c:pt idx="0">
                  <c:v>Social work</c:v>
                </c:pt>
              </c:strCache>
            </c:strRef>
          </c:tx>
          <c:spPr>
            <a:ln w="28575">
              <a:solidFill>
                <a:srgbClr val="00B050"/>
              </a:solidFill>
            </a:ln>
          </c:spPr>
          <c:marker>
            <c:symbol val="none"/>
          </c:marker>
          <c:trendline>
            <c:spPr>
              <a:ln w="28575"/>
            </c:spPr>
            <c:trendlineType val="linear"/>
            <c:dispRSqr val="0"/>
            <c:dispEq val="0"/>
          </c:trendline>
          <c:cat>
            <c:strRef>
              <c:f>'Rehabilitation  '!$E$8:$AC$8</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'Rehabilitation  '!$E$16:$AC$16</c:f>
              <c:numCache>
                <c:formatCode>###\ ###\ ###</c:formatCode>
                <c:ptCount val="25"/>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pt idx="20" formatCode="#\ ##0">
                  <c:v>91013</c:v>
                </c:pt>
                <c:pt idx="21" formatCode="#\ ##0">
                  <c:v>109690</c:v>
                </c:pt>
                <c:pt idx="22" formatCode="#\ ##0">
                  <c:v>108960</c:v>
                </c:pt>
                <c:pt idx="23" formatCode="#\ ##0">
                  <c:v>112611</c:v>
                </c:pt>
                <c:pt idx="24" formatCode="#\ ##0">
                  <c:v>112611</c:v>
                </c:pt>
              </c:numCache>
            </c:numRef>
          </c:val>
          <c:smooth val="0"/>
          <c:extLst>
            <c:ext xmlns:c16="http://schemas.microsoft.com/office/drawing/2014/chart" uri="{C3380CC4-5D6E-409C-BE32-E72D297353CC}">
              <c16:uniqueId val="{00000003-AE3A-45F9-A95C-4EDAFE6C9DF2}"/>
            </c:ext>
          </c:extLst>
        </c:ser>
        <c:ser>
          <c:idx val="5"/>
          <c:order val="4"/>
          <c:tx>
            <c:strRef>
              <c:f>'Rehabilitation  '!$D$17</c:f>
              <c:strCache>
                <c:ptCount val="1"/>
                <c:pt idx="0">
                  <c:v>Spiritual care</c:v>
                </c:pt>
              </c:strCache>
            </c:strRef>
          </c:tx>
          <c:spPr>
            <a:ln w="28575">
              <a:solidFill>
                <a:srgbClr val="3D96AE"/>
              </a:solidFill>
            </a:ln>
          </c:spPr>
          <c:marker>
            <c:symbol val="none"/>
          </c:marker>
          <c:cat>
            <c:strRef>
              <c:f>'Rehabilitation  '!$E$8:$AC$8</c:f>
              <c:strCache>
                <c:ptCount val="25"/>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strCache>
            </c:strRef>
          </c:cat>
          <c:val>
            <c:numRef>
              <c:f>'Rehabilitation  '!$E$17:$AC$17</c:f>
              <c:numCache>
                <c:formatCode>###\ ###\ ###</c:formatCode>
                <c:ptCount val="25"/>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pt idx="20">
                  <c:v>134760</c:v>
                </c:pt>
                <c:pt idx="21">
                  <c:v>132364</c:v>
                </c:pt>
                <c:pt idx="22">
                  <c:v>143480</c:v>
                </c:pt>
                <c:pt idx="23">
                  <c:v>159259</c:v>
                </c:pt>
                <c:pt idx="24">
                  <c:v>159235</c:v>
                </c:pt>
              </c:numCache>
            </c:numRef>
          </c:val>
          <c:smooth val="0"/>
          <c:extLst>
            <c:ext xmlns:c16="http://schemas.microsoft.com/office/drawing/2014/chart" uri="{C3380CC4-5D6E-409C-BE32-E72D297353CC}">
              <c16:uniqueId val="{00000004-AE3A-45F9-A95C-4EDAFE6C9DF2}"/>
            </c:ext>
          </c:extLst>
        </c:ser>
        <c:dLbls>
          <c:showLegendKey val="0"/>
          <c:showVal val="0"/>
          <c:showCatName val="0"/>
          <c:showSerName val="0"/>
          <c:showPercent val="0"/>
          <c:showBubbleSize val="0"/>
        </c:dLbls>
        <c:smooth val="0"/>
        <c:axId val="139853184"/>
        <c:axId val="139740288"/>
      </c:lineChart>
      <c:catAx>
        <c:axId val="139853184"/>
        <c:scaling>
          <c:orientation val="minMax"/>
        </c:scaling>
        <c:delete val="0"/>
        <c:axPos val="b"/>
        <c:numFmt formatCode="General" sourceLinked="0"/>
        <c:majorTickMark val="out"/>
        <c:minorTickMark val="none"/>
        <c:tickLblPos val="nextTo"/>
        <c:spPr>
          <a:ln w="3175">
            <a:solidFill>
              <a:schemeClr val="tx1"/>
            </a:solidFill>
          </a:ln>
        </c:spPr>
        <c:txPr>
          <a:bodyPr rot="-5400000" vert="horz"/>
          <a:lstStyle/>
          <a:p>
            <a:pPr>
              <a:defRPr/>
            </a:pPr>
            <a:endParaRPr lang="en-US"/>
          </a:p>
        </c:txPr>
        <c:crossAx val="139740288"/>
        <c:crosses val="autoZero"/>
        <c:auto val="1"/>
        <c:lblAlgn val="ctr"/>
        <c:lblOffset val="100"/>
        <c:noMultiLvlLbl val="0"/>
      </c:catAx>
      <c:valAx>
        <c:axId val="139740288"/>
        <c:scaling>
          <c:orientation val="minMax"/>
        </c:scaling>
        <c:delete val="0"/>
        <c:axPos val="l"/>
        <c:majorGridlines>
          <c:spPr>
            <a:ln w="3175">
              <a:prstDash val="sysDash"/>
            </a:ln>
          </c:spPr>
        </c:majorGridlines>
        <c:title>
          <c:tx>
            <c:rich>
              <a:bodyPr/>
              <a:lstStyle/>
              <a:p>
                <a:pPr>
                  <a:defRPr sz="900" b="0"/>
                </a:pPr>
                <a:r>
                  <a:rPr lang="en-ZA" sz="900"/>
                  <a:t>Number</a:t>
                </a:r>
              </a:p>
            </c:rich>
          </c:tx>
          <c:layout>
            <c:manualLayout>
              <c:xMode val="edge"/>
              <c:yMode val="edge"/>
              <c:x val="5.6381811247952981E-2"/>
              <c:y val="0.26305744324249608"/>
            </c:manualLayout>
          </c:layout>
          <c:overlay val="0"/>
        </c:title>
        <c:numFmt formatCode="#\,##0" sourceLinked="0"/>
        <c:majorTickMark val="out"/>
        <c:minorTickMark val="none"/>
        <c:tickLblPos val="nextTo"/>
        <c:spPr>
          <a:ln w="3175">
            <a:solidFill>
              <a:schemeClr val="tx1"/>
            </a:solidFill>
          </a:ln>
        </c:spPr>
        <c:crossAx val="139853184"/>
        <c:crosses val="autoZero"/>
        <c:crossBetween val="between"/>
      </c:valAx>
    </c:plotArea>
    <c:legend>
      <c:legendPos val="b"/>
      <c:layout>
        <c:manualLayout>
          <c:xMode val="edge"/>
          <c:yMode val="edge"/>
          <c:x val="0.19548084265020754"/>
          <c:y val="0.78382899461952515"/>
          <c:w val="0.7402864350636259"/>
          <c:h val="0.11103370542417076"/>
        </c:manualLayout>
      </c:layout>
      <c:overlay val="0"/>
      <c:txPr>
        <a:bodyPr/>
        <a:lstStyle/>
        <a:p>
          <a:pPr>
            <a:defRPr sz="900"/>
          </a:pPr>
          <a:endParaRPr lang="en-US"/>
        </a:p>
      </c:txPr>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ZA"/>
              <a:t>Parolees violations</a:t>
            </a:r>
          </a:p>
        </c:rich>
      </c:tx>
      <c:layout>
        <c:manualLayout>
          <c:xMode val="edge"/>
          <c:yMode val="edge"/>
          <c:x val="0.47560856403472235"/>
          <c:y val="4.10958904109589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2265152902398831E-2"/>
          <c:y val="0.13631599328772429"/>
          <c:w val="0.94674826586719685"/>
          <c:h val="0.68515370510193074"/>
        </c:manualLayout>
      </c:layout>
      <c:barChart>
        <c:barDir val="col"/>
        <c:grouping val="clustered"/>
        <c:varyColors val="0"/>
        <c:ser>
          <c:idx val="0"/>
          <c:order val="0"/>
          <c:tx>
            <c:strRef>
              <c:f>'Parolees  '!$D$9:$E$9</c:f>
              <c:strCache>
                <c:ptCount val="2"/>
                <c:pt idx="0">
                  <c:v>Parolee Caseload</c:v>
                </c:pt>
              </c:strCache>
            </c:strRef>
          </c:tx>
          <c:spPr>
            <a:solidFill>
              <a:schemeClr val="accent1"/>
            </a:solidFill>
            <a:ln>
              <a:noFill/>
            </a:ln>
            <a:effectLst/>
          </c:spPr>
          <c:invertIfNegative val="0"/>
          <c:cat>
            <c:strRef>
              <c:f>'Parolees  '!$F$8:$AD$8</c:f>
              <c:strCache>
                <c:ptCount val="22"/>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strCache>
            </c:strRef>
          </c:cat>
          <c:val>
            <c:numRef>
              <c:f>'Parolees  '!$F$9:$AD$9</c:f>
              <c:numCache>
                <c:formatCode>###\ ###\ ###</c:formatCode>
                <c:ptCount val="22"/>
                <c:pt idx="0">
                  <c:v>17433</c:v>
                </c:pt>
                <c:pt idx="1">
                  <c:v>21159</c:v>
                </c:pt>
                <c:pt idx="2">
                  <c:v>22724</c:v>
                </c:pt>
                <c:pt idx="3">
                  <c:v>22280</c:v>
                </c:pt>
                <c:pt idx="4">
                  <c:v>21659</c:v>
                </c:pt>
                <c:pt idx="5">
                  <c:v>24954</c:v>
                </c:pt>
                <c:pt idx="6">
                  <c:v>31562</c:v>
                </c:pt>
                <c:pt idx="7">
                  <c:v>24387</c:v>
                </c:pt>
                <c:pt idx="8">
                  <c:v>25899</c:v>
                </c:pt>
                <c:pt idx="9">
                  <c:v>30914</c:v>
                </c:pt>
                <c:pt idx="10">
                  <c:v>34299</c:v>
                </c:pt>
                <c:pt idx="11">
                  <c:v>36862</c:v>
                </c:pt>
                <c:pt idx="12">
                  <c:v>42059</c:v>
                </c:pt>
                <c:pt idx="13">
                  <c:v>47095</c:v>
                </c:pt>
                <c:pt idx="14">
                  <c:v>46259</c:v>
                </c:pt>
                <c:pt idx="15">
                  <c:v>48703</c:v>
                </c:pt>
                <c:pt idx="16">
                  <c:v>50855</c:v>
                </c:pt>
                <c:pt idx="17">
                  <c:v>51937</c:v>
                </c:pt>
                <c:pt idx="18">
                  <c:v>51785</c:v>
                </c:pt>
                <c:pt idx="19">
                  <c:v>54225</c:v>
                </c:pt>
                <c:pt idx="20">
                  <c:v>55030</c:v>
                </c:pt>
                <c:pt idx="21">
                  <c:v>52745</c:v>
                </c:pt>
              </c:numCache>
            </c:numRef>
          </c:val>
          <c:extLst>
            <c:ext xmlns:c16="http://schemas.microsoft.com/office/drawing/2014/chart" uri="{C3380CC4-5D6E-409C-BE32-E72D297353CC}">
              <c16:uniqueId val="{00000000-C62D-40A2-8D5C-6B8529152B82}"/>
            </c:ext>
          </c:extLst>
        </c:ser>
        <c:dLbls>
          <c:showLegendKey val="0"/>
          <c:showVal val="0"/>
          <c:showCatName val="0"/>
          <c:showSerName val="0"/>
          <c:showPercent val="0"/>
          <c:showBubbleSize val="0"/>
        </c:dLbls>
        <c:gapWidth val="219"/>
        <c:axId val="161841920"/>
        <c:axId val="161843456"/>
      </c:barChart>
      <c:lineChart>
        <c:grouping val="standard"/>
        <c:varyColors val="0"/>
        <c:ser>
          <c:idx val="1"/>
          <c:order val="1"/>
          <c:tx>
            <c:strRef>
              <c:f>'Parolees  '!$D$10:$E$10</c:f>
              <c:strCache>
                <c:ptCount val="2"/>
                <c:pt idx="0">
                  <c:v>Parolee without Violations</c:v>
                </c:pt>
              </c:strCache>
            </c:strRef>
          </c:tx>
          <c:spPr>
            <a:ln w="28575" cap="rnd">
              <a:solidFill>
                <a:schemeClr val="accent2"/>
              </a:solidFill>
              <a:round/>
            </a:ln>
            <a:effectLst/>
          </c:spPr>
          <c:marker>
            <c:symbol val="none"/>
          </c:marker>
          <c:cat>
            <c:strRef>
              <c:f>'Parolees  '!$F$8:$AD$8</c:f>
              <c:strCache>
                <c:ptCount val="22"/>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strCache>
            </c:strRef>
          </c:cat>
          <c:val>
            <c:numRef>
              <c:f>'Parolees  '!$F$10:$AD$10</c:f>
              <c:numCache>
                <c:formatCode>###\ ###\ ###</c:formatCode>
                <c:ptCount val="22"/>
                <c:pt idx="0">
                  <c:v>5563.4944444444445</c:v>
                </c:pt>
                <c:pt idx="1">
                  <c:v>8364.9544770031989</c:v>
                </c:pt>
                <c:pt idx="2">
                  <c:v>10483.174880671688</c:v>
                </c:pt>
                <c:pt idx="3">
                  <c:v>10822.799212482736</c:v>
                </c:pt>
                <c:pt idx="4">
                  <c:v>10149.243128224562</c:v>
                </c:pt>
                <c:pt idx="5">
                  <c:v>11879.074162506331</c:v>
                </c:pt>
                <c:pt idx="6">
                  <c:v>21471.488074729099</c:v>
                </c:pt>
                <c:pt idx="7">
                  <c:v>17046.486689916452</c:v>
                </c:pt>
                <c:pt idx="8">
                  <c:v>17411.108003719331</c:v>
                </c:pt>
                <c:pt idx="9">
                  <c:v>21238.989963391057</c:v>
                </c:pt>
                <c:pt idx="10">
                  <c:v>23309.261182664286</c:v>
                </c:pt>
                <c:pt idx="11">
                  <c:v>25721.7098783314</c:v>
                </c:pt>
                <c:pt idx="12">
                  <c:v>28106.833916934149</c:v>
                </c:pt>
                <c:pt idx="13">
                  <c:v>35819</c:v>
                </c:pt>
                <c:pt idx="14">
                  <c:v>39269</c:v>
                </c:pt>
                <c:pt idx="15">
                  <c:v>38768</c:v>
                </c:pt>
                <c:pt idx="16">
                  <c:v>49928</c:v>
                </c:pt>
                <c:pt idx="17">
                  <c:v>51307</c:v>
                </c:pt>
                <c:pt idx="18">
                  <c:v>51161</c:v>
                </c:pt>
                <c:pt idx="19">
                  <c:v>53615</c:v>
                </c:pt>
                <c:pt idx="20">
                  <c:v>54487</c:v>
                </c:pt>
                <c:pt idx="21">
                  <c:v>53256</c:v>
                </c:pt>
              </c:numCache>
            </c:numRef>
          </c:val>
          <c:smooth val="0"/>
          <c:extLst>
            <c:ext xmlns:c16="http://schemas.microsoft.com/office/drawing/2014/chart" uri="{C3380CC4-5D6E-409C-BE32-E72D297353CC}">
              <c16:uniqueId val="{00000001-C62D-40A2-8D5C-6B8529152B82}"/>
            </c:ext>
          </c:extLst>
        </c:ser>
        <c:dLbls>
          <c:showLegendKey val="0"/>
          <c:showVal val="0"/>
          <c:showCatName val="0"/>
          <c:showSerName val="0"/>
          <c:showPercent val="0"/>
          <c:showBubbleSize val="0"/>
        </c:dLbls>
        <c:marker val="1"/>
        <c:smooth val="0"/>
        <c:axId val="161841920"/>
        <c:axId val="161843456"/>
      </c:lineChart>
      <c:catAx>
        <c:axId val="161841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1843456"/>
        <c:crosses val="autoZero"/>
        <c:auto val="1"/>
        <c:lblAlgn val="ctr"/>
        <c:lblOffset val="100"/>
        <c:noMultiLvlLbl val="0"/>
      </c:catAx>
      <c:valAx>
        <c:axId val="161843456"/>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1841920"/>
        <c:crosses val="autoZero"/>
        <c:crossBetween val="between"/>
      </c:valAx>
      <c:spPr>
        <a:noFill/>
        <a:ln>
          <a:noFill/>
        </a:ln>
        <a:effectLst/>
      </c:spPr>
    </c:plotArea>
    <c:legend>
      <c:legendPos val="b"/>
      <c:layout>
        <c:manualLayout>
          <c:xMode val="edge"/>
          <c:yMode val="edge"/>
          <c:x val="0.37761835682411538"/>
          <c:y val="0.92094901252097583"/>
          <c:w val="0.27989582697511645"/>
          <c:h val="7.90509874790241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r>
              <a:rPr lang="en-ZA"/>
              <a:t>ROAD ACCIDENTS AND FATALITIES</a:t>
            </a:r>
          </a:p>
        </c:rich>
      </c:tx>
      <c:layout>
        <c:manualLayout>
          <c:xMode val="edge"/>
          <c:yMode val="edge"/>
          <c:x val="3.4716343754210802E-2"/>
          <c:y val="2.9801324503311452E-2"/>
        </c:manualLayout>
      </c:layout>
      <c:overlay val="0"/>
      <c:spPr>
        <a:noFill/>
        <a:ln w="25400">
          <a:noFill/>
        </a:ln>
        <a:effectLst/>
      </c:spPr>
      <c:txPr>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endParaRPr lang="en-US"/>
        </a:p>
      </c:txPr>
    </c:title>
    <c:autoTitleDeleted val="0"/>
    <c:plotArea>
      <c:layout>
        <c:manualLayout>
          <c:layoutTarget val="inner"/>
          <c:xMode val="edge"/>
          <c:yMode val="edge"/>
          <c:x val="5.6549132630477006E-2"/>
          <c:y val="0.15142480468360611"/>
          <c:w val="0.92718035563082135"/>
          <c:h val="0.55960264900662249"/>
        </c:manualLayout>
      </c:layout>
      <c:lineChart>
        <c:grouping val="standard"/>
        <c:varyColors val="0"/>
        <c:ser>
          <c:idx val="0"/>
          <c:order val="0"/>
          <c:tx>
            <c:strRef>
              <c:f>'Road Accident '!$D$9</c:f>
              <c:strCache>
                <c:ptCount val="1"/>
                <c:pt idx="0">
                  <c:v>Fatal road accidents (per 10 000 motorised vehicles)</c:v>
                </c:pt>
              </c:strCache>
            </c:strRef>
          </c:tx>
          <c:spPr>
            <a:ln w="28575" cap="rnd" cmpd="sng" algn="ctr">
              <a:solidFill>
                <a:schemeClr val="accent2">
                  <a:shade val="76000"/>
                  <a:shade val="95000"/>
                  <a:satMod val="105000"/>
                </a:schemeClr>
              </a:solidFill>
              <a:prstDash val="solid"/>
              <a:round/>
            </a:ln>
            <a:effectLst/>
          </c:spPr>
          <c:marker>
            <c:symbol val="none"/>
          </c:marker>
          <c:cat>
            <c:numRef>
              <c:f>'Road Accident '!$E$7:$AD$7</c:f>
              <c:numCache>
                <c:formatCode>General</c:formatCode>
                <c:ptCount val="17"/>
                <c:pt idx="0">
                  <c:v>1994</c:v>
                </c:pt>
                <c:pt idx="1">
                  <c:v>1995</c:v>
                </c:pt>
                <c:pt idx="2">
                  <c:v>1996</c:v>
                </c:pt>
                <c:pt idx="3">
                  <c:v>1997</c:v>
                </c:pt>
                <c:pt idx="4">
                  <c:v>1998</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'Road Accident '!$E$9:$AD$9</c:f>
              <c:numCache>
                <c:formatCode>0.00</c:formatCode>
                <c:ptCount val="17"/>
                <c:pt idx="0">
                  <c:v>16.597939439011348</c:v>
                </c:pt>
                <c:pt idx="1">
                  <c:v>14.537374819799465</c:v>
                </c:pt>
                <c:pt idx="2">
                  <c:v>13.589722297526921</c:v>
                </c:pt>
                <c:pt idx="3">
                  <c:v>13.38637260491485</c:v>
                </c:pt>
                <c:pt idx="4">
                  <c:v>12.409055807591949</c:v>
                </c:pt>
                <c:pt idx="5">
                  <c:v>12.928408325679587</c:v>
                </c:pt>
                <c:pt idx="6">
                  <c:v>12.624373098189995</c:v>
                </c:pt>
                <c:pt idx="7">
                  <c:v>12.29191256352107</c:v>
                </c:pt>
                <c:pt idx="8">
                  <c:v>12.269958763190779</c:v>
                </c:pt>
                <c:pt idx="9">
                  <c:v>11.506753679262738</c:v>
                </c:pt>
                <c:pt idx="10">
                  <c:v>10.262440989702947</c:v>
                </c:pt>
                <c:pt idx="11">
                  <c:v>10.114635791156333</c:v>
                </c:pt>
                <c:pt idx="12">
                  <c:v>10.044513673003143</c:v>
                </c:pt>
                <c:pt idx="13">
                  <c:v>10.809551733185158</c:v>
                </c:pt>
                <c:pt idx="14">
                  <c:v>10.385617232297026</c:v>
                </c:pt>
                <c:pt idx="15">
                  <c:v>9.3753782899466209</c:v>
                </c:pt>
                <c:pt idx="16">
                  <c:v>9.0341626412093756</c:v>
                </c:pt>
              </c:numCache>
            </c:numRef>
          </c:val>
          <c:smooth val="0"/>
          <c:extLst>
            <c:ext xmlns:c16="http://schemas.microsoft.com/office/drawing/2014/chart" uri="{C3380CC4-5D6E-409C-BE32-E72D297353CC}">
              <c16:uniqueId val="{00000000-0F98-4CF3-9A0A-DC797F27B75E}"/>
            </c:ext>
          </c:extLst>
        </c:ser>
        <c:ser>
          <c:idx val="1"/>
          <c:order val="1"/>
          <c:tx>
            <c:strRef>
              <c:f>'Road Accident '!$D$10</c:f>
              <c:strCache>
                <c:ptCount val="1"/>
                <c:pt idx="0">
                  <c:v>Fatalities (per 10 000 motorised vehicles)</c:v>
                </c:pt>
              </c:strCache>
            </c:strRef>
          </c:tx>
          <c:spPr>
            <a:ln w="28575" cap="rnd" cmpd="sng" algn="ctr">
              <a:solidFill>
                <a:schemeClr val="accent2">
                  <a:tint val="77000"/>
                  <a:shade val="95000"/>
                  <a:satMod val="105000"/>
                </a:schemeClr>
              </a:solidFill>
              <a:prstDash val="solid"/>
              <a:round/>
            </a:ln>
            <a:effectLst/>
          </c:spPr>
          <c:marker>
            <c:symbol val="none"/>
          </c:marker>
          <c:cat>
            <c:numRef>
              <c:f>'Road Accident '!$E$7:$AD$7</c:f>
              <c:numCache>
                <c:formatCode>General</c:formatCode>
                <c:ptCount val="17"/>
                <c:pt idx="0">
                  <c:v>1994</c:v>
                </c:pt>
                <c:pt idx="1">
                  <c:v>1995</c:v>
                </c:pt>
                <c:pt idx="2">
                  <c:v>1996</c:v>
                </c:pt>
                <c:pt idx="3">
                  <c:v>1997</c:v>
                </c:pt>
                <c:pt idx="4">
                  <c:v>1998</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'Road Accident '!$E$10:$AD$10</c:f>
              <c:numCache>
                <c:formatCode>0.00</c:formatCode>
                <c:ptCount val="17"/>
                <c:pt idx="0">
                  <c:v>20.351846872330746</c:v>
                </c:pt>
                <c:pt idx="1">
                  <c:v>17.887860366150367</c:v>
                </c:pt>
                <c:pt idx="2">
                  <c:v>17.048609577840143</c:v>
                </c:pt>
                <c:pt idx="3">
                  <c:v>16.653059937641824</c:v>
                </c:pt>
                <c:pt idx="4">
                  <c:v>15.499355105129998</c:v>
                </c:pt>
                <c:pt idx="5">
                  <c:v>16.473699752703062</c:v>
                </c:pt>
                <c:pt idx="6">
                  <c:v>16.009244617839169</c:v>
                </c:pt>
                <c:pt idx="7">
                  <c:v>15.842128151213322</c:v>
                </c:pt>
                <c:pt idx="8">
                  <c:v>15.248931651368377</c:v>
                </c:pt>
                <c:pt idx="9">
                  <c:v>14.43</c:v>
                </c:pt>
                <c:pt idx="10">
                  <c:v>12.17</c:v>
                </c:pt>
                <c:pt idx="11">
                  <c:v>12.39279481231482</c:v>
                </c:pt>
                <c:pt idx="12">
                  <c:v>12.25065344232099</c:v>
                </c:pt>
                <c:pt idx="13">
                  <c:v>13.026824463656077</c:v>
                </c:pt>
                <c:pt idx="14">
                  <c:v>12.758408858422071</c:v>
                </c:pt>
                <c:pt idx="15">
                  <c:v>11.46717747864448</c:v>
                </c:pt>
                <c:pt idx="16">
                  <c:v>10.880853049132147</c:v>
                </c:pt>
              </c:numCache>
            </c:numRef>
          </c:val>
          <c:smooth val="0"/>
          <c:extLst>
            <c:ext xmlns:c16="http://schemas.microsoft.com/office/drawing/2014/chart" uri="{C3380CC4-5D6E-409C-BE32-E72D297353CC}">
              <c16:uniqueId val="{00000001-0F98-4CF3-9A0A-DC797F27B75E}"/>
            </c:ext>
          </c:extLst>
        </c:ser>
        <c:dLbls>
          <c:showLegendKey val="0"/>
          <c:showVal val="0"/>
          <c:showCatName val="0"/>
          <c:showSerName val="0"/>
          <c:showPercent val="0"/>
          <c:showBubbleSize val="0"/>
        </c:dLbls>
        <c:smooth val="0"/>
        <c:axId val="343427424"/>
        <c:axId val="343427984"/>
      </c:lineChart>
      <c:catAx>
        <c:axId val="343427424"/>
        <c:scaling>
          <c:orientation val="minMax"/>
        </c:scaling>
        <c:delete val="0"/>
        <c:axPos val="b"/>
        <c:title>
          <c:tx>
            <c:rich>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Years</a:t>
                </a:r>
              </a:p>
            </c:rich>
          </c:tx>
          <c:layout>
            <c:manualLayout>
              <c:xMode val="edge"/>
              <c:yMode val="edge"/>
              <c:x val="0.49957667439076198"/>
              <c:y val="0.7913907284768212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General" sourceLinked="1"/>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43427984"/>
        <c:crosses val="autoZero"/>
        <c:auto val="1"/>
        <c:lblAlgn val="ctr"/>
        <c:lblOffset val="100"/>
        <c:tickLblSkip val="1"/>
        <c:tickMarkSkip val="1"/>
        <c:noMultiLvlLbl val="0"/>
      </c:catAx>
      <c:valAx>
        <c:axId val="343427984"/>
        <c:scaling>
          <c:orientation val="minMax"/>
          <c:min val="5"/>
        </c:scaling>
        <c:delete val="0"/>
        <c:axPos val="l"/>
        <c:majorGridlines>
          <c:spPr>
            <a:ln w="3175" cap="flat" cmpd="sng" algn="ctr">
              <a:solidFill>
                <a:srgbClr val="C0C0C0"/>
              </a:solidFill>
              <a:prstDash val="sysDash"/>
              <a:round/>
            </a:ln>
            <a:effectLst/>
          </c:spPr>
        </c:majorGridlines>
        <c:title>
          <c:tx>
            <c:rich>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rate</a:t>
                </a:r>
              </a:p>
            </c:rich>
          </c:tx>
          <c:layout>
            <c:manualLayout>
              <c:xMode val="edge"/>
              <c:yMode val="edge"/>
              <c:x val="1.4394664875133556E-2"/>
              <c:y val="0.38410596026490629"/>
            </c:manualLayout>
          </c:layout>
          <c:overlay val="0"/>
          <c:spPr>
            <a:noFill/>
            <a:ln w="25400">
              <a:noFill/>
            </a:ln>
            <a:effectLst/>
          </c:spPr>
          <c:txPr>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43427424"/>
        <c:crosses val="autoZero"/>
        <c:crossBetween val="midCat"/>
        <c:majorUnit val="2.5"/>
        <c:minorUnit val="0.5"/>
      </c:valAx>
      <c:spPr>
        <a:solidFill>
          <a:srgbClr val="FFFFFF"/>
        </a:solidFill>
        <a:ln w="12700">
          <a:noFill/>
          <a:prstDash val="solid"/>
        </a:ln>
        <a:effectLst/>
      </c:spPr>
    </c:plotArea>
    <c:legend>
      <c:legendPos val="r"/>
      <c:layout>
        <c:manualLayout>
          <c:xMode val="edge"/>
          <c:yMode val="edge"/>
          <c:x val="0.26670426334085617"/>
          <c:y val="0.84931847703798025"/>
          <c:w val="0.61931537361043865"/>
          <c:h val="9.3151058771908227E-2"/>
        </c:manualLayout>
      </c:layout>
      <c:overlay val="0"/>
      <c:spPr>
        <a:solidFill>
          <a:srgbClr val="FFFFFF"/>
        </a:solidFill>
        <a:ln w="25400">
          <a:noFill/>
        </a:ln>
        <a:effectLst/>
      </c:spPr>
      <c:txPr>
        <a:bodyPr rot="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 debt  '!$D$8</c:f>
              <c:strCache>
                <c:ptCount val="1"/>
                <c:pt idx="0">
                  <c:v>Net Government Debt</c:v>
                </c:pt>
              </c:strCache>
            </c:strRef>
          </c:tx>
          <c:spPr>
            <a:ln w="15875">
              <a:solidFill>
                <a:srgbClr val="FF6600"/>
              </a:solidFill>
              <a:prstDash val="solid"/>
            </a:ln>
          </c:spPr>
          <c:marker>
            <c:symbol val="none"/>
          </c:marker>
          <c:cat>
            <c:strRef>
              <c:f>'G debt  '!$E$7:$X$7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 debt  '!$E$8:$X$8</c:f>
              <c:numCache>
                <c:formatCode>0.0</c:formatCode>
                <c:ptCount val="20"/>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38.200000000000003</c:v>
                </c:pt>
              </c:numCache>
            </c:numRef>
          </c:val>
          <c:smooth val="0"/>
          <c:extLst>
            <c:ext xmlns:c16="http://schemas.microsoft.com/office/drawing/2014/chart" uri="{C3380CC4-5D6E-409C-BE32-E72D297353CC}">
              <c16:uniqueId val="{00000000-CA47-4A3B-85EA-010DABD124BB}"/>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overlay val="0"/>
      <c:spPr>
        <a:noFill/>
        <a:ln w="25400">
          <a:noFill/>
        </a:ln>
      </c:spPr>
    </c:title>
    <c:autoTitleDeleted val="0"/>
    <c:plotArea>
      <c:layout>
        <c:manualLayout>
          <c:layoutTarget val="inner"/>
          <c:xMode val="edge"/>
          <c:yMode val="edge"/>
          <c:x val="6.3674685508446321E-2"/>
          <c:y val="0.16455909296884819"/>
          <c:w val="0.82869629207330175"/>
          <c:h val="0.75138494935971623"/>
        </c:manualLayout>
      </c:layout>
      <c:barChart>
        <c:barDir val="col"/>
        <c:grouping val="clustered"/>
        <c:varyColors val="0"/>
        <c:ser>
          <c:idx val="2"/>
          <c:order val="1"/>
          <c:tx>
            <c:strRef>
              <c:f>'Development cooperation'!$D$9</c:f>
              <c:strCache>
                <c:ptCount val="1"/>
                <c:pt idx="0">
                  <c:v>Amount (R 'million)</c:v>
                </c:pt>
              </c:strCache>
            </c:strRef>
          </c:tx>
          <c:invertIfNegative val="0"/>
          <c:dLbls>
            <c:dLbl>
              <c:idx val="11"/>
              <c:layout>
                <c:manualLayout>
                  <c:x val="0.16706121725533604"/>
                  <c:y val="-0.18731977136810155"/>
                </c:manualLayout>
              </c:layout>
              <c:tx>
                <c:rich>
                  <a:bodyPr/>
                  <a:lstStyle/>
                  <a:p>
                    <a:r>
                      <a:rPr lang="en-US"/>
                      <a:t>Amount (R 'million)</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7C4-483A-A0C8-9D19D51A6A36}"/>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cooperation'!$E$7:$V$7</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'Development cooperation'!$E$9:$V$9</c:f>
              <c:numCache>
                <c:formatCode>#\ ###\ ###</c:formatCode>
                <c:ptCount val="18"/>
                <c:pt idx="0">
                  <c:v>57</c:v>
                </c:pt>
                <c:pt idx="1">
                  <c:v>62.08</c:v>
                </c:pt>
                <c:pt idx="2">
                  <c:v>19.100000000000001</c:v>
                </c:pt>
                <c:pt idx="3">
                  <c:v>94.899999999999991</c:v>
                </c:pt>
                <c:pt idx="4">
                  <c:v>387.40000000000003</c:v>
                </c:pt>
                <c:pt idx="5">
                  <c:v>1174.1089999999999</c:v>
                </c:pt>
                <c:pt idx="6">
                  <c:v>777</c:v>
                </c:pt>
                <c:pt idx="7">
                  <c:v>331</c:v>
                </c:pt>
                <c:pt idx="8">
                  <c:v>0</c:v>
                </c:pt>
                <c:pt idx="9">
                  <c:v>270.63600000000002</c:v>
                </c:pt>
                <c:pt idx="10">
                  <c:v>778.36599999999999</c:v>
                </c:pt>
                <c:pt idx="11">
                  <c:v>51.004999999999995</c:v>
                </c:pt>
                <c:pt idx="12">
                  <c:v>189</c:v>
                </c:pt>
                <c:pt idx="13" formatCode="General">
                  <c:v>199</c:v>
                </c:pt>
                <c:pt idx="14" formatCode="General">
                  <c:v>91</c:v>
                </c:pt>
                <c:pt idx="15" formatCode="General">
                  <c:v>153</c:v>
                </c:pt>
                <c:pt idx="16" formatCode="General">
                  <c:v>0</c:v>
                </c:pt>
                <c:pt idx="17" formatCode="General">
                  <c:v>45</c:v>
                </c:pt>
              </c:numCache>
            </c:numRef>
          </c:val>
          <c:extLst>
            <c:ext xmlns:c16="http://schemas.microsoft.com/office/drawing/2014/chart" uri="{C3380CC4-5D6E-409C-BE32-E72D297353CC}">
              <c16:uniqueId val="{00000001-37C4-483A-A0C8-9D19D51A6A36}"/>
            </c:ext>
          </c:extLst>
        </c:ser>
        <c:dLbls>
          <c:showLegendKey val="0"/>
          <c:showVal val="0"/>
          <c:showCatName val="0"/>
          <c:showSerName val="0"/>
          <c:showPercent val="0"/>
          <c:showBubbleSize val="0"/>
        </c:dLbls>
        <c:gapWidth val="150"/>
        <c:axId val="212921608"/>
        <c:axId val="212916512"/>
      </c:barChart>
      <c:lineChart>
        <c:grouping val="standard"/>
        <c:varyColors val="0"/>
        <c:ser>
          <c:idx val="1"/>
          <c:order val="0"/>
          <c:tx>
            <c:strRef>
              <c:f>'Development cooperation'!$D$8</c:f>
              <c:strCache>
                <c:ptCount val="1"/>
                <c:pt idx="0">
                  <c:v>Number of initiatives</c:v>
                </c:pt>
              </c:strCache>
            </c:strRef>
          </c:tx>
          <c:spPr>
            <a:ln w="12700">
              <a:solidFill>
                <a:srgbClr val="000000"/>
              </a:solidFill>
              <a:prstDash val="solid"/>
            </a:ln>
          </c:spPr>
          <c:marker>
            <c:symbol val="none"/>
          </c:marker>
          <c:cat>
            <c:strRef>
              <c:f>'Development cooperation'!$E$7:$V$7</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'Development cooperation'!$E$8:$V$8</c:f>
              <c:numCache>
                <c:formatCode>General</c:formatCode>
                <c:ptCount val="18"/>
                <c:pt idx="0">
                  <c:v>4</c:v>
                </c:pt>
                <c:pt idx="1">
                  <c:v>6</c:v>
                </c:pt>
                <c:pt idx="2">
                  <c:v>6</c:v>
                </c:pt>
                <c:pt idx="3">
                  <c:v>4</c:v>
                </c:pt>
                <c:pt idx="4">
                  <c:v>10</c:v>
                </c:pt>
                <c:pt idx="5">
                  <c:v>12</c:v>
                </c:pt>
                <c:pt idx="6">
                  <c:v>9</c:v>
                </c:pt>
                <c:pt idx="7">
                  <c:v>4</c:v>
                </c:pt>
                <c:pt idx="8">
                  <c:v>1</c:v>
                </c:pt>
                <c:pt idx="9">
                  <c:v>7</c:v>
                </c:pt>
                <c:pt idx="10">
                  <c:v>15</c:v>
                </c:pt>
                <c:pt idx="11">
                  <c:v>3</c:v>
                </c:pt>
                <c:pt idx="12">
                  <c:v>7</c:v>
                </c:pt>
                <c:pt idx="13">
                  <c:v>6</c:v>
                </c:pt>
                <c:pt idx="14">
                  <c:v>6</c:v>
                </c:pt>
                <c:pt idx="15">
                  <c:v>11</c:v>
                </c:pt>
                <c:pt idx="16">
                  <c:v>8</c:v>
                </c:pt>
                <c:pt idx="17">
                  <c:v>5</c:v>
                </c:pt>
              </c:numCache>
            </c:numRef>
          </c:val>
          <c:smooth val="0"/>
          <c:extLst>
            <c:ext xmlns:c16="http://schemas.microsoft.com/office/drawing/2014/chart" uri="{C3380CC4-5D6E-409C-BE32-E72D297353CC}">
              <c16:uniqueId val="{00000002-37C4-483A-A0C8-9D19D51A6A36}"/>
            </c:ext>
          </c:extLst>
        </c:ser>
        <c:dLbls>
          <c:showLegendKey val="0"/>
          <c:showVal val="0"/>
          <c:showCatName val="0"/>
          <c:showSerName val="0"/>
          <c:showPercent val="0"/>
          <c:showBubbleSize val="0"/>
        </c:dLbls>
        <c:marker val="1"/>
        <c:smooth val="0"/>
        <c:axId val="212917296"/>
        <c:axId val="212918080"/>
      </c:lineChart>
      <c:catAx>
        <c:axId val="2129172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750" b="0" i="0" u="none" strike="noStrike" baseline="0">
                <a:solidFill>
                  <a:srgbClr val="000000"/>
                </a:solidFill>
                <a:latin typeface="Arial"/>
                <a:ea typeface="Arial"/>
                <a:cs typeface="Arial"/>
              </a:defRPr>
            </a:pPr>
            <a:endParaRPr lang="en-US"/>
          </a:p>
        </c:txPr>
        <c:crossAx val="212918080"/>
        <c:crosses val="autoZero"/>
        <c:auto val="1"/>
        <c:lblAlgn val="ctr"/>
        <c:lblOffset val="100"/>
        <c:tickLblSkip val="1"/>
        <c:tickMarkSkip val="1"/>
        <c:noMultiLvlLbl val="0"/>
      </c:catAx>
      <c:valAx>
        <c:axId val="21291808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917296"/>
        <c:crosses val="autoZero"/>
        <c:crossBetween val="between"/>
      </c:valAx>
      <c:valAx>
        <c:axId val="212916512"/>
        <c:scaling>
          <c:orientation val="minMax"/>
        </c:scaling>
        <c:delete val="0"/>
        <c:axPos val="r"/>
        <c:numFmt formatCode="#\ ###\ ###" sourceLinked="1"/>
        <c:majorTickMark val="out"/>
        <c:minorTickMark val="none"/>
        <c:tickLblPos val="nextTo"/>
        <c:crossAx val="212921608"/>
        <c:crosses val="max"/>
        <c:crossBetween val="between"/>
      </c:valAx>
      <c:catAx>
        <c:axId val="212921608"/>
        <c:scaling>
          <c:orientation val="minMax"/>
        </c:scaling>
        <c:delete val="1"/>
        <c:axPos val="b"/>
        <c:numFmt formatCode="General" sourceLinked="1"/>
        <c:majorTickMark val="out"/>
        <c:minorTickMark val="none"/>
        <c:tickLblPos val="nextTo"/>
        <c:crossAx val="212916512"/>
        <c:crosses val="autoZero"/>
        <c:auto val="1"/>
        <c:lblAlgn val="ctr"/>
        <c:lblOffset val="100"/>
        <c:noMultiLvlLbl val="0"/>
      </c:cat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6968159638984"/>
          <c:y val="8.1786036745406812E-2"/>
          <c:w val="0.79437209035001999"/>
          <c:h val="0.72047370078740158"/>
        </c:manualLayout>
      </c:layout>
      <c:barChart>
        <c:barDir val="col"/>
        <c:grouping val="clustered"/>
        <c:varyColors val="0"/>
        <c:ser>
          <c:idx val="1"/>
          <c:order val="0"/>
          <c:tx>
            <c:strRef>
              <c:f>Tourism!$D$14</c:f>
              <c:strCache>
                <c:ptCount val="1"/>
                <c:pt idx="0">
                  <c:v>Direct Contribution to employment</c:v>
                </c:pt>
              </c:strCache>
            </c:strRef>
          </c:tx>
          <c:spPr>
            <a:solidFill>
              <a:schemeClr val="accent2"/>
            </a:solidFill>
            <a:ln>
              <a:noFill/>
            </a:ln>
            <a:effectLst/>
          </c:spPr>
          <c:invertIfNegative val="0"/>
          <c:cat>
            <c:numRef>
              <c:f>Tourism!$F$8:$W$8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extLst/>
            </c:numRef>
          </c:cat>
          <c:val>
            <c:numRef>
              <c:f>Tourism!$F$14:$W$14</c:f>
              <c:numCache>
                <c:formatCode>_ * #\ ##0_ ;_ * \-#\ ##0_ ;_ * "-"??_ ;_ @_ </c:formatCode>
                <c:ptCount val="18"/>
                <c:pt idx="3">
                  <c:v>507384</c:v>
                </c:pt>
                <c:pt idx="4">
                  <c:v>553712</c:v>
                </c:pt>
                <c:pt idx="5">
                  <c:v>569688</c:v>
                </c:pt>
                <c:pt idx="6">
                  <c:v>609021</c:v>
                </c:pt>
                <c:pt idx="7">
                  <c:v>547934</c:v>
                </c:pt>
                <c:pt idx="8">
                  <c:v>603022</c:v>
                </c:pt>
                <c:pt idx="9">
                  <c:v>622929</c:v>
                </c:pt>
                <c:pt idx="10">
                  <c:v>646390</c:v>
                </c:pt>
                <c:pt idx="11">
                  <c:v>657766</c:v>
                </c:pt>
                <c:pt idx="12">
                  <c:v>681915</c:v>
                </c:pt>
                <c:pt idx="13">
                  <c:v>668651</c:v>
                </c:pt>
                <c:pt idx="14" formatCode="#,##0">
                  <c:v>705871</c:v>
                </c:pt>
                <c:pt idx="15" formatCode="#,##0">
                  <c:v>681619</c:v>
                </c:pt>
                <c:pt idx="16" formatCode="#,##0">
                  <c:v>739657</c:v>
                </c:pt>
              </c:numCache>
              <c:extLst/>
            </c:numRef>
          </c:val>
          <c:extLst>
            <c:ext xmlns:c16="http://schemas.microsoft.com/office/drawing/2014/chart" uri="{C3380CC4-5D6E-409C-BE32-E72D297353CC}">
              <c16:uniqueId val="{00000000-3B2F-414C-BE58-EC65E5F519BB}"/>
            </c:ext>
          </c:extLst>
        </c:ser>
        <c:dLbls>
          <c:showLegendKey val="0"/>
          <c:showVal val="0"/>
          <c:showCatName val="0"/>
          <c:showSerName val="0"/>
          <c:showPercent val="0"/>
          <c:showBubbleSize val="0"/>
        </c:dLbls>
        <c:gapWidth val="75"/>
        <c:overlap val="-25"/>
        <c:axId val="212914160"/>
        <c:axId val="212918472"/>
        <c:extLst>
          <c:ext xmlns:c15="http://schemas.microsoft.com/office/drawing/2012/chart" uri="{02D57815-91ED-43cb-92C2-25804820EDAC}">
            <c15:filteredBarSeries>
              <c15:ser>
                <c:idx val="2"/>
                <c:order val="1"/>
                <c:tx>
                  <c:strRef>
                    <c:extLst>
                      <c:ext uri="{02D57815-91ED-43cb-92C2-25804820EDAC}">
                        <c15:formulaRef>
                          <c15:sqref>Tourism!$D$16</c15:sqref>
                        </c15:formulaRef>
                      </c:ext>
                    </c:extLst>
                    <c:strCache>
                      <c:ptCount val="1"/>
                      <c:pt idx="0">
                        <c:v>Total (Direct and Indirect) contribution of Travel and tourism to employment</c:v>
                      </c:pt>
                    </c:strCache>
                  </c:strRef>
                </c:tx>
                <c:spPr>
                  <a:solidFill>
                    <a:schemeClr val="accent3"/>
                  </a:solidFill>
                  <a:ln>
                    <a:noFill/>
                  </a:ln>
                  <a:effectLst/>
                </c:spPr>
                <c:invertIfNegative val="0"/>
                <c:cat>
                  <c:numRef>
                    <c:extLst>
                      <c:ext uri="{02D57815-91ED-43cb-92C2-25804820EDAC}">
                        <c15:formulaRef>
                          <c15:sqref>Tourism!$F$8:$W$8</c15:sqref>
                        </c15:formulaRef>
                      </c:ext>
                    </c:extLst>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extLst>
                      <c:ext uri="{02D57815-91ED-43cb-92C2-25804820EDAC}">
                        <c15:formulaRef>
                          <c15:sqref>Tourism!$F$16:$W$16</c15:sqref>
                        </c15:formulaRef>
                      </c:ext>
                    </c:extLst>
                    <c:numCache>
                      <c:formatCode>_(* #,##0.00_);_(* \(#,##0.00\);_(* "-"??_);_(@_)</c:formatCode>
                      <c:ptCount val="18"/>
                      <c:pt idx="0">
                        <c:v>911.66700000000003</c:v>
                      </c:pt>
                      <c:pt idx="1">
                        <c:v>910.18899999999996</c:v>
                      </c:pt>
                      <c:pt idx="2">
                        <c:v>889.61199999999997</c:v>
                      </c:pt>
                      <c:pt idx="3">
                        <c:v>983.52099999999996</c:v>
                      </c:pt>
                      <c:pt idx="4">
                        <c:v>1160.92</c:v>
                      </c:pt>
                      <c:pt idx="5">
                        <c:v>1142.5</c:v>
                      </c:pt>
                      <c:pt idx="6">
                        <c:v>1337.09</c:v>
                      </c:pt>
                      <c:pt idx="7">
                        <c:v>1268.44</c:v>
                      </c:pt>
                      <c:pt idx="8">
                        <c:v>1195.9100000000001</c:v>
                      </c:pt>
                      <c:pt idx="9">
                        <c:v>1229.29</c:v>
                      </c:pt>
                      <c:pt idx="10">
                        <c:v>1316.67</c:v>
                      </c:pt>
                      <c:pt idx="11">
                        <c:v>1360.59</c:v>
                      </c:pt>
                      <c:pt idx="12">
                        <c:v>1393.07</c:v>
                      </c:pt>
                      <c:pt idx="13">
                        <c:v>1381.07</c:v>
                      </c:pt>
                      <c:pt idx="14">
                        <c:v>1411.55</c:v>
                      </c:pt>
                      <c:pt idx="15">
                        <c:v>1378.63</c:v>
                      </c:pt>
                      <c:pt idx="16">
                        <c:v>1482.56</c:v>
                      </c:pt>
                      <c:pt idx="17">
                        <c:v>1483.24</c:v>
                      </c:pt>
                    </c:numCache>
                  </c:numRef>
                </c:val>
                <c:extLst>
                  <c:ext xmlns:c16="http://schemas.microsoft.com/office/drawing/2014/chart" uri="{C3380CC4-5D6E-409C-BE32-E72D297353CC}">
                    <c16:uniqueId val="{00000002-3B2F-414C-BE58-EC65E5F519BB}"/>
                  </c:ext>
                </c:extLst>
              </c15:ser>
            </c15:filteredBarSeries>
          </c:ext>
        </c:extLst>
      </c:barChart>
      <c:lineChart>
        <c:grouping val="standard"/>
        <c:varyColors val="0"/>
        <c:ser>
          <c:idx val="4"/>
          <c:order val="3"/>
          <c:tx>
            <c:strRef>
              <c:f>Tourism!$D$22</c:f>
              <c:strCache>
                <c:ptCount val="1"/>
                <c:pt idx="0">
                  <c:v>Total (Direct and Indirect)contribution of travel and Tourism to GDP </c:v>
                </c:pt>
              </c:strCache>
            </c:strRef>
          </c:tx>
          <c:spPr>
            <a:ln w="28575" cap="rnd">
              <a:solidFill>
                <a:schemeClr val="accent5"/>
              </a:solidFill>
              <a:round/>
            </a:ln>
            <a:effectLst/>
          </c:spPr>
          <c:marker>
            <c:symbol val="none"/>
          </c:marker>
          <c:cat>
            <c:numRef>
              <c:f>Tourism!$F$8:$W$8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extLst/>
            </c:numRef>
          </c:cat>
          <c:val>
            <c:numRef>
              <c:f>Tourism!$F$22:$W$22</c:f>
              <c:numCache>
                <c:formatCode>0.0</c:formatCode>
                <c:ptCount val="18"/>
                <c:pt idx="0">
                  <c:v>243.43899999999999</c:v>
                </c:pt>
                <c:pt idx="1">
                  <c:v>253.61799999999999</c:v>
                </c:pt>
                <c:pt idx="2">
                  <c:v>252.922</c:v>
                </c:pt>
                <c:pt idx="3">
                  <c:v>279.91500000000002</c:v>
                </c:pt>
                <c:pt idx="4">
                  <c:v>339.43299999999999</c:v>
                </c:pt>
                <c:pt idx="5">
                  <c:v>350.51</c:v>
                </c:pt>
                <c:pt idx="6">
                  <c:v>350.786</c:v>
                </c:pt>
                <c:pt idx="7">
                  <c:v>342.245</c:v>
                </c:pt>
                <c:pt idx="8">
                  <c:v>338.97399999999999</c:v>
                </c:pt>
                <c:pt idx="9">
                  <c:v>330.24200000000002</c:v>
                </c:pt>
                <c:pt idx="10">
                  <c:v>364.51299999999998</c:v>
                </c:pt>
                <c:pt idx="11">
                  <c:v>386.24799999999999</c:v>
                </c:pt>
                <c:pt idx="12">
                  <c:v>394.30099999999999</c:v>
                </c:pt>
                <c:pt idx="13">
                  <c:v>367.05900000000003</c:v>
                </c:pt>
                <c:pt idx="14">
                  <c:v>375.90899999999999</c:v>
                </c:pt>
                <c:pt idx="15">
                  <c:v>345.13900000000001</c:v>
                </c:pt>
                <c:pt idx="16">
                  <c:v>358.76400000000001</c:v>
                </c:pt>
                <c:pt idx="17">
                  <c:v>354.93700000000001</c:v>
                </c:pt>
              </c:numCache>
              <c:extLst/>
            </c:numRef>
          </c:val>
          <c:smooth val="0"/>
          <c:extLst>
            <c:ext xmlns:c16="http://schemas.microsoft.com/office/drawing/2014/chart" uri="{C3380CC4-5D6E-409C-BE32-E72D297353CC}">
              <c16:uniqueId val="{00000001-3B2F-414C-BE58-EC65E5F519BB}"/>
            </c:ext>
          </c:extLst>
        </c:ser>
        <c:dLbls>
          <c:showLegendKey val="0"/>
          <c:showVal val="0"/>
          <c:showCatName val="0"/>
          <c:showSerName val="0"/>
          <c:showPercent val="0"/>
          <c:showBubbleSize val="0"/>
        </c:dLbls>
        <c:marker val="1"/>
        <c:smooth val="0"/>
        <c:axId val="212915336"/>
        <c:axId val="212920040"/>
        <c:extLst>
          <c:ext xmlns:c15="http://schemas.microsoft.com/office/drawing/2012/chart" uri="{02D57815-91ED-43cb-92C2-25804820EDAC}">
            <c15:filteredLineSeries>
              <c15:ser>
                <c:idx val="3"/>
                <c:order val="2"/>
                <c:tx>
                  <c:strRef>
                    <c:extLst>
                      <c:ext uri="{02D57815-91ED-43cb-92C2-25804820EDAC}">
                        <c15:formulaRef>
                          <c15:sqref>Tourism!$D$20</c15:sqref>
                        </c15:formulaRef>
                      </c:ext>
                    </c:extLst>
                    <c:strCache>
                      <c:ptCount val="1"/>
                      <c:pt idx="0">
                        <c:v>Direct contribution to Gross domestic Product (GDP)</c:v>
                      </c:pt>
                    </c:strCache>
                  </c:strRef>
                </c:tx>
                <c:spPr>
                  <a:ln w="28575" cap="rnd">
                    <a:solidFill>
                      <a:schemeClr val="accent4"/>
                    </a:solidFill>
                    <a:round/>
                  </a:ln>
                  <a:effectLst/>
                </c:spPr>
                <c:marker>
                  <c:symbol val="none"/>
                </c:marker>
                <c:cat>
                  <c:numRef>
                    <c:extLst>
                      <c:ext uri="{02D57815-91ED-43cb-92C2-25804820EDAC}">
                        <c15:formulaRef>
                          <c15:sqref>Tourism!$F$8:$W$8</c15:sqref>
                        </c15:formulaRef>
                      </c:ext>
                    </c:extLst>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extLst>
                      <c:ext uri="{02D57815-91ED-43cb-92C2-25804820EDAC}">
                        <c15:formulaRef>
                          <c15:sqref>Tourism!$F$20:$W$20</c15:sqref>
                        </c15:formulaRef>
                      </c:ext>
                    </c:extLst>
                    <c:numCache>
                      <c:formatCode>0.0</c:formatCode>
                      <c:ptCount val="18"/>
                      <c:pt idx="3" formatCode="#\ ###\ ###.0">
                        <c:v>44.9</c:v>
                      </c:pt>
                      <c:pt idx="4" formatCode="#\ ###\ ###.0">
                        <c:v>54.4</c:v>
                      </c:pt>
                      <c:pt idx="5" formatCode="#\ ###\ ###.0">
                        <c:v>59.8</c:v>
                      </c:pt>
                      <c:pt idx="6" formatCode="#\ ###\ ###.0">
                        <c:v>67.2</c:v>
                      </c:pt>
                      <c:pt idx="7" formatCode="#\ ###\ ###.0">
                        <c:v>68.8</c:v>
                      </c:pt>
                      <c:pt idx="8" formatCode="#\ ###\ ###.0">
                        <c:v>88.4</c:v>
                      </c:pt>
                      <c:pt idx="9" formatCode="#\ ###\ ###.0">
                        <c:v>83.9</c:v>
                      </c:pt>
                      <c:pt idx="10" formatCode="#\ ###\ ###.0">
                        <c:v>93.8</c:v>
                      </c:pt>
                      <c:pt idx="11" formatCode="#\ ##0.0">
                        <c:v>103.3</c:v>
                      </c:pt>
                      <c:pt idx="12" formatCode="#\ ##0.0">
                        <c:v>112.6</c:v>
                      </c:pt>
                      <c:pt idx="13" formatCode="General">
                        <c:v>108.7</c:v>
                      </c:pt>
                      <c:pt idx="14" formatCode="General">
                        <c:v>124.9</c:v>
                      </c:pt>
                      <c:pt idx="15">
                        <c:v>119</c:v>
                      </c:pt>
                      <c:pt idx="16">
                        <c:v>130.19999999999999</c:v>
                      </c:pt>
                    </c:numCache>
                  </c:numRef>
                </c:val>
                <c:smooth val="0"/>
                <c:extLst>
                  <c:ext xmlns:c16="http://schemas.microsoft.com/office/drawing/2014/chart" uri="{C3380CC4-5D6E-409C-BE32-E72D297353CC}">
                    <c16:uniqueId val="{00000003-3B2F-414C-BE58-EC65E5F519BB}"/>
                  </c:ext>
                </c:extLst>
              </c15:ser>
            </c15:filteredLineSeries>
          </c:ext>
        </c:extLst>
      </c:lineChart>
      <c:catAx>
        <c:axId val="2129141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12918472"/>
        <c:crossesAt val="0"/>
        <c:auto val="1"/>
        <c:lblAlgn val="ctr"/>
        <c:lblOffset val="100"/>
        <c:noMultiLvlLbl val="0"/>
      </c:catAx>
      <c:valAx>
        <c:axId val="212918472"/>
        <c:scaling>
          <c:orientation val="minMax"/>
          <c:max val="20000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12914160"/>
        <c:crosses val="autoZero"/>
        <c:crossBetween val="between"/>
        <c:majorUnit val="500000"/>
        <c:minorUnit val="10000"/>
      </c:valAx>
      <c:valAx>
        <c:axId val="212920040"/>
        <c:scaling>
          <c:orientation val="minMax"/>
          <c:max val="600"/>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12915336"/>
        <c:crosses val="max"/>
        <c:crossBetween val="between"/>
      </c:valAx>
      <c:catAx>
        <c:axId val="212915336"/>
        <c:scaling>
          <c:orientation val="minMax"/>
        </c:scaling>
        <c:delete val="1"/>
        <c:axPos val="b"/>
        <c:numFmt formatCode="General" sourceLinked="1"/>
        <c:majorTickMark val="out"/>
        <c:minorTickMark val="none"/>
        <c:tickLblPos val="nextTo"/>
        <c:crossAx val="212920040"/>
        <c:crosses val="autoZero"/>
        <c:auto val="1"/>
        <c:lblAlgn val="ctr"/>
        <c:lblOffset val="100"/>
        <c:noMultiLvlLbl val="0"/>
      </c:catAx>
      <c:spPr>
        <a:noFill/>
        <a:ln>
          <a:noFill/>
        </a:ln>
        <a:effectLst/>
      </c:spPr>
    </c:plotArea>
    <c:legend>
      <c:legendPos val="b"/>
      <c:layout>
        <c:manualLayout>
          <c:xMode val="edge"/>
          <c:yMode val="edge"/>
          <c:x val="5.3771446914995948E-2"/>
          <c:y val="0.91066899970836979"/>
          <c:w val="0.8616824523081773"/>
          <c:h val="8.609981941751614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Tourism!$G$74</c:f>
              <c:strCache>
                <c:ptCount val="1"/>
                <c:pt idx="0">
                  <c:v>Direct Contribution to employment</c:v>
                </c:pt>
              </c:strCache>
            </c:strRef>
          </c:tx>
          <c:spPr>
            <a:solidFill>
              <a:schemeClr val="accent2"/>
            </a:solidFill>
            <a:ln>
              <a:noFill/>
            </a:ln>
            <a:effectLst/>
          </c:spPr>
          <c:invertIfNegative val="0"/>
          <c:cat>
            <c:numRef>
              <c:f>Tourism!$H$72:$Y$72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Tourism!$H$74:$Y$74</c:f>
              <c:numCache>
                <c:formatCode>_ * #\ ##0_ ;_ * \-#\ ##0_ ;_ * "-"??_ ;_ @_ </c:formatCode>
                <c:ptCount val="18"/>
                <c:pt idx="3">
                  <c:v>507384</c:v>
                </c:pt>
                <c:pt idx="4">
                  <c:v>553712</c:v>
                </c:pt>
                <c:pt idx="5">
                  <c:v>569688</c:v>
                </c:pt>
                <c:pt idx="6">
                  <c:v>609021</c:v>
                </c:pt>
                <c:pt idx="7">
                  <c:v>547934</c:v>
                </c:pt>
                <c:pt idx="8">
                  <c:v>603022</c:v>
                </c:pt>
                <c:pt idx="9">
                  <c:v>622929</c:v>
                </c:pt>
                <c:pt idx="10">
                  <c:v>646390</c:v>
                </c:pt>
                <c:pt idx="11">
                  <c:v>657766</c:v>
                </c:pt>
                <c:pt idx="12">
                  <c:v>681915</c:v>
                </c:pt>
                <c:pt idx="13">
                  <c:v>668651</c:v>
                </c:pt>
                <c:pt idx="14" formatCode="#,##0">
                  <c:v>705871</c:v>
                </c:pt>
                <c:pt idx="15" formatCode="#,##0">
                  <c:v>681619</c:v>
                </c:pt>
                <c:pt idx="16" formatCode="#,##0">
                  <c:v>739657</c:v>
                </c:pt>
              </c:numCache>
            </c:numRef>
          </c:val>
          <c:extLst>
            <c:ext xmlns:c16="http://schemas.microsoft.com/office/drawing/2014/chart" uri="{C3380CC4-5D6E-409C-BE32-E72D297353CC}">
              <c16:uniqueId val="{00000001-2923-4AA6-AAC0-4055BD374FC3}"/>
            </c:ext>
          </c:extLst>
        </c:ser>
        <c:dLbls>
          <c:showLegendKey val="0"/>
          <c:showVal val="0"/>
          <c:showCatName val="0"/>
          <c:showSerName val="0"/>
          <c:showPercent val="0"/>
          <c:showBubbleSize val="0"/>
        </c:dLbls>
        <c:gapWidth val="150"/>
        <c:axId val="2107852384"/>
        <c:axId val="79016720"/>
      </c:barChart>
      <c:lineChart>
        <c:grouping val="stacked"/>
        <c:varyColors val="0"/>
        <c:dLbls>
          <c:showLegendKey val="0"/>
          <c:showVal val="0"/>
          <c:showCatName val="0"/>
          <c:showSerName val="0"/>
          <c:showPercent val="0"/>
          <c:showBubbleSize val="0"/>
        </c:dLbls>
        <c:marker val="1"/>
        <c:smooth val="0"/>
        <c:axId val="2107852384"/>
        <c:axId val="79016720"/>
        <c:extLst>
          <c:ext xmlns:c15="http://schemas.microsoft.com/office/drawing/2012/chart" uri="{02D57815-91ED-43cb-92C2-25804820EDAC}">
            <c15:filteredLineSeries>
              <c15:ser>
                <c:idx val="2"/>
                <c:order val="2"/>
                <c:tx>
                  <c:strRef>
                    <c:extLst>
                      <c:ext uri="{02D57815-91ED-43cb-92C2-25804820EDAC}">
                        <c15:formulaRef>
                          <c15:sqref>Tourism!$G$75</c15:sqref>
                        </c15:formulaRef>
                      </c:ext>
                    </c:extLst>
                    <c:strCache>
                      <c:ptCount val="1"/>
                      <c:pt idx="0">
                        <c:v> Direct contribution of travel and tourism as % of SA GDP</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Tourism!$H$72:$Y$72</c15:sqref>
                        </c15:formulaRef>
                      </c:ext>
                    </c:extLst>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extLst>
                      <c:ext uri="{02D57815-91ED-43cb-92C2-25804820EDAC}">
                        <c15:formulaRef>
                          <c15:sqref>Tourism!$H$75:$Y$75</c15:sqref>
                        </c15:formulaRef>
                      </c:ext>
                    </c:extLst>
                    <c:numCache>
                      <c:formatCode>General</c:formatCode>
                      <c:ptCount val="18"/>
                      <c:pt idx="3" formatCode="0.0%">
                        <c:v>2.9000000000000001E-2</c:v>
                      </c:pt>
                      <c:pt idx="4" formatCode="0.0%">
                        <c:v>0.03</c:v>
                      </c:pt>
                      <c:pt idx="5" formatCode="0.0%">
                        <c:v>0.03</c:v>
                      </c:pt>
                      <c:pt idx="6" formatCode="0.0%">
                        <c:v>0.03</c:v>
                      </c:pt>
                      <c:pt idx="7" formatCode="0.0%">
                        <c:v>2.9000000000000001E-2</c:v>
                      </c:pt>
                      <c:pt idx="8" formatCode="0.0%">
                        <c:v>0.03</c:v>
                      </c:pt>
                      <c:pt idx="9" formatCode="0.0%">
                        <c:v>2.8000000000000001E-2</c:v>
                      </c:pt>
                      <c:pt idx="10" formatCode="0.0%">
                        <c:v>2.9000000000000001E-2</c:v>
                      </c:pt>
                      <c:pt idx="11" formatCode="0.0%">
                        <c:v>2.9000000000000001E-2</c:v>
                      </c:pt>
                      <c:pt idx="12" formatCode="0.0%">
                        <c:v>0.03</c:v>
                      </c:pt>
                      <c:pt idx="13" formatCode="0.0%">
                        <c:v>2.7E-2</c:v>
                      </c:pt>
                      <c:pt idx="14" formatCode="0.0%">
                        <c:v>2.9000000000000001E-2</c:v>
                      </c:pt>
                      <c:pt idx="15" formatCode="0.0%">
                        <c:v>2.5999999999999999E-2</c:v>
                      </c:pt>
                      <c:pt idx="16" formatCode="0.0%">
                        <c:v>2.7E-2</c:v>
                      </c:pt>
                    </c:numCache>
                  </c:numRef>
                </c:val>
                <c:smooth val="0"/>
                <c:extLst>
                  <c:ext xmlns:c16="http://schemas.microsoft.com/office/drawing/2014/chart" uri="{C3380CC4-5D6E-409C-BE32-E72D297353CC}">
                    <c16:uniqueId val="{00000002-2923-4AA6-AAC0-4055BD374FC3}"/>
                  </c:ext>
                </c:extLst>
              </c15:ser>
            </c15:filteredLineSeries>
          </c:ext>
        </c:extLst>
      </c:lineChart>
      <c:lineChart>
        <c:grouping val="stacked"/>
        <c:varyColors val="0"/>
        <c:ser>
          <c:idx val="0"/>
          <c:order val="0"/>
          <c:tx>
            <c:strRef>
              <c:f>Tourism!$G$73</c:f>
              <c:strCache>
                <c:ptCount val="1"/>
                <c:pt idx="0">
                  <c:v>Total (Direct and Indirect)contribution of travel and Tourism to GDP (R 'bn)</c:v>
                </c:pt>
              </c:strCache>
            </c:strRef>
          </c:tx>
          <c:spPr>
            <a:ln w="28575" cap="rnd">
              <a:solidFill>
                <a:schemeClr val="accent1"/>
              </a:solidFill>
              <a:round/>
            </a:ln>
            <a:effectLst/>
          </c:spPr>
          <c:marker>
            <c:symbol val="none"/>
          </c:marker>
          <c:cat>
            <c:numRef>
              <c:f>Tourism!$H$72:$Y$72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Tourism!$H$73:$Y$73</c:f>
              <c:numCache>
                <c:formatCode>0.0</c:formatCode>
                <c:ptCount val="18"/>
                <c:pt idx="0">
                  <c:v>243.43899999999999</c:v>
                </c:pt>
                <c:pt idx="1">
                  <c:v>253.61799999999999</c:v>
                </c:pt>
                <c:pt idx="2">
                  <c:v>252.922</c:v>
                </c:pt>
                <c:pt idx="3">
                  <c:v>279.91500000000002</c:v>
                </c:pt>
                <c:pt idx="4">
                  <c:v>339.43299999999999</c:v>
                </c:pt>
                <c:pt idx="5">
                  <c:v>350.51</c:v>
                </c:pt>
                <c:pt idx="6">
                  <c:v>350.786</c:v>
                </c:pt>
                <c:pt idx="7">
                  <c:v>342.245</c:v>
                </c:pt>
                <c:pt idx="8">
                  <c:v>338.97399999999999</c:v>
                </c:pt>
                <c:pt idx="9">
                  <c:v>330.24200000000002</c:v>
                </c:pt>
                <c:pt idx="10">
                  <c:v>364.51299999999998</c:v>
                </c:pt>
                <c:pt idx="11">
                  <c:v>386.24799999999999</c:v>
                </c:pt>
                <c:pt idx="12">
                  <c:v>394.30099999999999</c:v>
                </c:pt>
                <c:pt idx="13">
                  <c:v>367.05900000000003</c:v>
                </c:pt>
                <c:pt idx="14">
                  <c:v>375.90899999999999</c:v>
                </c:pt>
                <c:pt idx="15">
                  <c:v>345.13900000000001</c:v>
                </c:pt>
                <c:pt idx="16">
                  <c:v>358.76400000000001</c:v>
                </c:pt>
                <c:pt idx="17">
                  <c:v>354.93700000000001</c:v>
                </c:pt>
              </c:numCache>
            </c:numRef>
          </c:val>
          <c:smooth val="0"/>
          <c:extLst>
            <c:ext xmlns:c16="http://schemas.microsoft.com/office/drawing/2014/chart" uri="{C3380CC4-5D6E-409C-BE32-E72D297353CC}">
              <c16:uniqueId val="{00000000-2923-4AA6-AAC0-4055BD374FC3}"/>
            </c:ext>
          </c:extLst>
        </c:ser>
        <c:dLbls>
          <c:showLegendKey val="0"/>
          <c:showVal val="0"/>
          <c:showCatName val="0"/>
          <c:showSerName val="0"/>
          <c:showPercent val="0"/>
          <c:showBubbleSize val="0"/>
        </c:dLbls>
        <c:marker val="1"/>
        <c:smooth val="0"/>
        <c:axId val="369191440"/>
        <c:axId val="315237376"/>
      </c:lineChart>
      <c:catAx>
        <c:axId val="2107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16720"/>
        <c:crosses val="autoZero"/>
        <c:auto val="1"/>
        <c:lblAlgn val="ctr"/>
        <c:lblOffset val="100"/>
        <c:noMultiLvlLbl val="0"/>
      </c:catAx>
      <c:valAx>
        <c:axId val="7901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7852384"/>
        <c:crosses val="autoZero"/>
        <c:crossBetween val="between"/>
      </c:valAx>
      <c:valAx>
        <c:axId val="315237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191440"/>
        <c:crosses val="max"/>
        <c:crossBetween val="between"/>
      </c:valAx>
      <c:catAx>
        <c:axId val="369191440"/>
        <c:scaling>
          <c:orientation val="minMax"/>
        </c:scaling>
        <c:delete val="1"/>
        <c:axPos val="b"/>
        <c:numFmt formatCode="General" sourceLinked="1"/>
        <c:majorTickMark val="out"/>
        <c:minorTickMark val="none"/>
        <c:tickLblPos val="nextTo"/>
        <c:crossAx val="315237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Missions!$D$14</c:f>
              <c:strCache>
                <c:ptCount val="1"/>
                <c:pt idx="0">
                  <c:v>All Missions</c:v>
                </c:pt>
              </c:strCache>
            </c:strRef>
          </c:tx>
          <c:spPr>
            <a:solidFill>
              <a:srgbClr val="BD8E31"/>
            </a:solidFill>
          </c:spPr>
          <c:invertIfNegative val="0"/>
          <c:cat>
            <c:strRef>
              <c:f>Missions!$E$8:$N$8</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Missions!$E$14:$N$14</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2FAF-44F7-8555-F6B03ADE67AE}"/>
            </c:ext>
          </c:extLst>
        </c:ser>
        <c:dLbls>
          <c:showLegendKey val="0"/>
          <c:showVal val="0"/>
          <c:showCatName val="0"/>
          <c:showSerName val="0"/>
          <c:showPercent val="0"/>
          <c:showBubbleSize val="0"/>
        </c:dLbls>
        <c:gapWidth val="150"/>
        <c:axId val="212635448"/>
        <c:axId val="212635056"/>
      </c:barChart>
      <c:catAx>
        <c:axId val="212635448"/>
        <c:scaling>
          <c:orientation val="minMax"/>
        </c:scaling>
        <c:delete val="0"/>
        <c:axPos val="b"/>
        <c:numFmt formatCode="General" sourceLinked="0"/>
        <c:majorTickMark val="out"/>
        <c:minorTickMark val="none"/>
        <c:tickLblPos val="nextTo"/>
        <c:crossAx val="212635056"/>
        <c:crosses val="autoZero"/>
        <c:auto val="1"/>
        <c:lblAlgn val="ctr"/>
        <c:lblOffset val="100"/>
        <c:noMultiLvlLbl val="0"/>
      </c:catAx>
      <c:valAx>
        <c:axId val="212635056"/>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overlay val="0"/>
        </c:title>
        <c:numFmt formatCode="General" sourceLinked="1"/>
        <c:majorTickMark val="out"/>
        <c:minorTickMark val="none"/>
        <c:tickLblPos val="nextTo"/>
        <c:crossAx val="212635448"/>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representation and missions</a:t>
            </a:r>
          </a:p>
        </c:rich>
      </c:tx>
      <c:overlay val="0"/>
    </c:title>
    <c:autoTitleDeleted val="0"/>
    <c:plotArea>
      <c:layout>
        <c:manualLayout>
          <c:layoutTarget val="inner"/>
          <c:xMode val="edge"/>
          <c:yMode val="edge"/>
          <c:x val="4.4988758483116932E-2"/>
          <c:y val="0.28195661846236081"/>
          <c:w val="0.9550112415168831"/>
          <c:h val="0.59511298708171601"/>
        </c:manualLayout>
      </c:layout>
      <c:barChart>
        <c:barDir val="col"/>
        <c:grouping val="clustered"/>
        <c:varyColors val="0"/>
        <c:ser>
          <c:idx val="6"/>
          <c:order val="0"/>
          <c:tx>
            <c:strRef>
              <c:f>Missions!$D$63</c:f>
              <c:strCache>
                <c:ptCount val="1"/>
                <c:pt idx="0">
                  <c:v>Total foreign representation</c:v>
                </c:pt>
              </c:strCache>
            </c:strRef>
          </c:tx>
          <c:spPr>
            <a:solidFill>
              <a:srgbClr val="FCD5B5"/>
            </a:solidFill>
          </c:spPr>
          <c:invertIfNegative val="0"/>
          <c:cat>
            <c:strRef>
              <c:f>Missions!$F$56:$Y$56</c:f>
              <c:strCache>
                <c:ptCount val="20"/>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strCache>
            </c:strRef>
          </c:cat>
          <c:val>
            <c:numRef>
              <c:f>Missions!$F$63:$Y$63</c:f>
              <c:numCache>
                <c:formatCode>General</c:formatCode>
                <c:ptCount val="20"/>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pt idx="15">
                  <c:v>341</c:v>
                </c:pt>
                <c:pt idx="16">
                  <c:v>325</c:v>
                </c:pt>
                <c:pt idx="17">
                  <c:v>325</c:v>
                </c:pt>
                <c:pt idx="18">
                  <c:v>327</c:v>
                </c:pt>
                <c:pt idx="19">
                  <c:v>322</c:v>
                </c:pt>
              </c:numCache>
            </c:numRef>
          </c:val>
          <c:extLst>
            <c:ext xmlns:c16="http://schemas.microsoft.com/office/drawing/2014/chart" uri="{C3380CC4-5D6E-409C-BE32-E72D297353CC}">
              <c16:uniqueId val="{00000000-9418-4956-B2CD-FA970FB8E910}"/>
            </c:ext>
          </c:extLst>
        </c:ser>
        <c:ser>
          <c:idx val="7"/>
          <c:order val="1"/>
          <c:tx>
            <c:strRef>
              <c:f>Missions!$D$64</c:f>
              <c:strCache>
                <c:ptCount val="1"/>
                <c:pt idx="0">
                  <c:v>All missions</c:v>
                </c:pt>
              </c:strCache>
            </c:strRef>
          </c:tx>
          <c:spPr>
            <a:solidFill>
              <a:srgbClr val="F8A662"/>
            </a:solidFill>
          </c:spPr>
          <c:invertIfNegative val="0"/>
          <c:cat>
            <c:strRef>
              <c:f>Missions!$F$56:$Y$56</c:f>
              <c:strCache>
                <c:ptCount val="20"/>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strCache>
            </c:strRef>
          </c:cat>
          <c:val>
            <c:numRef>
              <c:f>Missions!$F$64:$Y$64</c:f>
              <c:numCache>
                <c:formatCode>General</c:formatCode>
                <c:ptCount val="20"/>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pt idx="15">
                  <c:v>124</c:v>
                </c:pt>
                <c:pt idx="17">
                  <c:v>124</c:v>
                </c:pt>
                <c:pt idx="18">
                  <c:v>125</c:v>
                </c:pt>
                <c:pt idx="19">
                  <c:v>125</c:v>
                </c:pt>
              </c:numCache>
            </c:numRef>
          </c:val>
          <c:extLst>
            <c:ext xmlns:c16="http://schemas.microsoft.com/office/drawing/2014/chart" uri="{C3380CC4-5D6E-409C-BE32-E72D297353CC}">
              <c16:uniqueId val="{00000001-9418-4956-B2CD-FA970FB8E910}"/>
            </c:ext>
          </c:extLst>
        </c:ser>
        <c:dLbls>
          <c:showLegendKey val="0"/>
          <c:showVal val="0"/>
          <c:showCatName val="0"/>
          <c:showSerName val="0"/>
          <c:showPercent val="0"/>
          <c:showBubbleSize val="0"/>
        </c:dLbls>
        <c:gapWidth val="150"/>
        <c:axId val="212632704"/>
        <c:axId val="212631136"/>
      </c:barChart>
      <c:catAx>
        <c:axId val="212632704"/>
        <c:scaling>
          <c:orientation val="minMax"/>
        </c:scaling>
        <c:delete val="0"/>
        <c:axPos val="b"/>
        <c:numFmt formatCode="General" sourceLinked="0"/>
        <c:majorTickMark val="none"/>
        <c:minorTickMark val="none"/>
        <c:tickLblPos val="nextTo"/>
        <c:crossAx val="212631136"/>
        <c:crosses val="autoZero"/>
        <c:auto val="1"/>
        <c:lblAlgn val="ctr"/>
        <c:lblOffset val="100"/>
        <c:noMultiLvlLbl val="0"/>
      </c:catAx>
      <c:valAx>
        <c:axId val="212631136"/>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212632704"/>
        <c:crosses val="autoZero"/>
        <c:crossBetween val="between"/>
      </c:valAx>
      <c:spPr>
        <a:ln>
          <a:noFill/>
        </a:ln>
      </c:spPr>
    </c:plotArea>
    <c:legend>
      <c:legendPos val="b"/>
      <c:layout>
        <c:manualLayout>
          <c:xMode val="edge"/>
          <c:yMode val="edge"/>
          <c:x val="0.3981216290943172"/>
          <c:y val="0.92578929377077357"/>
          <c:w val="0.24646670585415406"/>
          <c:h val="7.0123947031132339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0.10172159520734791"/>
          <c:y val="0.20327868852459041"/>
          <c:w val="0.87793561402034759"/>
          <c:h val="0.57704918032786889"/>
        </c:manualLayout>
      </c:layout>
      <c:barChart>
        <c:barDir val="col"/>
        <c:grouping val="clustered"/>
        <c:varyColors val="0"/>
        <c:ser>
          <c:idx val="1"/>
          <c:order val="0"/>
          <c:tx>
            <c:strRef>
              <c:f>'International Agreements'!$D$9</c:f>
              <c:strCache>
                <c:ptCount val="1"/>
                <c:pt idx="0">
                  <c:v>Multilateral</c:v>
                </c:pt>
              </c:strCache>
            </c:strRef>
          </c:tx>
          <c:spPr>
            <a:solidFill>
              <a:srgbClr val="FCD5B5"/>
            </a:solidFill>
            <a:ln w="12700">
              <a:noFill/>
              <a:prstDash val="solid"/>
            </a:ln>
          </c:spPr>
          <c:invertIfNegative val="0"/>
          <c:cat>
            <c:numRef>
              <c:f>'International Agreements'!$E$8:$X$8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'International Agreements'!$E$9:$X$9</c:f>
              <c:numCache>
                <c:formatCode>General</c:formatCode>
                <c:ptCount val="20"/>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pt idx="16">
                  <c:v>7</c:v>
                </c:pt>
                <c:pt idx="17">
                  <c:v>10</c:v>
                </c:pt>
                <c:pt idx="18">
                  <c:v>6</c:v>
                </c:pt>
                <c:pt idx="19">
                  <c:v>7</c:v>
                </c:pt>
              </c:numCache>
            </c:numRef>
          </c:val>
          <c:extLst>
            <c:ext xmlns:c16="http://schemas.microsoft.com/office/drawing/2014/chart" uri="{C3380CC4-5D6E-409C-BE32-E72D297353CC}">
              <c16:uniqueId val="{00000000-2F01-4379-B192-4A8E8126C33A}"/>
            </c:ext>
          </c:extLst>
        </c:ser>
        <c:ser>
          <c:idx val="2"/>
          <c:order val="1"/>
          <c:tx>
            <c:strRef>
              <c:f>'International Agreements'!$D$10</c:f>
              <c:strCache>
                <c:ptCount val="1"/>
                <c:pt idx="0">
                  <c:v>Bilateral</c:v>
                </c:pt>
              </c:strCache>
            </c:strRef>
          </c:tx>
          <c:spPr>
            <a:solidFill>
              <a:srgbClr val="F8A662"/>
            </a:solidFill>
          </c:spPr>
          <c:invertIfNegative val="0"/>
          <c:cat>
            <c:numRef>
              <c:f>'International Agreements'!$E$8:$X$8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'International Agreements'!$E$10:$X$10</c:f>
              <c:numCache>
                <c:formatCode>General</c:formatCode>
                <c:ptCount val="20"/>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pt idx="16">
                  <c:v>71</c:v>
                </c:pt>
                <c:pt idx="17">
                  <c:v>59</c:v>
                </c:pt>
                <c:pt idx="18">
                  <c:v>48</c:v>
                </c:pt>
                <c:pt idx="19">
                  <c:v>22</c:v>
                </c:pt>
              </c:numCache>
            </c:numRef>
          </c:val>
          <c:extLst>
            <c:ext xmlns:c16="http://schemas.microsoft.com/office/drawing/2014/chart" uri="{C3380CC4-5D6E-409C-BE32-E72D297353CC}">
              <c16:uniqueId val="{00000001-2F01-4379-B192-4A8E8126C33A}"/>
            </c:ext>
          </c:extLst>
        </c:ser>
        <c:dLbls>
          <c:showLegendKey val="0"/>
          <c:showVal val="0"/>
          <c:showCatName val="0"/>
          <c:showSerName val="0"/>
          <c:showPercent val="0"/>
          <c:showBubbleSize val="0"/>
        </c:dLbls>
        <c:gapWidth val="150"/>
        <c:axId val="223935616"/>
        <c:axId val="223936008"/>
      </c:barChart>
      <c:catAx>
        <c:axId val="223935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936008"/>
        <c:crosses val="autoZero"/>
        <c:auto val="1"/>
        <c:lblAlgn val="ctr"/>
        <c:lblOffset val="100"/>
        <c:tickLblSkip val="1"/>
        <c:tickMarkSkip val="1"/>
        <c:noMultiLvlLbl val="0"/>
      </c:catAx>
      <c:valAx>
        <c:axId val="22393600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no</a:t>
                </a:r>
              </a:p>
            </c:rich>
          </c:tx>
          <c:layout>
            <c:manualLayout>
              <c:xMode val="edge"/>
              <c:yMode val="edge"/>
              <c:x val="2.5039138830113505E-2"/>
              <c:y val="0.465573770491803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3935616"/>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'[34]Revised Tax return'!$C$9</c:f>
              <c:strCache>
                <c:ptCount val="1"/>
                <c:pt idx="0">
                  <c:v>Revenue collection</c:v>
                </c:pt>
              </c:strCache>
            </c:strRef>
          </c:tx>
          <c:spPr>
            <a:solidFill>
              <a:srgbClr val="9999FF"/>
            </a:solidFill>
            <a:ln w="12700">
              <a:solidFill>
                <a:srgbClr val="000000"/>
              </a:solidFill>
              <a:prstDash val="solid"/>
            </a:ln>
          </c:spPr>
          <c:invertIfNegative val="0"/>
          <c:cat>
            <c:numRef>
              <c:f>'[34]Revised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'[34]Revised Tax return'!$E$9:$O$9</c:f>
              <c:numCache>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Cache>
            </c:numRef>
          </c:val>
          <c:extLst>
            <c:ext xmlns:c16="http://schemas.microsoft.com/office/drawing/2014/chart" uri="{C3380CC4-5D6E-409C-BE32-E72D297353CC}">
              <c16:uniqueId val="{00000000-67B1-4DBF-A461-59DE05A99AA2}"/>
            </c:ext>
          </c:extLst>
        </c:ser>
        <c:ser>
          <c:idx val="1"/>
          <c:order val="1"/>
          <c:tx>
            <c:strRef>
              <c:f>'[34]Revised Tax return'!$C$10</c:f>
              <c:strCache>
                <c:ptCount val="1"/>
                <c:pt idx="0">
                  <c:v>Annual tax relief</c:v>
                </c:pt>
              </c:strCache>
            </c:strRef>
          </c:tx>
          <c:spPr>
            <a:solidFill>
              <a:srgbClr val="993366"/>
            </a:solidFill>
            <a:ln w="12700">
              <a:solidFill>
                <a:srgbClr val="000000"/>
              </a:solidFill>
              <a:prstDash val="solid"/>
            </a:ln>
          </c:spPr>
          <c:invertIfNegative val="0"/>
          <c:cat>
            <c:numRef>
              <c:f>'[34]Revised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'[34]Revised Tax return'!$D$10:$O$10</c:f>
              <c:numCache>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Cache>
            </c:numRef>
          </c:val>
          <c:extLst>
            <c:ext xmlns:c16="http://schemas.microsoft.com/office/drawing/2014/chart" uri="{C3380CC4-5D6E-409C-BE32-E72D297353CC}">
              <c16:uniqueId val="{00000001-67B1-4DBF-A461-59DE05A99AA2}"/>
            </c:ext>
          </c:extLst>
        </c:ser>
        <c:ser>
          <c:idx val="2"/>
          <c:order val="2"/>
          <c:tx>
            <c:strRef>
              <c:f>'[34]Revised Tax return'!$C$11</c:f>
              <c:strCache>
                <c:ptCount val="1"/>
                <c:pt idx="0">
                  <c:v>Tax register</c:v>
                </c:pt>
              </c:strCache>
            </c:strRef>
          </c:tx>
          <c:spPr>
            <a:solidFill>
              <a:srgbClr val="FFFFCC"/>
            </a:solidFill>
            <a:ln w="12700">
              <a:solidFill>
                <a:srgbClr val="000000"/>
              </a:solidFill>
              <a:prstDash val="solid"/>
            </a:ln>
          </c:spPr>
          <c:invertIfNegative val="0"/>
          <c:cat>
            <c:numRef>
              <c:f>'[34]Revised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'[34]Revised Tax return'!$D$11:$O$11</c:f>
              <c:numCache>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Cache>
            </c:numRef>
          </c:val>
          <c:extLst>
            <c:ext xmlns:c16="http://schemas.microsoft.com/office/drawing/2014/chart" uri="{C3380CC4-5D6E-409C-BE32-E72D297353CC}">
              <c16:uniqueId val="{00000002-67B1-4DBF-A461-59DE05A99AA2}"/>
            </c:ext>
          </c:extLst>
        </c:ser>
        <c:dLbls>
          <c:showLegendKey val="0"/>
          <c:showVal val="0"/>
          <c:showCatName val="0"/>
          <c:showSerName val="0"/>
          <c:showPercent val="0"/>
          <c:showBubbleSize val="0"/>
        </c:dLbls>
        <c:gapWidth val="150"/>
        <c:overlap val="100"/>
        <c:axId val="532775616"/>
        <c:axId val="532767776"/>
      </c:barChart>
      <c:catAx>
        <c:axId val="532775616"/>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776"/>
        <c:crosses val="max"/>
        <c:auto val="1"/>
        <c:lblAlgn val="ctr"/>
        <c:lblOffset val="100"/>
        <c:tickLblSkip val="1"/>
        <c:tickMarkSkip val="1"/>
        <c:noMultiLvlLbl val="0"/>
      </c:catAx>
      <c:valAx>
        <c:axId val="53276777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5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spPr>
            <a:solidFill>
              <a:srgbClr val="FF6600"/>
            </a:solidFill>
            <a:ln w="12700">
              <a:solidFill>
                <a:srgbClr val="000000"/>
              </a:solidFill>
              <a:prstDash val="solid"/>
            </a:ln>
          </c:spPr>
          <c:invertIfNegative val="0"/>
          <c:val>
            <c:numRef>
              <c:f>'[35]Tax Admin'!$F$18:$R$18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'[35]Tax Admin'!$D$18</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'[35]Tax Admin'!$F$8:$R$8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15:cat>
              </c15:filteredCategoryTitle>
            </c:ext>
            <c:ext xmlns:c16="http://schemas.microsoft.com/office/drawing/2014/chart" uri="{C3380CC4-5D6E-409C-BE32-E72D297353CC}">
              <c16:uniqueId val="{00000000-2868-4359-A606-AFBEF55BC9B0}"/>
            </c:ext>
          </c:extLst>
        </c:ser>
        <c:dLbls>
          <c:showLegendKey val="0"/>
          <c:showVal val="0"/>
          <c:showCatName val="0"/>
          <c:showSerName val="0"/>
          <c:showPercent val="0"/>
          <c:showBubbleSize val="0"/>
        </c:dLbls>
        <c:gapWidth val="150"/>
        <c:axId val="532766208"/>
        <c:axId val="532766600"/>
      </c:barChart>
      <c:lineChart>
        <c:grouping val="standard"/>
        <c:varyColors val="0"/>
        <c:ser>
          <c:idx val="0"/>
          <c:order val="1"/>
          <c:spPr>
            <a:ln w="25400">
              <a:solidFill>
                <a:srgbClr val="993300"/>
              </a:solidFill>
              <a:prstDash val="solid"/>
            </a:ln>
          </c:spPr>
          <c:marker>
            <c:symbol val="none"/>
          </c:marker>
          <c:val>
            <c:numRef>
              <c:f>'[35]Tax Admin'!$F$11:$R$11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'[35]Tax Admin'!$D$11</c15:sqref>
                        </c15:formulaRef>
                      </c:ext>
                    </c:extLst>
                    <c:strCache>
                      <c:ptCount val="1"/>
                      <c:pt idx="0">
                        <c:v>#REF!</c:v>
                      </c:pt>
                    </c:strCache>
                  </c:strRef>
                </c15:tx>
              </c15:filteredSeriesTitle>
            </c:ext>
            <c:ext xmlns:c16="http://schemas.microsoft.com/office/drawing/2014/chart" uri="{C3380CC4-5D6E-409C-BE32-E72D297353CC}">
              <c16:uniqueId val="{00000001-2868-4359-A606-AFBEF55BC9B0}"/>
            </c:ext>
          </c:extLst>
        </c:ser>
        <c:dLbls>
          <c:showLegendKey val="0"/>
          <c:showVal val="0"/>
          <c:showCatName val="0"/>
          <c:showSerName val="0"/>
          <c:showPercent val="0"/>
          <c:showBubbleSize val="0"/>
        </c:dLbls>
        <c:marker val="1"/>
        <c:smooth val="0"/>
        <c:axId val="532774440"/>
        <c:axId val="532770128"/>
      </c:lineChart>
      <c:catAx>
        <c:axId val="5327662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600"/>
        <c:crosses val="autoZero"/>
        <c:auto val="0"/>
        <c:lblAlgn val="ctr"/>
        <c:lblOffset val="100"/>
        <c:tickLblSkip val="1"/>
        <c:tickMarkSkip val="1"/>
        <c:noMultiLvlLbl val="0"/>
      </c:catAx>
      <c:valAx>
        <c:axId val="5327666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208"/>
        <c:crosses val="autoZero"/>
        <c:crossBetween val="between"/>
      </c:valAx>
      <c:catAx>
        <c:axId val="532774440"/>
        <c:scaling>
          <c:orientation val="minMax"/>
        </c:scaling>
        <c:delete val="1"/>
        <c:axPos val="b"/>
        <c:majorTickMark val="out"/>
        <c:minorTickMark val="none"/>
        <c:tickLblPos val="none"/>
        <c:crossAx val="532770128"/>
        <c:crosses val="autoZero"/>
        <c:auto val="0"/>
        <c:lblAlgn val="ctr"/>
        <c:lblOffset val="100"/>
        <c:noMultiLvlLbl val="0"/>
      </c:catAx>
      <c:valAx>
        <c:axId val="532770128"/>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4440"/>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4.5489675236378584E-2"/>
          <c:y val="0.25016353229762878"/>
          <c:w val="0.86190917516219323"/>
          <c:h val="0.6334310850439886"/>
        </c:manualLayout>
      </c:layout>
      <c:barChart>
        <c:barDir val="col"/>
        <c:grouping val="stacked"/>
        <c:varyColors val="0"/>
        <c:ser>
          <c:idx val="0"/>
          <c:order val="0"/>
          <c:tx>
            <c:strRef>
              <c:f>'Tax Admin '!$D$68</c:f>
              <c:strCache>
                <c:ptCount val="1"/>
                <c:pt idx="0">
                  <c:v>Personal Income Tax (PIT)</c:v>
                </c:pt>
              </c:strCache>
            </c:strRef>
          </c:tx>
          <c:spPr>
            <a:solidFill>
              <a:srgbClr val="FCD5B5"/>
            </a:solidFill>
          </c:spPr>
          <c:invertIfNegative val="0"/>
          <c:cat>
            <c:strRef>
              <c:f>'Tax Admin '!$F$67:$AC$67</c:f>
              <c:strCache>
                <c:ptCount val="24"/>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strCache>
            </c:strRef>
          </c:cat>
          <c:val>
            <c:numRef>
              <c:f>'Tax Admin '!$F$68:$AC$68</c:f>
              <c:numCache>
                <c:formatCode>_-* #\ ##0.0_-;\-* #\ ##0.0_-;_-* "-"?_-;_-@_-</c:formatCode>
                <c:ptCount val="24"/>
                <c:pt idx="0">
                  <c:v>59.519830999999996</c:v>
                </c:pt>
                <c:pt idx="1">
                  <c:v>68.342382000000001</c:v>
                </c:pt>
                <c:pt idx="2">
                  <c:v>77.733899999999991</c:v>
                </c:pt>
                <c:pt idx="3">
                  <c:v>85.883786999999998</c:v>
                </c:pt>
                <c:pt idx="4">
                  <c:v>86.477998000000014</c:v>
                </c:pt>
                <c:pt idx="5">
                  <c:v>90.389505</c:v>
                </c:pt>
                <c:pt idx="6">
                  <c:v>94.336679000000004</c:v>
                </c:pt>
                <c:pt idx="7">
                  <c:v>98.495130000000003</c:v>
                </c:pt>
                <c:pt idx="8">
                  <c:v>111.696561</c:v>
                </c:pt>
                <c:pt idx="9">
                  <c:v>126.41636699999999</c:v>
                </c:pt>
                <c:pt idx="10">
                  <c:v>141.39708000000002</c:v>
                </c:pt>
                <c:pt idx="11">
                  <c:v>169.53925300000003</c:v>
                </c:pt>
                <c:pt idx="12">
                  <c:v>196.068037</c:v>
                </c:pt>
                <c:pt idx="13">
                  <c:v>206.48353338388009</c:v>
                </c:pt>
                <c:pt idx="14">
                  <c:v>228.09611159448002</c:v>
                </c:pt>
                <c:pt idx="15">
                  <c:v>251.33914729868999</c:v>
                </c:pt>
                <c:pt idx="16">
                  <c:v>276.67857430246005</c:v>
                </c:pt>
                <c:pt idx="17">
                  <c:v>310.92899241367002</c:v>
                </c:pt>
                <c:pt idx="18">
                  <c:v>353.91810976956992</c:v>
                </c:pt>
                <c:pt idx="19">
                  <c:v>389.27970173759996</c:v>
                </c:pt>
                <c:pt idx="20">
                  <c:v>425.92406663148006</c:v>
                </c:pt>
                <c:pt idx="21">
                  <c:v>462.90313275247996</c:v>
                </c:pt>
                <c:pt idx="22">
                  <c:v>493.82877995540997</c:v>
                </c:pt>
                <c:pt idx="23">
                  <c:v>529.17200000000003</c:v>
                </c:pt>
              </c:numCache>
            </c:numRef>
          </c:val>
          <c:extLst>
            <c:ext xmlns:c16="http://schemas.microsoft.com/office/drawing/2014/chart" uri="{C3380CC4-5D6E-409C-BE32-E72D297353CC}">
              <c16:uniqueId val="{00000000-702E-4AC5-98B1-75E09DD7C2B7}"/>
            </c:ext>
          </c:extLst>
        </c:ser>
        <c:ser>
          <c:idx val="1"/>
          <c:order val="1"/>
          <c:tx>
            <c:strRef>
              <c:f>'Tax Admin '!$D$69</c:f>
              <c:strCache>
                <c:ptCount val="1"/>
                <c:pt idx="0">
                  <c:v>Corporate Income Tax (CIT)</c:v>
                </c:pt>
              </c:strCache>
            </c:strRef>
          </c:tx>
          <c:spPr>
            <a:solidFill>
              <a:srgbClr val="F8A662"/>
            </a:solidFill>
          </c:spPr>
          <c:invertIfNegative val="0"/>
          <c:cat>
            <c:strRef>
              <c:f>'Tax Admin '!$F$67:$AC$67</c:f>
              <c:strCache>
                <c:ptCount val="24"/>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strCache>
            </c:strRef>
          </c:cat>
          <c:val>
            <c:numRef>
              <c:f>'Tax Admin '!$F$69:$AC$69</c:f>
              <c:numCache>
                <c:formatCode>_-* #\ ##0.0_-;\-* #\ ##0.0_-;_-* "-"?_-;_-@_-</c:formatCode>
                <c:ptCount val="24"/>
                <c:pt idx="0">
                  <c:v>16.985002000000001</c:v>
                </c:pt>
                <c:pt idx="1">
                  <c:v>19.696403999999998</c:v>
                </c:pt>
                <c:pt idx="2">
                  <c:v>20.388000000000002</c:v>
                </c:pt>
                <c:pt idx="3">
                  <c:v>20.971606999999999</c:v>
                </c:pt>
                <c:pt idx="4">
                  <c:v>29.491826</c:v>
                </c:pt>
                <c:pt idx="5">
                  <c:v>42.354472000000001</c:v>
                </c:pt>
                <c:pt idx="6">
                  <c:v>55.745053999999996</c:v>
                </c:pt>
                <c:pt idx="7">
                  <c:v>60.880803</c:v>
                </c:pt>
                <c:pt idx="8">
                  <c:v>71.62936000000002</c:v>
                </c:pt>
                <c:pt idx="9">
                  <c:v>87.326989999999995</c:v>
                </c:pt>
                <c:pt idx="10">
                  <c:v>120.11144</c:v>
                </c:pt>
                <c:pt idx="11">
                  <c:v>141.635435</c:v>
                </c:pt>
                <c:pt idx="12">
                  <c:v>167.20223999999999</c:v>
                </c:pt>
                <c:pt idx="13">
                  <c:v>136.97793176756997</c:v>
                </c:pt>
                <c:pt idx="14">
                  <c:v>134.63507949267003</c:v>
                </c:pt>
                <c:pt idx="15">
                  <c:v>153.27217884888</c:v>
                </c:pt>
                <c:pt idx="16">
                  <c:v>160.89579553077999</c:v>
                </c:pt>
                <c:pt idx="17">
                  <c:v>179.52012193793001</c:v>
                </c:pt>
                <c:pt idx="18">
                  <c:v>186.62155362948002</c:v>
                </c:pt>
                <c:pt idx="19">
                  <c:v>193.38529987314004</c:v>
                </c:pt>
                <c:pt idx="20">
                  <c:v>207.0273</c:v>
                </c:pt>
                <c:pt idx="21">
                  <c:v>220.23855604764</c:v>
                </c:pt>
                <c:pt idx="22">
                  <c:v>214.38837708902</c:v>
                </c:pt>
                <c:pt idx="23">
                  <c:v>214.98599999999999</c:v>
                </c:pt>
              </c:numCache>
            </c:numRef>
          </c:val>
          <c:extLst>
            <c:ext xmlns:c16="http://schemas.microsoft.com/office/drawing/2014/chart" uri="{C3380CC4-5D6E-409C-BE32-E72D297353CC}">
              <c16:uniqueId val="{00000001-702E-4AC5-98B1-75E09DD7C2B7}"/>
            </c:ext>
          </c:extLst>
        </c:ser>
        <c:ser>
          <c:idx val="2"/>
          <c:order val="2"/>
          <c:tx>
            <c:strRef>
              <c:f>'Tax Admin '!$D$70</c:f>
              <c:strCache>
                <c:ptCount val="1"/>
                <c:pt idx="0">
                  <c:v>Value Added Tax (VAT)</c:v>
                </c:pt>
              </c:strCache>
            </c:strRef>
          </c:tx>
          <c:spPr>
            <a:solidFill>
              <a:srgbClr val="E46C0A"/>
            </a:solidFill>
          </c:spPr>
          <c:invertIfNegative val="0"/>
          <c:cat>
            <c:strRef>
              <c:f>'Tax Admin '!$F$67:$AC$67</c:f>
              <c:strCache>
                <c:ptCount val="24"/>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strCache>
            </c:strRef>
          </c:cat>
          <c:val>
            <c:numRef>
              <c:f>'Tax Admin '!$F$70:$AC$70</c:f>
              <c:numCache>
                <c:formatCode>_-* #\ ##0.0_-;\-* #\ ##0.0_-;_-* "-"?_-;_-@_-</c:formatCode>
                <c:ptCount val="24"/>
                <c:pt idx="0">
                  <c:v>35.902887</c:v>
                </c:pt>
                <c:pt idx="1">
                  <c:v>40.095641000000001</c:v>
                </c:pt>
                <c:pt idx="2">
                  <c:v>43.985399999999998</c:v>
                </c:pt>
                <c:pt idx="3">
                  <c:v>48.376839999999994</c:v>
                </c:pt>
                <c:pt idx="4">
                  <c:v>54.455193000000001</c:v>
                </c:pt>
                <c:pt idx="5">
                  <c:v>61.056608999999995</c:v>
                </c:pt>
                <c:pt idx="6">
                  <c:v>70.149851999999996</c:v>
                </c:pt>
                <c:pt idx="7">
                  <c:v>80.68175500000001</c:v>
                </c:pt>
                <c:pt idx="8">
                  <c:v>98.157875000000004</c:v>
                </c:pt>
                <c:pt idx="9">
                  <c:v>114.35163799999998</c:v>
                </c:pt>
                <c:pt idx="10">
                  <c:v>134.46259899999998</c:v>
                </c:pt>
                <c:pt idx="11">
                  <c:v>150.442849</c:v>
                </c:pt>
                <c:pt idx="12">
                  <c:v>154.34312100000002</c:v>
                </c:pt>
                <c:pt idx="13">
                  <c:v>147.94132226163995</c:v>
                </c:pt>
                <c:pt idx="14">
                  <c:v>183.57143947361001</c:v>
                </c:pt>
                <c:pt idx="15">
                  <c:v>191.02019853625001</c:v>
                </c:pt>
                <c:pt idx="16">
                  <c:v>215.02303517332999</c:v>
                </c:pt>
                <c:pt idx="17">
                  <c:v>237.66657887254004</c:v>
                </c:pt>
                <c:pt idx="18">
                  <c:v>261.29478794094996</c:v>
                </c:pt>
                <c:pt idx="19">
                  <c:v>281.11141002235991</c:v>
                </c:pt>
                <c:pt idx="20">
                  <c:v>289.16672246190001</c:v>
                </c:pt>
                <c:pt idx="21">
                  <c:v>297.99759999999998</c:v>
                </c:pt>
                <c:pt idx="22">
                  <c:v>324.76596133560002</c:v>
                </c:pt>
                <c:pt idx="23">
                  <c:v>346.76100000000002</c:v>
                </c:pt>
              </c:numCache>
            </c:numRef>
          </c:val>
          <c:extLst>
            <c:ext xmlns:c16="http://schemas.microsoft.com/office/drawing/2014/chart" uri="{C3380CC4-5D6E-409C-BE32-E72D297353CC}">
              <c16:uniqueId val="{00000002-702E-4AC5-98B1-75E09DD7C2B7}"/>
            </c:ext>
          </c:extLst>
        </c:ser>
        <c:ser>
          <c:idx val="3"/>
          <c:order val="4"/>
          <c:tx>
            <c:strRef>
              <c:f>'Tax Admin '!$D$72</c:f>
              <c:strCache>
                <c:ptCount val="1"/>
                <c:pt idx="0">
                  <c:v>Other tax types</c:v>
                </c:pt>
              </c:strCache>
            </c:strRef>
          </c:tx>
          <c:spPr>
            <a:solidFill>
              <a:srgbClr val="984807"/>
            </a:solidFill>
            <a:ln>
              <a:noFill/>
            </a:ln>
          </c:spPr>
          <c:invertIfNegative val="0"/>
          <c:cat>
            <c:strRef>
              <c:f>'Tax Admin '!$F$67:$AC$67</c:f>
              <c:strCache>
                <c:ptCount val="24"/>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strCache>
            </c:strRef>
          </c:cat>
          <c:val>
            <c:numRef>
              <c:f>'Tax Admin '!$F$72:$AC$72</c:f>
              <c:numCache>
                <c:formatCode>_-* #\ ##0.0_-;\-* #\ ##0.0_-;_-* "-"?_-;_-@_-</c:formatCode>
                <c:ptCount val="24"/>
                <c:pt idx="0">
                  <c:v>27.724160000000005</c:v>
                </c:pt>
                <c:pt idx="1">
                  <c:v>31.554447000000014</c:v>
                </c:pt>
                <c:pt idx="2">
                  <c:v>36.683800000000019</c:v>
                </c:pt>
                <c:pt idx="3">
                  <c:v>39.375679000000005</c:v>
                </c:pt>
                <c:pt idx="4">
                  <c:v>41.682559000000012</c:v>
                </c:pt>
                <c:pt idx="5">
                  <c:v>49.817583999999975</c:v>
                </c:pt>
                <c:pt idx="6">
                  <c:v>52.358309999999967</c:v>
                </c:pt>
                <c:pt idx="7">
                  <c:v>54.035543000000004</c:v>
                </c:pt>
                <c:pt idx="8">
                  <c:v>60.605877999999969</c:v>
                </c:pt>
                <c:pt idx="9">
                  <c:v>70.797258622029915</c:v>
                </c:pt>
                <c:pt idx="10">
                  <c:v>75.881034530130094</c:v>
                </c:pt>
                <c:pt idx="11">
                  <c:v>84.727221093109932</c:v>
                </c:pt>
                <c:pt idx="12">
                  <c:v>84.73574639876</c:v>
                </c:pt>
                <c:pt idx="13">
                  <c:v>87.725541454540036</c:v>
                </c:pt>
                <c:pt idx="14">
                  <c:v>101.24307753865025</c:v>
                </c:pt>
                <c:pt idx="15">
                  <c:v>112.82028786277992</c:v>
                </c:pt>
                <c:pt idx="16">
                  <c:v>122.23047644532006</c:v>
                </c:pt>
                <c:pt idx="17">
                  <c:v>127.72029897502985</c:v>
                </c:pt>
                <c:pt idx="18">
                  <c:v>143.78177298686978</c:v>
                </c:pt>
                <c:pt idx="19">
                  <c:v>159.95603369855996</c:v>
                </c:pt>
                <c:pt idx="20">
                  <c:v>176.38379999999998</c:v>
                </c:pt>
                <c:pt idx="21">
                  <c:v>186.173</c:v>
                </c:pt>
                <c:pt idx="22">
                  <c:v>199.73906791325999</c:v>
                </c:pt>
                <c:pt idx="23">
                  <c:v>209.41900000000001</c:v>
                </c:pt>
              </c:numCache>
            </c:numRef>
          </c:val>
          <c:extLst>
            <c:ext xmlns:c16="http://schemas.microsoft.com/office/drawing/2014/chart" uri="{C3380CC4-5D6E-409C-BE32-E72D297353CC}">
              <c16:uniqueId val="{00000003-702E-4AC5-98B1-75E09DD7C2B7}"/>
            </c:ext>
          </c:extLst>
        </c:ser>
        <c:dLbls>
          <c:showLegendKey val="0"/>
          <c:showVal val="0"/>
          <c:showCatName val="0"/>
          <c:showSerName val="0"/>
          <c:showPercent val="0"/>
          <c:showBubbleSize val="0"/>
        </c:dLbls>
        <c:gapWidth val="150"/>
        <c:overlap val="100"/>
        <c:axId val="532763856"/>
        <c:axId val="532762680"/>
      </c:barChart>
      <c:lineChart>
        <c:grouping val="standard"/>
        <c:varyColors val="0"/>
        <c:ser>
          <c:idx val="5"/>
          <c:order val="3"/>
          <c:tx>
            <c:strRef>
              <c:f>'Tax Admin '!$D$10</c:f>
              <c:strCache>
                <c:ptCount val="1"/>
                <c:pt idx="0">
                  <c:v>Income Tax register</c:v>
                </c:pt>
              </c:strCache>
            </c:strRef>
          </c:tx>
          <c:spPr>
            <a:ln w="31750">
              <a:solidFill>
                <a:schemeClr val="accent2">
                  <a:lumMod val="50000"/>
                </a:schemeClr>
              </a:solidFill>
            </a:ln>
          </c:spPr>
          <c:marker>
            <c:symbol val="none"/>
          </c:marker>
          <c:cat>
            <c:strRef>
              <c:f>'Tax Admin '!$F$67:$AC$67</c:f>
              <c:strCache>
                <c:ptCount val="24"/>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strCache>
            </c:strRef>
          </c:cat>
          <c:val>
            <c:numRef>
              <c:f>'Tax Admin '!$F$76:$AC$76</c:f>
              <c:numCache>
                <c:formatCode>#\ ###\ ##0</c:formatCode>
                <c:ptCount val="24"/>
                <c:pt idx="0">
                  <c:v>2.7626879999999998</c:v>
                </c:pt>
                <c:pt idx="1">
                  <c:v>3.02393</c:v>
                </c:pt>
                <c:pt idx="2">
                  <c:v>3.260567</c:v>
                </c:pt>
                <c:pt idx="3">
                  <c:v>3.6377169999999999</c:v>
                </c:pt>
                <c:pt idx="4">
                  <c:v>4.1637919999999999</c:v>
                </c:pt>
                <c:pt idx="5">
                  <c:v>4.6378110000000001</c:v>
                </c:pt>
                <c:pt idx="6">
                  <c:v>4.4849189999999997</c:v>
                </c:pt>
                <c:pt idx="7">
                  <c:v>4.8782110000000003</c:v>
                </c:pt>
                <c:pt idx="8">
                  <c:v>5.3673960000000003</c:v>
                </c:pt>
                <c:pt idx="9">
                  <c:v>5.876112</c:v>
                </c:pt>
                <c:pt idx="10">
                  <c:v>6.3574210000000004</c:v>
                </c:pt>
                <c:pt idx="11">
                  <c:v>7.1735540000000002</c:v>
                </c:pt>
                <c:pt idx="12">
                  <c:v>7.766915</c:v>
                </c:pt>
                <c:pt idx="13">
                  <c:v>8.1314220000000006</c:v>
                </c:pt>
                <c:pt idx="14">
                  <c:v>12.751006</c:v>
                </c:pt>
                <c:pt idx="15">
                  <c:v>16.039801000000001</c:v>
                </c:pt>
                <c:pt idx="16">
                  <c:v>17.926869</c:v>
                </c:pt>
                <c:pt idx="17">
                  <c:v>19.787303999999999</c:v>
                </c:pt>
                <c:pt idx="18">
                  <c:v>21.452507000000001</c:v>
                </c:pt>
                <c:pt idx="19">
                  <c:v>22.693978000000001</c:v>
                </c:pt>
                <c:pt idx="20">
                  <c:v>24.057573999999999</c:v>
                </c:pt>
                <c:pt idx="21">
                  <c:v>24.447133999999998</c:v>
                </c:pt>
                <c:pt idx="22">
                  <c:v>24.54917</c:v>
                </c:pt>
                <c:pt idx="23">
                  <c:v>25.832536000000001</c:v>
                </c:pt>
              </c:numCache>
            </c:numRef>
          </c:val>
          <c:smooth val="0"/>
          <c:extLst>
            <c:ext xmlns:c16="http://schemas.microsoft.com/office/drawing/2014/chart" uri="{C3380CC4-5D6E-409C-BE32-E72D297353CC}">
              <c16:uniqueId val="{00000004-702E-4AC5-98B1-75E09DD7C2B7}"/>
            </c:ext>
          </c:extLst>
        </c:ser>
        <c:dLbls>
          <c:showLegendKey val="0"/>
          <c:showVal val="0"/>
          <c:showCatName val="0"/>
          <c:showSerName val="0"/>
          <c:showPercent val="0"/>
          <c:showBubbleSize val="0"/>
        </c:dLbls>
        <c:marker val="1"/>
        <c:smooth val="0"/>
        <c:axId val="532773264"/>
        <c:axId val="532770520"/>
      </c:lineChart>
      <c:catAx>
        <c:axId val="53276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2680"/>
        <c:crosses val="autoZero"/>
        <c:auto val="1"/>
        <c:lblAlgn val="ctr"/>
        <c:lblOffset val="100"/>
        <c:tickLblSkip val="1"/>
        <c:tickMarkSkip val="1"/>
        <c:noMultiLvlLbl val="0"/>
      </c:catAx>
      <c:valAx>
        <c:axId val="532762680"/>
        <c:scaling>
          <c:orientation val="minMax"/>
          <c:max val="1400"/>
          <c:min val="0"/>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a:t>
                </a:r>
                <a:r>
                  <a:rPr lang="en-ZA" sz="900" baseline="0"/>
                  <a:t> 'bn</a:t>
                </a:r>
                <a:endParaRPr lang="en-ZA" sz="900"/>
              </a:p>
            </c:rich>
          </c:tx>
          <c:layout>
            <c:manualLayout>
              <c:xMode val="edge"/>
              <c:yMode val="edge"/>
              <c:x val="4.5806849445024188E-3"/>
              <c:y val="0.4708767648933499"/>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856"/>
        <c:crosses val="autoZero"/>
        <c:crossBetween val="between"/>
        <c:majorUnit val="200"/>
      </c:valAx>
      <c:catAx>
        <c:axId val="532773264"/>
        <c:scaling>
          <c:orientation val="minMax"/>
        </c:scaling>
        <c:delete val="1"/>
        <c:axPos val="b"/>
        <c:numFmt formatCode="General" sourceLinked="1"/>
        <c:majorTickMark val="out"/>
        <c:minorTickMark val="none"/>
        <c:tickLblPos val="none"/>
        <c:crossAx val="532770520"/>
        <c:crosses val="autoZero"/>
        <c:auto val="1"/>
        <c:lblAlgn val="ctr"/>
        <c:lblOffset val="100"/>
        <c:noMultiLvlLbl val="0"/>
      </c:catAx>
      <c:valAx>
        <c:axId val="532770520"/>
        <c:scaling>
          <c:orientation val="minMax"/>
          <c:max val="27"/>
          <c:min val="0"/>
        </c:scaling>
        <c:delete val="0"/>
        <c:axPos val="r"/>
        <c:title>
          <c:tx>
            <c:rich>
              <a:bodyPr/>
              <a:lstStyle/>
              <a:p>
                <a:pPr>
                  <a:defRPr sz="1000" b="0" i="0" u="none" strike="noStrike" baseline="0">
                    <a:solidFill>
                      <a:srgbClr val="000000"/>
                    </a:solidFill>
                    <a:latin typeface="Arial"/>
                    <a:ea typeface="Arial"/>
                    <a:cs typeface="Arial"/>
                  </a:defRPr>
                </a:pPr>
                <a:r>
                  <a:rPr lang="en-ZA"/>
                  <a:t>Number (Millions)</a:t>
                </a:r>
              </a:p>
            </c:rich>
          </c:tx>
          <c:layout>
            <c:manualLayout>
              <c:xMode val="edge"/>
              <c:yMode val="edge"/>
              <c:x val="0.95118987762071905"/>
              <c:y val="0.3775152748179575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264"/>
        <c:crosses val="max"/>
        <c:crossBetween val="between"/>
        <c:majorUnit val="3"/>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52290026246719157"/>
          <c:h val="5.257853091339870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9.1116155153029121E-2"/>
          <c:y val="0.13356312677057641"/>
          <c:w val="0.88825167352430467"/>
          <c:h val="0.70788658257663062"/>
        </c:manualLayout>
      </c:layout>
      <c:lineChart>
        <c:grouping val="standard"/>
        <c:varyColors val="0"/>
        <c:ser>
          <c:idx val="2"/>
          <c:order val="0"/>
          <c:tx>
            <c:strRef>
              <c:f>'Qualified Audits '!$D$7</c:f>
              <c:strCache>
                <c:ptCount val="1"/>
                <c:pt idx="0">
                  <c:v>National depts.</c:v>
                </c:pt>
              </c:strCache>
            </c:strRef>
          </c:tx>
          <c:spPr>
            <a:ln w="25400">
              <a:solidFill>
                <a:srgbClr val="FF6600"/>
              </a:solidFill>
              <a:prstDash val="solid"/>
            </a:ln>
          </c:spPr>
          <c:marker>
            <c:symbol val="none"/>
          </c:marker>
          <c:cat>
            <c:strRef>
              <c:f>'Qualified Audits '!$E$7:$W$7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'Qualified Audits '!$E$10:$W$10</c:f>
              <c:numCache>
                <c:formatCode>0.0%</c:formatCode>
                <c:ptCount val="19"/>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pt idx="16">
                  <c:v>0.19565217391304349</c:v>
                </c:pt>
                <c:pt idx="17">
                  <c:v>0.21739130434782608</c:v>
                </c:pt>
                <c:pt idx="18">
                  <c:v>0.2608695652173913</c:v>
                </c:pt>
              </c:numCache>
            </c:numRef>
          </c:val>
          <c:smooth val="0"/>
          <c:extLst>
            <c:ext xmlns:c16="http://schemas.microsoft.com/office/drawing/2014/chart" uri="{C3380CC4-5D6E-409C-BE32-E72D297353CC}">
              <c16:uniqueId val="{00000000-5277-4377-9665-21463B243889}"/>
            </c:ext>
          </c:extLst>
        </c:ser>
        <c:ser>
          <c:idx val="0"/>
          <c:order val="1"/>
          <c:tx>
            <c:strRef>
              <c:f>'Qualified Audits '!$D$11</c:f>
              <c:strCache>
                <c:ptCount val="1"/>
                <c:pt idx="0">
                  <c:v>Provincial depts.</c:v>
                </c:pt>
              </c:strCache>
            </c:strRef>
          </c:tx>
          <c:spPr>
            <a:ln w="25400">
              <a:solidFill>
                <a:srgbClr val="BE4B48"/>
              </a:solidFill>
            </a:ln>
          </c:spPr>
          <c:marker>
            <c:symbol val="none"/>
          </c:marker>
          <c:cat>
            <c:strRef>
              <c:f>'Qualified Audits '!$E$7:$W$7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'Qualified Audits '!$E$14:$W$14</c:f>
              <c:numCache>
                <c:formatCode>0.0%</c:formatCode>
                <c:ptCount val="19"/>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pt idx="16">
                  <c:v>0.24390243902439024</c:v>
                </c:pt>
                <c:pt idx="17">
                  <c:v>0.26016260162601629</c:v>
                </c:pt>
                <c:pt idx="18">
                  <c:v>0.31707317073170732</c:v>
                </c:pt>
              </c:numCache>
            </c:numRef>
          </c:val>
          <c:smooth val="0"/>
          <c:extLst>
            <c:ext xmlns:c16="http://schemas.microsoft.com/office/drawing/2014/chart" uri="{C3380CC4-5D6E-409C-BE32-E72D297353CC}">
              <c16:uniqueId val="{00000001-5277-4377-9665-21463B243889}"/>
            </c:ext>
          </c:extLst>
        </c:ser>
        <c:ser>
          <c:idx val="1"/>
          <c:order val="2"/>
          <c:tx>
            <c:strRef>
              <c:f>'Qualified Audits '!$D$15</c:f>
              <c:strCache>
                <c:ptCount val="1"/>
                <c:pt idx="0">
                  <c:v>Municipalities</c:v>
                </c:pt>
              </c:strCache>
            </c:strRef>
          </c:tx>
          <c:spPr>
            <a:ln w="25400">
              <a:solidFill>
                <a:srgbClr val="FFC000"/>
              </a:solidFill>
            </a:ln>
          </c:spPr>
          <c:marker>
            <c:symbol val="none"/>
          </c:marker>
          <c:cat>
            <c:strRef>
              <c:f>'Qualified Audits '!$E$7:$W$7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'Qualified Audits '!$E$18:$W$18</c:f>
              <c:numCache>
                <c:formatCode>0.0%</c:formatCode>
                <c:ptCount val="19"/>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pt idx="15">
                  <c:v>0.33100000000000002</c:v>
                </c:pt>
                <c:pt idx="16">
                  <c:v>0.42801556420233461</c:v>
                </c:pt>
                <c:pt idx="17">
                  <c:v>0.51383399209486169</c:v>
                </c:pt>
                <c:pt idx="18">
                  <c:v>0.51528384279475981</c:v>
                </c:pt>
              </c:numCache>
            </c:numRef>
          </c:val>
          <c:smooth val="0"/>
          <c:extLst>
            <c:ext xmlns:c16="http://schemas.microsoft.com/office/drawing/2014/chart" uri="{C3380CC4-5D6E-409C-BE32-E72D297353CC}">
              <c16:uniqueId val="{00000002-5277-4377-9665-21463B243889}"/>
            </c:ext>
          </c:extLst>
        </c:ser>
        <c:ser>
          <c:idx val="3"/>
          <c:order val="3"/>
          <c:tx>
            <c:strRef>
              <c:f>'Qualified Audits '!$D$19</c:f>
              <c:strCache>
                <c:ptCount val="1"/>
                <c:pt idx="0">
                  <c:v>Public entities</c:v>
                </c:pt>
              </c:strCache>
            </c:strRef>
          </c:tx>
          <c:spPr>
            <a:ln w="25400">
              <a:solidFill>
                <a:srgbClr val="00B050"/>
              </a:solidFill>
            </a:ln>
          </c:spPr>
          <c:marker>
            <c:symbol val="none"/>
          </c:marker>
          <c:cat>
            <c:strRef>
              <c:f>'Qualified Audits '!$E$7:$W$7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'Qualified Audits '!$E$22:$W$22</c:f>
              <c:numCache>
                <c:formatCode>0.0%</c:formatCode>
                <c:ptCount val="19"/>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pt idx="16">
                  <c:v>0.27692307692307694</c:v>
                </c:pt>
                <c:pt idx="17">
                  <c:v>0.32452830188679244</c:v>
                </c:pt>
                <c:pt idx="18">
                  <c:v>0.32307692307692309</c:v>
                </c:pt>
              </c:numCache>
            </c:numRef>
          </c:val>
          <c:smooth val="0"/>
          <c:extLst>
            <c:ext xmlns:c16="http://schemas.microsoft.com/office/drawing/2014/chart" uri="{C3380CC4-5D6E-409C-BE32-E72D297353CC}">
              <c16:uniqueId val="{00000003-5277-4377-9665-21463B243889}"/>
            </c:ext>
          </c:extLst>
        </c:ser>
        <c:dLbls>
          <c:showLegendKey val="0"/>
          <c:showVal val="0"/>
          <c:showCatName val="0"/>
          <c:showSerName val="0"/>
          <c:showPercent val="0"/>
          <c:showBubbleSize val="0"/>
        </c:dLbls>
        <c:smooth val="0"/>
        <c:axId val="532767384"/>
        <c:axId val="532765816"/>
      </c:lineChart>
      <c:catAx>
        <c:axId val="53276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5816"/>
        <c:crosses val="autoZero"/>
        <c:auto val="1"/>
        <c:lblAlgn val="ctr"/>
        <c:lblOffset val="100"/>
        <c:tickLblSkip val="1"/>
        <c:tickMarkSkip val="1"/>
        <c:noMultiLvlLbl val="0"/>
      </c:catAx>
      <c:valAx>
        <c:axId val="532765816"/>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7779935534817382E-2"/>
              <c:y val="0.438407459669456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384"/>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3921291215116336E-2"/>
          <c:y val="0.14889020228403652"/>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'Interest   '!$E$8:$AD$8</c15:sqref>
                  </c15:fullRef>
                </c:ext>
              </c:extLst>
              <c:f>'Interest   '!$Q$8:$AD$8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'Interest   '!$E$9:$AD$9</c15:sqref>
                  </c15:fullRef>
                </c:ext>
              </c:extLst>
              <c:f>'Interest   '!$Q$9:$AD$9</c:f>
              <c:numCache>
                <c:formatCode>0.0</c:formatCode>
                <c:ptCount val="14"/>
                <c:pt idx="0">
                  <c:v>6.3327</c:v>
                </c:pt>
                <c:pt idx="1">
                  <c:v>5.0458999999999996</c:v>
                </c:pt>
                <c:pt idx="2">
                  <c:v>5.0228000000000002</c:v>
                </c:pt>
                <c:pt idx="3">
                  <c:v>3.9510999999999998</c:v>
                </c:pt>
                <c:pt idx="4">
                  <c:v>5.3140000000000001</c:v>
                </c:pt>
                <c:pt idx="5">
                  <c:v>2.7332999999999998</c:v>
                </c:pt>
                <c:pt idx="6">
                  <c:v>2.649</c:v>
                </c:pt>
                <c:pt idx="7">
                  <c:v>2.9411999999999998</c:v>
                </c:pt>
                <c:pt idx="8">
                  <c:v>3.7511999999999999</c:v>
                </c:pt>
                <c:pt idx="9">
                  <c:v>4.3250999999999999</c:v>
                </c:pt>
                <c:pt idx="10">
                  <c:v>3.4643999999999999</c:v>
                </c:pt>
                <c:pt idx="11">
                  <c:v>5.3009000000000004</c:v>
                </c:pt>
                <c:pt idx="12">
                  <c:v>5.5</c:v>
                </c:pt>
                <c:pt idx="13">
                  <c:v>5.8</c:v>
                </c:pt>
              </c:numCache>
            </c:numRef>
          </c:val>
          <c:smooth val="0"/>
          <c:extLst>
            <c:ext xmlns:c16="http://schemas.microsoft.com/office/drawing/2014/chart" uri="{C3380CC4-5D6E-409C-BE32-E72D297353CC}">
              <c16:uniqueId val="{00000000-ABBF-435B-A7CD-60072EF668E2}"/>
            </c:ext>
          </c:extLst>
        </c:ser>
        <c:ser>
          <c:idx val="1"/>
          <c:order val="1"/>
          <c:tx>
            <c:strRef>
              <c:f>'Interest   '!$D$10</c:f>
              <c:strCache>
                <c:ptCount val="1"/>
                <c:pt idx="0">
                  <c:v>Nominal Interest</c:v>
                </c:pt>
              </c:strCache>
            </c:strRef>
          </c:tx>
          <c:spPr>
            <a:ln w="25400"/>
          </c:spPr>
          <c:marker>
            <c:symbol val="none"/>
          </c:marker>
          <c:cat>
            <c:strRef>
              <c:extLst>
                <c:ext xmlns:c15="http://schemas.microsoft.com/office/drawing/2012/chart" uri="{02D57815-91ED-43cb-92C2-25804820EDAC}">
                  <c15:fullRef>
                    <c15:sqref>'Interest   '!$E$8:$AD$8</c15:sqref>
                  </c15:fullRef>
                </c:ext>
              </c:extLst>
              <c:f>'Interest   '!$Q$8:$AD$8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'Interest   '!$E$10:$AD$10</c15:sqref>
                  </c15:fullRef>
                </c:ext>
              </c:extLst>
              <c:f>'Interest   '!$Q$10:$AD$10</c:f>
              <c:numCache>
                <c:formatCode>0.0</c:formatCode>
                <c:ptCount val="14"/>
                <c:pt idx="0">
                  <c:v>12.5</c:v>
                </c:pt>
                <c:pt idx="1">
                  <c:v>14.5</c:v>
                </c:pt>
                <c:pt idx="2">
                  <c:v>15</c:v>
                </c:pt>
                <c:pt idx="3">
                  <c:v>10.5</c:v>
                </c:pt>
                <c:pt idx="4">
                  <c:v>9</c:v>
                </c:pt>
                <c:pt idx="5">
                  <c:v>9</c:v>
                </c:pt>
                <c:pt idx="6">
                  <c:v>8.5</c:v>
                </c:pt>
                <c:pt idx="7" formatCode="General">
                  <c:v>8.5</c:v>
                </c:pt>
                <c:pt idx="8" formatCode="General">
                  <c:v>9.25</c:v>
                </c:pt>
                <c:pt idx="9">
                  <c:v>9.75</c:v>
                </c:pt>
                <c:pt idx="10">
                  <c:v>10.5</c:v>
                </c:pt>
                <c:pt idx="11">
                  <c:v>10.25</c:v>
                </c:pt>
                <c:pt idx="12">
                  <c:v>10.25</c:v>
                </c:pt>
                <c:pt idx="13">
                  <c:v>10</c:v>
                </c:pt>
              </c:numCache>
            </c:numRef>
          </c:val>
          <c:smooth val="0"/>
          <c:extLst>
            <c:ext xmlns:c16="http://schemas.microsoft.com/office/drawing/2014/chart" uri="{C3380CC4-5D6E-409C-BE32-E72D297353CC}">
              <c16:uniqueId val="{00000001-ABBF-435B-A7CD-60072EF668E2}"/>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4685325617854823"/>
          <c:h val="0.62111895428801656"/>
        </c:manualLayout>
      </c:layout>
      <c:lineChart>
        <c:grouping val="standard"/>
        <c:varyColors val="0"/>
        <c:ser>
          <c:idx val="1"/>
          <c:order val="0"/>
          <c:tx>
            <c:strRef>
              <c:f>'Corruption '!$D$8</c:f>
              <c:strCache>
                <c:ptCount val="1"/>
                <c:pt idx="0">
                  <c:v>Ranking position</c:v>
                </c:pt>
              </c:strCache>
            </c:strRef>
          </c:tx>
          <c:spPr>
            <a:ln w="25400">
              <a:solidFill>
                <a:srgbClr val="FF6600"/>
              </a:solidFill>
              <a:prstDash val="solid"/>
            </a:ln>
          </c:spPr>
          <c:marker>
            <c:symbol val="none"/>
          </c:marker>
          <c:cat>
            <c:numRef>
              <c:f>'Corruption '!$E$7:$AA$7</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'Corruption '!$E$8:$AA$8</c:f>
              <c:numCache>
                <c:formatCode>General</c:formatCode>
                <c:ptCount val="23"/>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pt idx="19">
                  <c:v>64</c:v>
                </c:pt>
                <c:pt idx="20">
                  <c:v>71</c:v>
                </c:pt>
                <c:pt idx="21">
                  <c:v>73</c:v>
                </c:pt>
                <c:pt idx="22">
                  <c:v>70</c:v>
                </c:pt>
              </c:numCache>
            </c:numRef>
          </c:val>
          <c:smooth val="0"/>
          <c:extLst>
            <c:ext xmlns:c16="http://schemas.microsoft.com/office/drawing/2014/chart" uri="{C3380CC4-5D6E-409C-BE32-E72D297353CC}">
              <c16:uniqueId val="{00000000-3712-4F5B-9B84-51E5B4BC27F9}"/>
            </c:ext>
          </c:extLst>
        </c:ser>
        <c:dLbls>
          <c:showLegendKey val="0"/>
          <c:showVal val="0"/>
          <c:showCatName val="0"/>
          <c:showSerName val="0"/>
          <c:showPercent val="0"/>
          <c:showBubbleSize val="0"/>
        </c:dLbls>
        <c:marker val="1"/>
        <c:smooth val="0"/>
        <c:axId val="532773656"/>
        <c:axId val="532769344"/>
      </c:lineChart>
      <c:lineChart>
        <c:grouping val="standard"/>
        <c:varyColors val="0"/>
        <c:ser>
          <c:idx val="0"/>
          <c:order val="1"/>
          <c:tx>
            <c:strRef>
              <c:f>'Corruption '!$D$9</c:f>
              <c:strCache>
                <c:ptCount val="1"/>
                <c:pt idx="0">
                  <c:v>Corruption perception scores</c:v>
                </c:pt>
              </c:strCache>
            </c:strRef>
          </c:tx>
          <c:spPr>
            <a:ln w="25400">
              <a:solidFill>
                <a:srgbClr val="BE4B48"/>
              </a:solidFill>
              <a:prstDash val="solid"/>
            </a:ln>
          </c:spPr>
          <c:marker>
            <c:symbol val="none"/>
          </c:marker>
          <c:cat>
            <c:numRef>
              <c:f>'Corruption '!$E$7:$Z$7</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'Corruption '!$E$9:$AA$9</c:f>
              <c:numCache>
                <c:formatCode>General</c:formatCode>
                <c:ptCount val="23"/>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pt idx="19">
                  <c:v>45</c:v>
                </c:pt>
                <c:pt idx="20">
                  <c:v>43</c:v>
                </c:pt>
                <c:pt idx="21">
                  <c:v>43</c:v>
                </c:pt>
                <c:pt idx="22">
                  <c:v>44</c:v>
                </c:pt>
              </c:numCache>
            </c:numRef>
          </c:val>
          <c:smooth val="0"/>
          <c:extLst>
            <c:ext xmlns:c16="http://schemas.microsoft.com/office/drawing/2014/chart" uri="{C3380CC4-5D6E-409C-BE32-E72D297353CC}">
              <c16:uniqueId val="{00000001-3712-4F5B-9B84-51E5B4BC27F9}"/>
            </c:ext>
          </c:extLst>
        </c:ser>
        <c:dLbls>
          <c:showLegendKey val="0"/>
          <c:showVal val="0"/>
          <c:showCatName val="0"/>
          <c:showSerName val="0"/>
          <c:showPercent val="0"/>
          <c:showBubbleSize val="0"/>
        </c:dLbls>
        <c:marker val="1"/>
        <c:smooth val="0"/>
        <c:axId val="532764640"/>
        <c:axId val="532771696"/>
      </c:lineChart>
      <c:catAx>
        <c:axId val="53277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344"/>
        <c:crosses val="autoZero"/>
        <c:auto val="0"/>
        <c:lblAlgn val="ctr"/>
        <c:lblOffset val="100"/>
        <c:tickLblSkip val="1"/>
        <c:tickMarkSkip val="1"/>
        <c:noMultiLvlLbl val="0"/>
      </c:catAx>
      <c:valAx>
        <c:axId val="5327693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656"/>
        <c:crosses val="autoZero"/>
        <c:crossBetween val="midCat"/>
      </c:valAx>
      <c:catAx>
        <c:axId val="532764640"/>
        <c:scaling>
          <c:orientation val="minMax"/>
        </c:scaling>
        <c:delete val="1"/>
        <c:axPos val="b"/>
        <c:numFmt formatCode="General" sourceLinked="1"/>
        <c:majorTickMark val="out"/>
        <c:minorTickMark val="none"/>
        <c:tickLblPos val="none"/>
        <c:crossAx val="532771696"/>
        <c:crosses val="autoZero"/>
        <c:auto val="0"/>
        <c:lblAlgn val="ctr"/>
        <c:lblOffset val="100"/>
        <c:noMultiLvlLbl val="0"/>
      </c:catAx>
      <c:valAx>
        <c:axId val="5327716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4640"/>
        <c:crosses val="max"/>
        <c:crossBetween val="midCat"/>
      </c:valAx>
      <c:spPr>
        <a:solidFill>
          <a:srgbClr val="FFFFFF"/>
        </a:solidFill>
        <a:ln w="12700">
          <a:solidFill>
            <a:srgbClr val="808080"/>
          </a:solidFill>
          <a:prstDash val="solid"/>
        </a:ln>
      </c:spPr>
    </c:plotArea>
    <c:legend>
      <c:legendPos val="r"/>
      <c:layout>
        <c:manualLayout>
          <c:xMode val="edge"/>
          <c:yMode val="edge"/>
          <c:x val="0.27640681265863581"/>
          <c:y val="0.92804335663784965"/>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'!$E$47:$X$47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'Public Opinion  '!$E$81:$X$81</c:f>
              <c:numCache>
                <c:formatCode>_ * #\ ##0_ ;_ * \-#\ ##0_ ;_ * "-"??_ ;_ @_ </c:formatCode>
                <c:ptCount val="20"/>
                <c:pt idx="0">
                  <c:v>69.5</c:v>
                </c:pt>
                <c:pt idx="1">
                  <c:v>64</c:v>
                </c:pt>
                <c:pt idx="2">
                  <c:v>72.5</c:v>
                </c:pt>
                <c:pt idx="3">
                  <c:v>73.5</c:v>
                </c:pt>
                <c:pt idx="4">
                  <c:v>79</c:v>
                </c:pt>
                <c:pt idx="5">
                  <c:v>73</c:v>
                </c:pt>
                <c:pt idx="6">
                  <c:v>74</c:v>
                </c:pt>
                <c:pt idx="7">
                  <c:v>65</c:v>
                </c:pt>
                <c:pt idx="8">
                  <c:v>58</c:v>
                </c:pt>
                <c:pt idx="9">
                  <c:v>59</c:v>
                </c:pt>
                <c:pt idx="10">
                  <c:v>55.4</c:v>
                </c:pt>
                <c:pt idx="11">
                  <c:v>49.5</c:v>
                </c:pt>
                <c:pt idx="12">
                  <c:v>52.25</c:v>
                </c:pt>
                <c:pt idx="13">
                  <c:v>53</c:v>
                </c:pt>
                <c:pt idx="14">
                  <c:v>56</c:v>
                </c:pt>
                <c:pt idx="15">
                  <c:v>50.5</c:v>
                </c:pt>
                <c:pt idx="16">
                  <c:v>48</c:v>
                </c:pt>
                <c:pt idx="17">
                  <c:v>46</c:v>
                </c:pt>
                <c:pt idx="18" formatCode="General">
                  <c:v>52</c:v>
                </c:pt>
                <c:pt idx="19" formatCode="General">
                  <c:v>49</c:v>
                </c:pt>
              </c:numCache>
            </c:numRef>
          </c:val>
          <c:smooth val="0"/>
          <c:extLst>
            <c:ext xmlns:c16="http://schemas.microsoft.com/office/drawing/2014/chart" uri="{C3380CC4-5D6E-409C-BE32-E72D297353CC}">
              <c16:uniqueId val="{00000000-CF1A-4315-9681-3790214D741B}"/>
            </c:ext>
          </c:extLst>
        </c:ser>
        <c:ser>
          <c:idx val="1"/>
          <c:order val="1"/>
          <c:tx>
            <c:strRef>
              <c:f>'Public Opinion '!#REF!</c:f>
              <c:strCache>
                <c:ptCount val="1"/>
                <c:pt idx="0">
                  <c:v>#REF!</c:v>
                </c:pt>
              </c:strCache>
            </c:strRef>
          </c:tx>
          <c:marker>
            <c:symbol val="none"/>
          </c:marker>
          <c:cat>
            <c:numRef>
              <c:f>'Public Opinion  '!$E$47:$X$47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'Public Opinion '!#REF!</c:f>
              <c:numCache>
                <c:formatCode>General</c:formatCode>
                <c:ptCount val="1"/>
                <c:pt idx="0">
                  <c:v>1</c:v>
                </c:pt>
              </c:numCache>
            </c:numRef>
          </c:val>
          <c:smooth val="0"/>
          <c:extLst>
            <c:ext xmlns:c16="http://schemas.microsoft.com/office/drawing/2014/chart" uri="{C3380CC4-5D6E-409C-BE32-E72D297353CC}">
              <c16:uniqueId val="{00000001-CF1A-4315-9681-3790214D741B}"/>
            </c:ext>
          </c:extLst>
        </c:ser>
        <c:dLbls>
          <c:showLegendKey val="0"/>
          <c:showVal val="0"/>
          <c:showCatName val="0"/>
          <c:showSerName val="0"/>
          <c:showPercent val="0"/>
          <c:showBubbleSize val="0"/>
        </c:dLbls>
        <c:smooth val="0"/>
        <c:axId val="532763072"/>
        <c:axId val="532772088"/>
      </c:lineChart>
      <c:catAx>
        <c:axId val="53276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2088"/>
        <c:crosses val="autoZero"/>
        <c:auto val="1"/>
        <c:lblAlgn val="ctr"/>
        <c:lblOffset val="100"/>
        <c:tickLblSkip val="1"/>
        <c:tickMarkSkip val="1"/>
        <c:noMultiLvlLbl val="0"/>
      </c:catAx>
      <c:valAx>
        <c:axId val="532772088"/>
        <c:scaling>
          <c:orientation val="minMax"/>
          <c:min val="4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'[36]Public Opinion'!$D$54</c:f>
              <c:strCache>
                <c:ptCount val="1"/>
                <c:pt idx="0">
                  <c:v>Performing well</c:v>
                </c:pt>
              </c:strCache>
            </c:strRef>
          </c:tx>
          <c:marker>
            <c:symbol val="none"/>
          </c:marker>
          <c:val>
            <c:numRef>
              <c:f>'[36]Public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'[37]Public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0-BED5-48BC-8527-F097F9E4F4E2}"/>
            </c:ext>
          </c:extLst>
        </c:ser>
        <c:dLbls>
          <c:showLegendKey val="0"/>
          <c:showVal val="0"/>
          <c:showCatName val="0"/>
          <c:showSerName val="0"/>
          <c:showPercent val="0"/>
          <c:showBubbleSize val="0"/>
        </c:dLbls>
        <c:marker val="1"/>
        <c:smooth val="0"/>
        <c:axId val="532764248"/>
        <c:axId val="532768168"/>
      </c:lineChart>
      <c:lineChart>
        <c:grouping val="standard"/>
        <c:varyColors val="0"/>
        <c:ser>
          <c:idx val="1"/>
          <c:order val="1"/>
          <c:tx>
            <c:strRef>
              <c:f>'[36]Public Opinion'!$D$55</c:f>
              <c:strCache>
                <c:ptCount val="1"/>
                <c:pt idx="0">
                  <c:v>Major service protests</c:v>
                </c:pt>
              </c:strCache>
            </c:strRef>
          </c:tx>
          <c:marker>
            <c:symbol val="none"/>
          </c:marker>
          <c:val>
            <c:numRef>
              <c:f>'[36]Public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'[37]Public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1-BED5-48BC-8527-F097F9E4F4E2}"/>
            </c:ext>
          </c:extLst>
        </c:ser>
        <c:dLbls>
          <c:showLegendKey val="0"/>
          <c:showVal val="0"/>
          <c:showCatName val="0"/>
          <c:showSerName val="0"/>
          <c:showPercent val="0"/>
          <c:showBubbleSize val="0"/>
        </c:dLbls>
        <c:marker val="1"/>
        <c:smooth val="0"/>
        <c:axId val="532765424"/>
        <c:axId val="532768952"/>
      </c:lineChart>
      <c:catAx>
        <c:axId val="532764248"/>
        <c:scaling>
          <c:orientation val="minMax"/>
        </c:scaling>
        <c:delete val="0"/>
        <c:axPos val="b"/>
        <c:numFmt formatCode="General" sourceLinked="1"/>
        <c:majorTickMark val="out"/>
        <c:minorTickMark val="none"/>
        <c:tickLblPos val="nextTo"/>
        <c:crossAx val="532768168"/>
        <c:crosses val="autoZero"/>
        <c:auto val="1"/>
        <c:lblAlgn val="ctr"/>
        <c:lblOffset val="100"/>
        <c:noMultiLvlLbl val="0"/>
      </c:catAx>
      <c:valAx>
        <c:axId val="532768168"/>
        <c:scaling>
          <c:orientation val="minMax"/>
        </c:scaling>
        <c:delete val="0"/>
        <c:axPos val="l"/>
        <c:majorGridlines/>
        <c:numFmt formatCode="General" sourceLinked="1"/>
        <c:majorTickMark val="out"/>
        <c:minorTickMark val="none"/>
        <c:tickLblPos val="nextTo"/>
        <c:crossAx val="532764248"/>
        <c:crosses val="autoZero"/>
        <c:crossBetween val="between"/>
      </c:valAx>
      <c:valAx>
        <c:axId val="532768952"/>
        <c:scaling>
          <c:orientation val="minMax"/>
        </c:scaling>
        <c:delete val="0"/>
        <c:axPos val="r"/>
        <c:numFmt formatCode="General" sourceLinked="1"/>
        <c:majorTickMark val="out"/>
        <c:minorTickMark val="none"/>
        <c:tickLblPos val="nextTo"/>
        <c:crossAx val="532765424"/>
        <c:crosses val="max"/>
        <c:crossBetween val="between"/>
      </c:valAx>
      <c:catAx>
        <c:axId val="532765424"/>
        <c:scaling>
          <c:orientation val="minMax"/>
        </c:scaling>
        <c:delete val="1"/>
        <c:axPos val="b"/>
        <c:numFmt formatCode="General" sourceLinked="1"/>
        <c:majorTickMark val="out"/>
        <c:minorTickMark val="none"/>
        <c:tickLblPos val="nextTo"/>
        <c:crossAx val="53276895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MAJOR</a:t>
            </a:r>
            <a:r>
              <a:rPr lang="en-US" sz="1000" baseline="0"/>
              <a:t> SERVICE DELIVERY PROTESTS</a:t>
            </a:r>
            <a:endParaRPr lang="en-US" sz="1000"/>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'!$I$47:$X$47</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'Public Opinion  '!$I$82:$X$82</c:f>
              <c:numCache>
                <c:formatCode>_ * #\ ##0_ ;_ * \-#\ ##0_ ;_ * "-"??_ ;_ @_ </c:formatCode>
                <c:ptCount val="16"/>
                <c:pt idx="0">
                  <c:v>10</c:v>
                </c:pt>
                <c:pt idx="1">
                  <c:v>34</c:v>
                </c:pt>
                <c:pt idx="2">
                  <c:v>2</c:v>
                </c:pt>
                <c:pt idx="3">
                  <c:v>32</c:v>
                </c:pt>
                <c:pt idx="4">
                  <c:v>27</c:v>
                </c:pt>
                <c:pt idx="5">
                  <c:v>107</c:v>
                </c:pt>
                <c:pt idx="6">
                  <c:v>111</c:v>
                </c:pt>
                <c:pt idx="7">
                  <c:v>82</c:v>
                </c:pt>
                <c:pt idx="8">
                  <c:v>173</c:v>
                </c:pt>
                <c:pt idx="9">
                  <c:v>155</c:v>
                </c:pt>
                <c:pt idx="10">
                  <c:v>191</c:v>
                </c:pt>
                <c:pt idx="11">
                  <c:v>164</c:v>
                </c:pt>
                <c:pt idx="12">
                  <c:v>137</c:v>
                </c:pt>
                <c:pt idx="13">
                  <c:v>173</c:v>
                </c:pt>
                <c:pt idx="14" formatCode="General">
                  <c:v>237</c:v>
                </c:pt>
                <c:pt idx="15" formatCode="General">
                  <c:v>218</c:v>
                </c:pt>
              </c:numCache>
            </c:numRef>
          </c:val>
          <c:smooth val="0"/>
          <c:extLst>
            <c:ext xmlns:c16="http://schemas.microsoft.com/office/drawing/2014/chart" uri="{C3380CC4-5D6E-409C-BE32-E72D297353CC}">
              <c16:uniqueId val="{00000000-396A-42FA-A3EE-2BCFF4428990}"/>
            </c:ext>
          </c:extLst>
        </c:ser>
        <c:dLbls>
          <c:showLegendKey val="0"/>
          <c:showVal val="0"/>
          <c:showCatName val="0"/>
          <c:showSerName val="0"/>
          <c:showPercent val="0"/>
          <c:showBubbleSize val="0"/>
        </c:dLbls>
        <c:smooth val="0"/>
        <c:axId val="532769736"/>
        <c:axId val="532770912"/>
      </c:lineChart>
      <c:catAx>
        <c:axId val="53276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0912"/>
        <c:crosses val="autoZero"/>
        <c:auto val="1"/>
        <c:lblAlgn val="ctr"/>
        <c:lblOffset val="100"/>
        <c:tickLblSkip val="1"/>
        <c:tickMarkSkip val="1"/>
        <c:noMultiLvlLbl val="0"/>
      </c:catAx>
      <c:valAx>
        <c:axId val="532770912"/>
        <c:scaling>
          <c:orientation val="minMax"/>
          <c:max val="2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Number</a:t>
                </a:r>
              </a:p>
            </c:rich>
          </c:tx>
          <c:layout>
            <c:manualLayout>
              <c:xMode val="edge"/>
              <c:yMode val="edge"/>
              <c:x val="3.2194143436971466E-3"/>
              <c:y val="0.48553039252367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'Doing Business '!$D$66</c:f>
              <c:strCache>
                <c:ptCount val="1"/>
                <c:pt idx="0">
                  <c:v>South Africa</c:v>
                </c:pt>
              </c:strCache>
            </c:strRef>
          </c:tx>
          <c:spPr>
            <a:solidFill>
              <a:schemeClr val="accent1"/>
            </a:solidFill>
            <a:ln>
              <a:noFill/>
            </a:ln>
            <a:effectLst/>
          </c:spPr>
          <c:invertIfNegative val="0"/>
          <c:cat>
            <c:numRef>
              <c:extLst>
                <c:ext xmlns:c15="http://schemas.microsoft.com/office/drawing/2012/chart" uri="{02D57815-91ED-43cb-92C2-25804820EDAC}">
                  <c15:fullRef>
                    <c15:sqref>'Doing Business '!$E$65:$S$65</c15:sqref>
                  </c15:fullRef>
                </c:ext>
              </c:extLst>
              <c:f>'Doing Business '!$I$65:$S$65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extLst>
                <c:ext xmlns:c15="http://schemas.microsoft.com/office/drawing/2012/chart" uri="{02D57815-91ED-43cb-92C2-25804820EDAC}">
                  <c15:fullRef>
                    <c15:sqref>'Doing Business '!$E$66:$S$66</c15:sqref>
                  </c15:fullRef>
                </c:ext>
              </c:extLst>
              <c:f>'Doing Business '!$I$66:$S$66</c:f>
              <c:numCache>
                <c:formatCode>General</c:formatCode>
                <c:ptCount val="11"/>
                <c:pt idx="0" formatCode="_ * #\ ##0_ ;_ * \-#\ ##0_ ;_ * &quot;-&quot;??_ ;_ @_ ">
                  <c:v>34</c:v>
                </c:pt>
                <c:pt idx="1" formatCode="_ * #\ ##0_ ;_ * \-#\ ##0_ ;_ * &quot;-&quot;??_ ;_ @_ ">
                  <c:v>34</c:v>
                </c:pt>
                <c:pt idx="2" formatCode="_ * #\ ##0_ ;_ * \-#\ ##0_ ;_ * &quot;-&quot;??_ ;_ @_ ">
                  <c:v>35</c:v>
                </c:pt>
                <c:pt idx="3" formatCode="_ * #\ ##0_ ;_ * \-#\ ##0_ ;_ * &quot;-&quot;??_ ;_ @_ ">
                  <c:v>39</c:v>
                </c:pt>
                <c:pt idx="4" formatCode="_ * #\ ##0_ ;_ * \-#\ ##0_ ;_ * &quot;-&quot;??_ ;_ @_ ">
                  <c:v>41</c:v>
                </c:pt>
                <c:pt idx="5" formatCode="_ * #\ ##0_ ;_ * \-#\ ##0_ ;_ * &quot;-&quot;??_ ;_ @_ ">
                  <c:v>43</c:v>
                </c:pt>
                <c:pt idx="6" formatCode="_ * #\ ##0_ ;_ * \-#\ ##0_ ;_ * &quot;-&quot;??_ ;_ @_ ">
                  <c:v>73</c:v>
                </c:pt>
                <c:pt idx="7" formatCode="_ * #\ ##0_ ;_ * \-#\ ##0_ ;_ * &quot;-&quot;??_ ;_ @_ ">
                  <c:v>74</c:v>
                </c:pt>
                <c:pt idx="8" formatCode="_ * #\ ##0_ ;_ * \-#\ ##0_ ;_ * &quot;-&quot;??_ ;_ @_ ">
                  <c:v>82</c:v>
                </c:pt>
                <c:pt idx="9" formatCode="_ * #\ ##0_ ;_ * \-#\ ##0_ ;_ * &quot;-&quot;??_ ;_ @_ ">
                  <c:v>82</c:v>
                </c:pt>
                <c:pt idx="10" formatCode="_ * #\ ##0_ ;_ * \-#\ ##0_ ;_ * &quot;-&quot;??_ ;_ @_ ">
                  <c:v>84</c:v>
                </c:pt>
              </c:numCache>
            </c:numRef>
          </c:val>
          <c:extLst>
            <c:ext xmlns:c16="http://schemas.microsoft.com/office/drawing/2014/chart" uri="{C3380CC4-5D6E-409C-BE32-E72D297353CC}">
              <c16:uniqueId val="{00000000-9BFA-4643-9131-14DE34ABAA31}"/>
            </c:ext>
          </c:extLst>
        </c:ser>
        <c:dLbls>
          <c:showLegendKey val="0"/>
          <c:showVal val="0"/>
          <c:showCatName val="0"/>
          <c:showSerName val="0"/>
          <c:showPercent val="0"/>
          <c:showBubbleSize val="0"/>
        </c:dLbls>
        <c:gapWidth val="219"/>
        <c:overlap val="-27"/>
        <c:axId val="977874079"/>
        <c:axId val="977866175"/>
      </c:barChart>
      <c:catAx>
        <c:axId val="977874079"/>
        <c:scaling>
          <c:orientation val="minMax"/>
        </c:scaling>
        <c:delete val="0"/>
        <c:axPos val="b"/>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7866175"/>
        <c:crosses val="autoZero"/>
        <c:auto val="1"/>
        <c:lblAlgn val="ctr"/>
        <c:lblOffset val="100"/>
        <c:noMultiLvlLbl val="0"/>
      </c:catAx>
      <c:valAx>
        <c:axId val="97786617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Numer</a:t>
                </a:r>
              </a:p>
            </c:rich>
          </c:tx>
          <c:layout>
            <c:manualLayout>
              <c:xMode val="edge"/>
              <c:yMode val="edge"/>
              <c:x val="1.8422564304903594E-2"/>
              <c:y val="0.45308253135024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808080"/>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78740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0630759523639617"/>
        </c:manualLayout>
      </c:layout>
      <c:lineChart>
        <c:grouping val="standard"/>
        <c:varyColors val="0"/>
        <c:ser>
          <c:idx val="3"/>
          <c:order val="0"/>
          <c:tx>
            <c:strRef>
              <c:f>'Greenhouse Gas Emissions '!$D$8</c:f>
              <c:strCache>
                <c:ptCount val="1"/>
                <c:pt idx="0">
                  <c:v>Benchmark Trajectory Upper Range </c:v>
                </c:pt>
              </c:strCache>
            </c:strRef>
          </c:tx>
          <c:spPr>
            <a:ln>
              <a:solidFill>
                <a:srgbClr val="00F66F"/>
              </a:solidFill>
            </a:ln>
          </c:spPr>
          <c:marker>
            <c:spPr>
              <a:noFill/>
              <a:ln>
                <a:noFill/>
              </a:ln>
            </c:spPr>
          </c:marker>
          <c:cat>
            <c:numRef>
              <c:f>'Greenhouse Gas Emissions '!$F$7:$V$7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'Greenhouse Gas Emissions '!$F$8:$V$8</c:f>
              <c:numCache>
                <c:formatCode>0</c:formatCode>
                <c:ptCount val="17"/>
                <c:pt idx="0">
                  <c:v>431</c:v>
                </c:pt>
                <c:pt idx="1">
                  <c:v>442</c:v>
                </c:pt>
                <c:pt idx="2">
                  <c:v>453</c:v>
                </c:pt>
                <c:pt idx="3">
                  <c:v>464</c:v>
                </c:pt>
                <c:pt idx="4">
                  <c:v>475</c:v>
                </c:pt>
                <c:pt idx="5">
                  <c:v>486</c:v>
                </c:pt>
                <c:pt idx="6">
                  <c:v>497</c:v>
                </c:pt>
                <c:pt idx="7">
                  <c:v>508</c:v>
                </c:pt>
                <c:pt idx="8">
                  <c:v>519</c:v>
                </c:pt>
                <c:pt idx="9">
                  <c:v>530</c:v>
                </c:pt>
                <c:pt idx="10">
                  <c:v>547</c:v>
                </c:pt>
                <c:pt idx="11">
                  <c:v>550</c:v>
                </c:pt>
                <c:pt idx="12">
                  <c:v>553</c:v>
                </c:pt>
                <c:pt idx="13">
                  <c:v>556</c:v>
                </c:pt>
                <c:pt idx="14">
                  <c:v>559</c:v>
                </c:pt>
                <c:pt idx="15">
                  <c:v>562</c:v>
                </c:pt>
              </c:numCache>
            </c:numRef>
          </c:val>
          <c:smooth val="0"/>
          <c:extLst>
            <c:ext xmlns:c16="http://schemas.microsoft.com/office/drawing/2014/chart" uri="{C3380CC4-5D6E-409C-BE32-E72D297353CC}">
              <c16:uniqueId val="{00000000-9D45-424D-8807-5D963330EE9E}"/>
            </c:ext>
          </c:extLst>
        </c:ser>
        <c:ser>
          <c:idx val="4"/>
          <c:order val="1"/>
          <c:tx>
            <c:strRef>
              <c:f>'Greenhouse Gas Emissions '!$D$9</c:f>
              <c:strCache>
                <c:ptCount val="1"/>
                <c:pt idx="0">
                  <c:v>Benchmark Trajectory Lower Range </c:v>
                </c:pt>
              </c:strCache>
            </c:strRef>
          </c:tx>
          <c:spPr>
            <a:ln>
              <a:solidFill>
                <a:srgbClr val="FF0000"/>
              </a:solidFill>
            </a:ln>
          </c:spPr>
          <c:marker>
            <c:spPr>
              <a:noFill/>
              <a:ln>
                <a:noFill/>
              </a:ln>
            </c:spPr>
          </c:marker>
          <c:cat>
            <c:numRef>
              <c:f>'Greenhouse Gas Emissions '!$F$7:$V$7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'Greenhouse Gas Emissions '!$F$9:$V$9</c:f>
              <c:numCache>
                <c:formatCode>0</c:formatCode>
                <c:ptCount val="17"/>
                <c:pt idx="0">
                  <c:v>398</c:v>
                </c:pt>
                <c:pt idx="1">
                  <c:v>398</c:v>
                </c:pt>
                <c:pt idx="2">
                  <c:v>398</c:v>
                </c:pt>
                <c:pt idx="3">
                  <c:v>398</c:v>
                </c:pt>
                <c:pt idx="4">
                  <c:v>398</c:v>
                </c:pt>
                <c:pt idx="5">
                  <c:v>398</c:v>
                </c:pt>
                <c:pt idx="6">
                  <c:v>398</c:v>
                </c:pt>
                <c:pt idx="7">
                  <c:v>398</c:v>
                </c:pt>
                <c:pt idx="8">
                  <c:v>398</c:v>
                </c:pt>
                <c:pt idx="9">
                  <c:v>398</c:v>
                </c:pt>
                <c:pt idx="10">
                  <c:v>398</c:v>
                </c:pt>
                <c:pt idx="11">
                  <c:v>398</c:v>
                </c:pt>
                <c:pt idx="12">
                  <c:v>398</c:v>
                </c:pt>
                <c:pt idx="13">
                  <c:v>398</c:v>
                </c:pt>
                <c:pt idx="14">
                  <c:v>398</c:v>
                </c:pt>
                <c:pt idx="15">
                  <c:v>398</c:v>
                </c:pt>
              </c:numCache>
            </c:numRef>
          </c:val>
          <c:smooth val="0"/>
          <c:extLst>
            <c:ext xmlns:c16="http://schemas.microsoft.com/office/drawing/2014/chart" uri="{C3380CC4-5D6E-409C-BE32-E72D297353CC}">
              <c16:uniqueId val="{00000001-9D45-424D-8807-5D963330EE9E}"/>
            </c:ext>
          </c:extLst>
        </c:ser>
        <c:ser>
          <c:idx val="5"/>
          <c:order val="2"/>
          <c:tx>
            <c:strRef>
              <c:f>'Greenhouse Gas Emissions '!$D$10</c:f>
              <c:strCache>
                <c:ptCount val="1"/>
                <c:pt idx="0">
                  <c:v>Actual emissions</c:v>
                </c:pt>
              </c:strCache>
            </c:strRef>
          </c:tx>
          <c:spPr>
            <a:ln>
              <a:solidFill>
                <a:srgbClr val="00B0F0"/>
              </a:solidFill>
            </a:ln>
          </c:spPr>
          <c:marker>
            <c:symbol val="none"/>
          </c:marker>
          <c:cat>
            <c:numRef>
              <c:f>'Greenhouse Gas Emissions '!$F$7:$V$7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'Greenhouse Gas Emissions '!$F$10:$V$10</c:f>
              <c:numCache>
                <c:formatCode>0</c:formatCode>
                <c:ptCount val="17"/>
                <c:pt idx="0">
                  <c:v>426</c:v>
                </c:pt>
                <c:pt idx="1">
                  <c:v>423</c:v>
                </c:pt>
                <c:pt idx="2">
                  <c:v>436</c:v>
                </c:pt>
                <c:pt idx="3">
                  <c:v>460</c:v>
                </c:pt>
                <c:pt idx="4">
                  <c:v>479</c:v>
                </c:pt>
                <c:pt idx="5">
                  <c:v>477</c:v>
                </c:pt>
                <c:pt idx="6">
                  <c:v>485</c:v>
                </c:pt>
                <c:pt idx="7">
                  <c:v>514</c:v>
                </c:pt>
                <c:pt idx="8">
                  <c:v>508</c:v>
                </c:pt>
                <c:pt idx="9">
                  <c:v>510</c:v>
                </c:pt>
                <c:pt idx="10">
                  <c:v>524</c:v>
                </c:pt>
                <c:pt idx="11">
                  <c:v>511</c:v>
                </c:pt>
                <c:pt idx="12">
                  <c:v>514</c:v>
                </c:pt>
                <c:pt idx="13">
                  <c:v>527</c:v>
                </c:pt>
                <c:pt idx="14">
                  <c:v>518</c:v>
                </c:pt>
                <c:pt idx="15">
                  <c:v>512</c:v>
                </c:pt>
              </c:numCache>
            </c:numRef>
          </c:val>
          <c:smooth val="0"/>
          <c:extLst>
            <c:ext xmlns:c16="http://schemas.microsoft.com/office/drawing/2014/chart" uri="{C3380CC4-5D6E-409C-BE32-E72D297353CC}">
              <c16:uniqueId val="{00000002-9D45-424D-8807-5D963330EE9E}"/>
            </c:ext>
          </c:extLst>
        </c:ser>
        <c:dLbls>
          <c:showLegendKey val="0"/>
          <c:showVal val="0"/>
          <c:showCatName val="0"/>
          <c:showSerName val="0"/>
          <c:showPercent val="0"/>
          <c:showBubbleSize val="0"/>
        </c:dLbl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0326098451"/>
          <c:y val="8.4898600477708447E-2"/>
          <c:w val="0.61880877358469533"/>
          <c:h val="0.21376615527823029"/>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'Air Quality Indicators'!$D$8</c:f>
              <c:strCache>
                <c:ptCount val="1"/>
                <c:pt idx="0">
                  <c:v>National Air Quality Indicator (NAQI)</c:v>
                </c:pt>
              </c:strCache>
            </c:strRef>
          </c:tx>
          <c:spPr>
            <a:ln w="38100">
              <a:solidFill>
                <a:schemeClr val="accent6">
                  <a:lumMod val="50000"/>
                </a:schemeClr>
              </a:solidFill>
            </a:ln>
          </c:spPr>
          <c:marker>
            <c:spPr>
              <a:noFill/>
              <a:ln>
                <a:noFill/>
              </a:ln>
            </c:spPr>
          </c:marker>
          <c:cat>
            <c:numRef>
              <c:extLst>
                <c:ext xmlns:c15="http://schemas.microsoft.com/office/drawing/2012/chart" uri="{02D57815-91ED-43cb-92C2-25804820EDAC}">
                  <c15:fullRef>
                    <c15:sqref>'Air Quality Indicators'!$E$7:$S$7</c15:sqref>
                  </c15:fullRef>
                </c:ext>
              </c:extLst>
              <c:f>'Air Quality Indicators'!$J$7:$S$7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'Air Quality Indicators'!$E$8:$S$8</c15:sqref>
                  </c15:fullRef>
                </c:ext>
              </c:extLst>
              <c:f>'Air Quality Indicators'!$J$8:$S$8</c:f>
              <c:numCache>
                <c:formatCode>0.00</c:formatCode>
                <c:ptCount val="10"/>
                <c:pt idx="0">
                  <c:v>1.2734032258064516</c:v>
                </c:pt>
                <c:pt idx="1">
                  <c:v>1.2222105263157896</c:v>
                </c:pt>
                <c:pt idx="2">
                  <c:v>1.0280750000000001</c:v>
                </c:pt>
                <c:pt idx="3">
                  <c:v>1.0788124999999997</c:v>
                </c:pt>
                <c:pt idx="4">
                  <c:v>1.05315</c:v>
                </c:pt>
                <c:pt idx="5">
                  <c:v>0.97507978723404243</c:v>
                </c:pt>
                <c:pt idx="6">
                  <c:v>1.0399112903225807</c:v>
                </c:pt>
                <c:pt idx="7">
                  <c:v>1.0354827586206894</c:v>
                </c:pt>
                <c:pt idx="8">
                  <c:v>0.97449807805253263</c:v>
                </c:pt>
                <c:pt idx="9">
                  <c:v>0.99</c:v>
                </c:pt>
              </c:numCache>
            </c:numRef>
          </c:val>
          <c:smooth val="0"/>
          <c:extLst>
            <c:ext xmlns:c16="http://schemas.microsoft.com/office/drawing/2014/chart" uri="{C3380CC4-5D6E-409C-BE32-E72D297353CC}">
              <c16:uniqueId val="{00000000-8010-4214-B47F-0C30F010B86E}"/>
            </c:ext>
          </c:extLst>
        </c:ser>
        <c:ser>
          <c:idx val="4"/>
          <c:order val="1"/>
          <c:tx>
            <c:strRef>
              <c:f>'Air Quality Indicators'!$D$9</c:f>
              <c:strCache>
                <c:ptCount val="1"/>
                <c:pt idx="0">
                  <c:v>Priority Area Air Quality Index for the Vaal Triangle Priority Area (PAAQI-VTPA)</c:v>
                </c:pt>
              </c:strCache>
            </c:strRef>
          </c:tx>
          <c:spPr>
            <a:ln w="38100">
              <a:solidFill>
                <a:srgbClr val="FF0000"/>
              </a:solidFill>
            </a:ln>
          </c:spPr>
          <c:marker>
            <c:spPr>
              <a:noFill/>
              <a:ln>
                <a:noFill/>
              </a:ln>
            </c:spPr>
          </c:marker>
          <c:cat>
            <c:numRef>
              <c:extLst>
                <c:ext xmlns:c15="http://schemas.microsoft.com/office/drawing/2012/chart" uri="{02D57815-91ED-43cb-92C2-25804820EDAC}">
                  <c15:fullRef>
                    <c15:sqref>'Air Quality Indicators'!$E$7:$S$7</c15:sqref>
                  </c15:fullRef>
                </c:ext>
              </c:extLst>
              <c:f>'Air Quality Indicators'!$J$7:$S$7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'Air Quality Indicators'!$E$9:$S$9</c15:sqref>
                  </c15:fullRef>
                </c:ext>
              </c:extLst>
              <c:f>'Air Quality Indicators'!$J$9:$S$9</c:f>
              <c:numCache>
                <c:formatCode>0.00</c:formatCode>
                <c:ptCount val="10"/>
                <c:pt idx="0">
                  <c:v>1.4857500000000001</c:v>
                </c:pt>
                <c:pt idx="1">
                  <c:v>1.5254999999999999</c:v>
                </c:pt>
                <c:pt idx="2">
                  <c:v>1.5098750000000001</c:v>
                </c:pt>
                <c:pt idx="3">
                  <c:v>1.5597083333333335</c:v>
                </c:pt>
                <c:pt idx="4">
                  <c:v>1.5077500000000001</c:v>
                </c:pt>
                <c:pt idx="5">
                  <c:v>1.2769999999999999</c:v>
                </c:pt>
                <c:pt idx="6">
                  <c:v>1.3297500000000002</c:v>
                </c:pt>
                <c:pt idx="7">
                  <c:v>1.5543333333333336</c:v>
                </c:pt>
                <c:pt idx="8">
                  <c:v>1.1005568675024389</c:v>
                </c:pt>
                <c:pt idx="9">
                  <c:v>1.17</c:v>
                </c:pt>
              </c:numCache>
            </c:numRef>
          </c:val>
          <c:smooth val="0"/>
          <c:extLst>
            <c:ext xmlns:c16="http://schemas.microsoft.com/office/drawing/2014/chart" uri="{C3380CC4-5D6E-409C-BE32-E72D297353CC}">
              <c16:uniqueId val="{00000001-8010-4214-B47F-0C30F010B86E}"/>
            </c:ext>
          </c:extLst>
        </c:ser>
        <c:ser>
          <c:idx val="5"/>
          <c:order val="2"/>
          <c:tx>
            <c:strRef>
              <c:f>'Air Quality Indicators'!$D$10</c:f>
              <c:strCache>
                <c:ptCount val="1"/>
                <c:pt idx="0">
                  <c:v>Priority Area Air Quality Index for the Highveld priority Area (PAAQI-HPA)</c:v>
                </c:pt>
              </c:strCache>
            </c:strRef>
          </c:tx>
          <c:spPr>
            <a:ln w="38100">
              <a:solidFill>
                <a:schemeClr val="accent6">
                  <a:lumMod val="75000"/>
                </a:schemeClr>
              </a:solidFill>
              <a:prstDash val="dash"/>
            </a:ln>
          </c:spPr>
          <c:marker>
            <c:symbol val="none"/>
          </c:marker>
          <c:cat>
            <c:numRef>
              <c:extLst>
                <c:ext xmlns:c15="http://schemas.microsoft.com/office/drawing/2012/chart" uri="{02D57815-91ED-43cb-92C2-25804820EDAC}">
                  <c15:fullRef>
                    <c15:sqref>'Air Quality Indicators'!$E$7:$S$7</c15:sqref>
                  </c15:fullRef>
                </c:ext>
              </c:extLst>
              <c:f>'Air Quality Indicators'!$J$7:$S$7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'Air Quality Indicators'!$E$10:$S$10</c15:sqref>
                  </c15:fullRef>
                </c:ext>
              </c:extLst>
              <c:f>'Air Quality Indicators'!$J$10:$S$10</c:f>
              <c:numCache>
                <c:formatCode>0.00</c:formatCode>
                <c:ptCount val="10"/>
                <c:pt idx="0">
                  <c:v>1.2416</c:v>
                </c:pt>
                <c:pt idx="1">
                  <c:v>1.3975</c:v>
                </c:pt>
                <c:pt idx="2">
                  <c:v>1.5413999999999999</c:v>
                </c:pt>
                <c:pt idx="3">
                  <c:v>1.28905</c:v>
                </c:pt>
                <c:pt idx="4">
                  <c:v>1.2816500000000002</c:v>
                </c:pt>
                <c:pt idx="5">
                  <c:v>0.82814999999999994</c:v>
                </c:pt>
                <c:pt idx="6">
                  <c:v>1.2053749999999999</c:v>
                </c:pt>
                <c:pt idx="7">
                  <c:v>1.05965</c:v>
                </c:pt>
                <c:pt idx="8">
                  <c:v>1.476912412330778</c:v>
                </c:pt>
                <c:pt idx="9">
                  <c:v>1.171</c:v>
                </c:pt>
              </c:numCache>
            </c:numRef>
          </c:val>
          <c:smooth val="0"/>
          <c:extLst>
            <c:ext xmlns:c16="http://schemas.microsoft.com/office/drawing/2014/chart" uri="{C3380CC4-5D6E-409C-BE32-E72D297353CC}">
              <c16:uniqueId val="{00000002-8010-4214-B47F-0C30F010B86E}"/>
            </c:ext>
          </c:extLst>
        </c:ser>
        <c:ser>
          <c:idx val="0"/>
          <c:order val="3"/>
          <c:tx>
            <c:strRef>
              <c:f>'Air Quality Indicators'!$D$11</c:f>
              <c:strCache>
                <c:ptCount val="1"/>
                <c:pt idx="0">
                  <c:v>Acceptability threshold</c:v>
                </c:pt>
              </c:strCache>
            </c:strRef>
          </c:tx>
          <c:spPr>
            <a:ln w="38100">
              <a:solidFill>
                <a:srgbClr val="C00000"/>
              </a:solidFill>
            </a:ln>
          </c:spPr>
          <c:marker>
            <c:symbol val="none"/>
          </c:marker>
          <c:cat>
            <c:numRef>
              <c:extLst>
                <c:ext xmlns:c15="http://schemas.microsoft.com/office/drawing/2012/chart" uri="{02D57815-91ED-43cb-92C2-25804820EDAC}">
                  <c15:fullRef>
                    <c15:sqref>'Air Quality Indicators'!$E$7:$S$7</c15:sqref>
                  </c15:fullRef>
                </c:ext>
              </c:extLst>
              <c:f>'Air Quality Indicators'!$J$7:$S$7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extLst>
                <c:ext xmlns:c15="http://schemas.microsoft.com/office/drawing/2012/chart" uri="{02D57815-91ED-43cb-92C2-25804820EDAC}">
                  <c15:fullRef>
                    <c15:sqref>'Air Quality Indicators'!$E$11:$S$11</c15:sqref>
                  </c15:fullRef>
                </c:ext>
              </c:extLst>
              <c:f>'Air Quality Indicators'!$J$11:$S$11</c:f>
              <c:numCache>
                <c:formatCode>0.00</c:formatCode>
                <c:ptCount val="10"/>
                <c:pt idx="0">
                  <c:v>1</c:v>
                </c:pt>
                <c:pt idx="1">
                  <c:v>1</c:v>
                </c:pt>
                <c:pt idx="2">
                  <c:v>1</c:v>
                </c:pt>
                <c:pt idx="3">
                  <c:v>1</c:v>
                </c:pt>
                <c:pt idx="4">
                  <c:v>1</c:v>
                </c:pt>
                <c:pt idx="5">
                  <c:v>1</c:v>
                </c:pt>
                <c:pt idx="6">
                  <c:v>1</c:v>
                </c:pt>
                <c:pt idx="7">
                  <c:v>1</c:v>
                </c:pt>
                <c:pt idx="8">
                  <c:v>1</c:v>
                </c:pt>
                <c:pt idx="9">
                  <c:v>1</c:v>
                </c:pt>
              </c:numCache>
            </c:numRef>
          </c:val>
          <c:smooth val="0"/>
          <c:extLst>
            <c:ext xmlns:c15="http://schemas.microsoft.com/office/drawing/2012/chart" uri="{02D57815-91ED-43cb-92C2-25804820EDAC}">
              <c15:categoryFilterExceptions>
                <c15:categoryFilterException>
                  <c15:sqref>'Air Quality Indicators'!$E$11</c15:sqref>
                  <c15:spPr xmlns:c15="http://schemas.microsoft.com/office/drawing/2012/chart">
                    <a:ln w="38100" cap="flat">
                      <a:solidFill>
                        <a:srgbClr val="C00000"/>
                      </a:solidFill>
                      <a:miter lim="800000"/>
                    </a:ln>
                  </c15:spPr>
                  <c15:bubble3D val="0"/>
                </c15:categoryFilterException>
              </c15:categoryFilterExceptions>
            </c:ext>
            <c:ext xmlns:c16="http://schemas.microsoft.com/office/drawing/2014/chart" uri="{C3380CC4-5D6E-409C-BE32-E72D297353CC}">
              <c16:uniqueId val="{00000003-8010-4214-B47F-0C30F010B86E}"/>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29813146596112106"/>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'Terresterial BIo'!$D$9</c:f>
              <c:strCache>
                <c:ptCount val="1"/>
                <c:pt idx="0">
                  <c:v>Per cent land mass under protection</c:v>
                </c:pt>
              </c:strCache>
            </c:strRef>
          </c:tx>
          <c:spPr>
            <a:ln w="38100">
              <a:solidFill>
                <a:schemeClr val="accent6">
                  <a:lumMod val="50000"/>
                </a:schemeClr>
              </a:solidFill>
            </a:ln>
          </c:spPr>
          <c:marker>
            <c:spPr>
              <a:noFill/>
              <a:ln>
                <a:noFill/>
              </a:ln>
            </c:spPr>
          </c:marker>
          <c:cat>
            <c:numRef>
              <c:f>'Terresterial BIo'!$E$8:$M$8</c:f>
              <c:numCache>
                <c:formatCode>General</c:formatCode>
                <c:ptCount val="9"/>
                <c:pt idx="0">
                  <c:v>1990</c:v>
                </c:pt>
                <c:pt idx="1">
                  <c:v>2000</c:v>
                </c:pt>
                <c:pt idx="2">
                  <c:v>2010</c:v>
                </c:pt>
                <c:pt idx="3">
                  <c:v>2014</c:v>
                </c:pt>
                <c:pt idx="4">
                  <c:v>2015</c:v>
                </c:pt>
                <c:pt idx="5">
                  <c:v>2016</c:v>
                </c:pt>
                <c:pt idx="6">
                  <c:v>2017</c:v>
                </c:pt>
                <c:pt idx="7">
                  <c:v>2018</c:v>
                </c:pt>
                <c:pt idx="8">
                  <c:v>2018</c:v>
                </c:pt>
              </c:numCache>
            </c:numRef>
          </c:cat>
          <c:val>
            <c:numRef>
              <c:f>'Terresterial BIo'!$E$9:$M$9</c:f>
              <c:numCache>
                <c:formatCode>0.0%</c:formatCode>
                <c:ptCount val="9"/>
                <c:pt idx="0">
                  <c:v>6.3622984627997592E-2</c:v>
                </c:pt>
                <c:pt idx="1">
                  <c:v>7.4378023529411794E-2</c:v>
                </c:pt>
                <c:pt idx="2">
                  <c:v>7.9301051281000248E-2</c:v>
                </c:pt>
                <c:pt idx="3">
                  <c:v>8.253568157409312E-2</c:v>
                </c:pt>
                <c:pt idx="4">
                  <c:v>8.3312734084853499E-2</c:v>
                </c:pt>
                <c:pt idx="5">
                  <c:v>8.6220954211928699E-2</c:v>
                </c:pt>
                <c:pt idx="6">
                  <c:v>8.7091203771264641E-2</c:v>
                </c:pt>
                <c:pt idx="7">
                  <c:v>8.8169373806107856E-2</c:v>
                </c:pt>
                <c:pt idx="8">
                  <c:v>8.8999999999999996E-2</c:v>
                </c:pt>
              </c:numCache>
            </c:numRef>
          </c:val>
          <c:smooth val="0"/>
          <c:extLst>
            <c:ext xmlns:c16="http://schemas.microsoft.com/office/drawing/2014/chart" uri="{C3380CC4-5D6E-409C-BE32-E72D297353CC}">
              <c16:uniqueId val="{00000000-A2F3-4FD8-AFA9-9C3CAB73AAC6}"/>
            </c:ext>
          </c:extLst>
        </c:ser>
        <c:ser>
          <c:idx val="4"/>
          <c:order val="1"/>
          <c:tx>
            <c:strRef>
              <c:f>'Terresterial BIo'!$D$10</c:f>
              <c:strCache>
                <c:ptCount val="1"/>
                <c:pt idx="0">
                  <c:v>Outcome 10 Target for land mass under protection</c:v>
                </c:pt>
              </c:strCache>
            </c:strRef>
          </c:tx>
          <c:spPr>
            <a:ln w="38100">
              <a:solidFill>
                <a:srgbClr val="FF0000"/>
              </a:solidFill>
            </a:ln>
          </c:spPr>
          <c:marker>
            <c:spPr>
              <a:noFill/>
              <a:ln>
                <a:noFill/>
              </a:ln>
            </c:spPr>
          </c:marker>
          <c:cat>
            <c:numRef>
              <c:f>'Terresterial BIo'!$E$8:$M$8</c:f>
              <c:numCache>
                <c:formatCode>General</c:formatCode>
                <c:ptCount val="9"/>
                <c:pt idx="0">
                  <c:v>1990</c:v>
                </c:pt>
                <c:pt idx="1">
                  <c:v>2000</c:v>
                </c:pt>
                <c:pt idx="2">
                  <c:v>2010</c:v>
                </c:pt>
                <c:pt idx="3">
                  <c:v>2014</c:v>
                </c:pt>
                <c:pt idx="4">
                  <c:v>2015</c:v>
                </c:pt>
                <c:pt idx="5">
                  <c:v>2016</c:v>
                </c:pt>
                <c:pt idx="6">
                  <c:v>2017</c:v>
                </c:pt>
                <c:pt idx="7">
                  <c:v>2018</c:v>
                </c:pt>
                <c:pt idx="8">
                  <c:v>2018</c:v>
                </c:pt>
              </c:numCache>
            </c:numRef>
          </c:cat>
          <c:val>
            <c:numRef>
              <c:f>'Terresterial BIo'!$E$10:$M$10</c:f>
              <c:numCache>
                <c:formatCode>0.0%</c:formatCode>
                <c:ptCount val="9"/>
                <c:pt idx="1">
                  <c:v>7.4378023529411794E-2</c:v>
                </c:pt>
                <c:pt idx="2">
                  <c:v>0.10470537956656348</c:v>
                </c:pt>
                <c:pt idx="3">
                  <c:v>0.11683632198142416</c:v>
                </c:pt>
                <c:pt idx="4">
                  <c:v>0.11986905758513933</c:v>
                </c:pt>
                <c:pt idx="5">
                  <c:v>0.1229017931888545</c:v>
                </c:pt>
                <c:pt idx="6">
                  <c:v>0.12593452879256967</c:v>
                </c:pt>
                <c:pt idx="7">
                  <c:v>0.12896726439628484</c:v>
                </c:pt>
                <c:pt idx="8">
                  <c:v>0.13200000000000001</c:v>
                </c:pt>
              </c:numCache>
            </c:numRef>
          </c:val>
          <c:smooth val="0"/>
          <c:extLst>
            <c:ext xmlns:c16="http://schemas.microsoft.com/office/drawing/2014/chart" uri="{C3380CC4-5D6E-409C-BE32-E72D297353CC}">
              <c16:uniqueId val="{00000001-A2F3-4FD8-AFA9-9C3CAB73AAC6}"/>
            </c:ext>
          </c:extLst>
        </c:ser>
        <c:ser>
          <c:idx val="5"/>
          <c:order val="2"/>
          <c:tx>
            <c:strRef>
              <c:f>'Terresterial BIo'!$D$11</c:f>
              <c:strCache>
                <c:ptCount val="1"/>
                <c:pt idx="0">
                  <c:v>Terrestrial Biodiversity Protection Index</c:v>
                </c:pt>
              </c:strCache>
            </c:strRef>
          </c:tx>
          <c:spPr>
            <a:ln w="38100">
              <a:solidFill>
                <a:schemeClr val="accent6">
                  <a:lumMod val="75000"/>
                </a:schemeClr>
              </a:solidFill>
              <a:prstDash val="dash"/>
            </a:ln>
          </c:spPr>
          <c:marker>
            <c:symbol val="none"/>
          </c:marker>
          <c:cat>
            <c:numRef>
              <c:f>'Terresterial BIo'!$E$8:$M$8</c:f>
              <c:numCache>
                <c:formatCode>General</c:formatCode>
                <c:ptCount val="9"/>
                <c:pt idx="0">
                  <c:v>1990</c:v>
                </c:pt>
                <c:pt idx="1">
                  <c:v>2000</c:v>
                </c:pt>
                <c:pt idx="2">
                  <c:v>2010</c:v>
                </c:pt>
                <c:pt idx="3">
                  <c:v>2014</c:v>
                </c:pt>
                <c:pt idx="4">
                  <c:v>2015</c:v>
                </c:pt>
                <c:pt idx="5">
                  <c:v>2016</c:v>
                </c:pt>
                <c:pt idx="6">
                  <c:v>2017</c:v>
                </c:pt>
                <c:pt idx="7">
                  <c:v>2018</c:v>
                </c:pt>
                <c:pt idx="8">
                  <c:v>2018</c:v>
                </c:pt>
              </c:numCache>
            </c:numRef>
          </c:cat>
          <c:val>
            <c:numRef>
              <c:f>'Terresterial BIo'!$E$11:$M$11</c:f>
              <c:numCache>
                <c:formatCode>0.0%</c:formatCode>
                <c:ptCount val="9"/>
                <c:pt idx="0">
                  <c:v>4.3588355845870043E-2</c:v>
                </c:pt>
                <c:pt idx="1">
                  <c:v>5.1805606584955879E-2</c:v>
                </c:pt>
                <c:pt idx="2">
                  <c:v>5.5521218098790653E-2</c:v>
                </c:pt>
                <c:pt idx="3">
                  <c:v>5.8412215847509684E-2</c:v>
                </c:pt>
                <c:pt idx="4">
                  <c:v>5.90596816396802E-2</c:v>
                </c:pt>
                <c:pt idx="5">
                  <c:v>6.1624342954703759E-2</c:v>
                </c:pt>
                <c:pt idx="6">
                  <c:v>6.233518017544571E-2</c:v>
                </c:pt>
                <c:pt idx="7">
                  <c:v>6.3282701694609478E-2</c:v>
                </c:pt>
                <c:pt idx="8">
                  <c:v>6.3E-2</c:v>
                </c:pt>
              </c:numCache>
            </c:numRef>
          </c:val>
          <c:smooth val="0"/>
          <c:extLst>
            <c:ext xmlns:c16="http://schemas.microsoft.com/office/drawing/2014/chart" uri="{C3380CC4-5D6E-409C-BE32-E72D297353CC}">
              <c16:uniqueId val="{00000002-A2F3-4FD8-AFA9-9C3CAB73AAC6}"/>
            </c:ext>
          </c:extLst>
        </c:ser>
        <c:ser>
          <c:idx val="0"/>
          <c:order val="3"/>
          <c:tx>
            <c:strRef>
              <c:f>'Terresterial BIo'!$D$12</c:f>
              <c:strCache>
                <c:ptCount val="1"/>
                <c:pt idx="0">
                  <c:v>Aichi Target</c:v>
                </c:pt>
              </c:strCache>
            </c:strRef>
          </c:tx>
          <c:spPr>
            <a:ln w="38100">
              <a:solidFill>
                <a:srgbClr val="C00000"/>
              </a:solidFill>
            </a:ln>
          </c:spPr>
          <c:marker>
            <c:symbol val="none"/>
          </c:marker>
          <c:cat>
            <c:numRef>
              <c:f>'Terresterial BIo'!$E$8:$M$8</c:f>
              <c:numCache>
                <c:formatCode>General</c:formatCode>
                <c:ptCount val="9"/>
                <c:pt idx="0">
                  <c:v>1990</c:v>
                </c:pt>
                <c:pt idx="1">
                  <c:v>2000</c:v>
                </c:pt>
                <c:pt idx="2">
                  <c:v>2010</c:v>
                </c:pt>
                <c:pt idx="3">
                  <c:v>2014</c:v>
                </c:pt>
                <c:pt idx="4">
                  <c:v>2015</c:v>
                </c:pt>
                <c:pt idx="5">
                  <c:v>2016</c:v>
                </c:pt>
                <c:pt idx="6">
                  <c:v>2017</c:v>
                </c:pt>
                <c:pt idx="7">
                  <c:v>2018</c:v>
                </c:pt>
                <c:pt idx="8">
                  <c:v>2018</c:v>
                </c:pt>
              </c:numCache>
            </c:numRef>
          </c:cat>
          <c:val>
            <c:numRef>
              <c:f>'Terresterial BIo'!$E$12:$M$12</c:f>
              <c:numCache>
                <c:formatCode>0.0%</c:formatCode>
                <c:ptCount val="9"/>
                <c:pt idx="2">
                  <c:v>7.9301051281000248E-2</c:v>
                </c:pt>
                <c:pt idx="3">
                  <c:v>0.11558063076860016</c:v>
                </c:pt>
                <c:pt idx="4">
                  <c:v>0.12465052564050014</c:v>
                </c:pt>
                <c:pt idx="5">
                  <c:v>0.13372042051240013</c:v>
                </c:pt>
                <c:pt idx="6">
                  <c:v>0.14279031538430009</c:v>
                </c:pt>
                <c:pt idx="7">
                  <c:v>0.15186021025620006</c:v>
                </c:pt>
                <c:pt idx="8">
                  <c:v>0.161</c:v>
                </c:pt>
              </c:numCache>
            </c:numRef>
          </c:val>
          <c:smooth val="0"/>
          <c:extLst>
            <c:ext xmlns:c16="http://schemas.microsoft.com/office/drawing/2014/chart" uri="{C3380CC4-5D6E-409C-BE32-E72D297353CC}">
              <c16:uniqueId val="{00000003-A2F3-4FD8-AFA9-9C3CAB73AAC6}"/>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530115367902007"/>
          <c:y val="0.11726732017939831"/>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ysClr val="windowText" lastClr="000000"/>
                </a:solidFill>
                <a:latin typeface="Arial Narrow" panose="020B0606020202030204" pitchFamily="34" charset="0"/>
                <a:ea typeface="+mn-ea"/>
                <a:cs typeface="+mn-cs"/>
              </a:defRPr>
            </a:pPr>
            <a:r>
              <a:rPr lang="en-GB">
                <a:solidFill>
                  <a:sysClr val="windowText" lastClr="000000"/>
                </a:solidFill>
              </a:rPr>
              <a:t>Marine Biodiversity Protection Index</a:t>
            </a:r>
            <a:endParaRPr lang="en-ZA">
              <a:solidFill>
                <a:sysClr val="windowText" lastClr="000000"/>
              </a:solidFill>
            </a:endParaRPr>
          </a:p>
        </c:rich>
      </c:tx>
      <c:layout>
        <c:manualLayout>
          <c:xMode val="edge"/>
          <c:yMode val="edge"/>
          <c:x val="0.40949300087489071"/>
          <c:y val="0"/>
        </c:manualLayout>
      </c:layout>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Arial Narrow" panose="020B0606020202030204" pitchFamily="34" charset="0"/>
              <a:ea typeface="+mn-ea"/>
              <a:cs typeface="+mn-cs"/>
            </a:defRPr>
          </a:pPr>
          <a:endParaRPr lang="en-US"/>
        </a:p>
      </c:txPr>
    </c:title>
    <c:autoTitleDeleted val="0"/>
    <c:plotArea>
      <c:layout/>
      <c:lineChart>
        <c:grouping val="standard"/>
        <c:varyColors val="0"/>
        <c:ser>
          <c:idx val="0"/>
          <c:order val="0"/>
          <c:tx>
            <c:strRef>
              <c:f>[38]Indicator!$D$52</c:f>
              <c:strCache>
                <c:ptCount val="1"/>
                <c:pt idx="0">
                  <c:v>Protected Areas as a percentage of the PEI EEZ</c:v>
                </c:pt>
              </c:strCache>
            </c:strRef>
          </c:tx>
          <c:spPr>
            <a:ln w="28575" cap="rnd">
              <a:solidFill>
                <a:schemeClr val="accent1"/>
              </a:solidFill>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[38]Indicator!$E$52:$L$52</c:f>
              <c:numCache>
                <c:formatCode>General</c:formatCode>
                <c:ptCount val="8"/>
                <c:pt idx="0">
                  <c:v>0</c:v>
                </c:pt>
                <c:pt idx="1">
                  <c:v>7.8608093629437781E-9</c:v>
                </c:pt>
                <c:pt idx="2">
                  <c:v>0.35799284525443442</c:v>
                </c:pt>
                <c:pt idx="3">
                  <c:v>0.35799284525443442</c:v>
                </c:pt>
                <c:pt idx="4">
                  <c:v>0.35799284525443442</c:v>
                </c:pt>
                <c:pt idx="5">
                  <c:v>0.35799284525443442</c:v>
                </c:pt>
                <c:pt idx="6">
                  <c:v>0.35799284525443442</c:v>
                </c:pt>
                <c:pt idx="7">
                  <c:v>0.35799284525443442</c:v>
                </c:pt>
              </c:numCache>
            </c:numRef>
          </c:val>
          <c:smooth val="0"/>
          <c:extLst>
            <c:ext xmlns:c16="http://schemas.microsoft.com/office/drawing/2014/chart" uri="{C3380CC4-5D6E-409C-BE32-E72D297353CC}">
              <c16:uniqueId val="{00000000-5585-4132-9380-0335ECB1CCB8}"/>
            </c:ext>
          </c:extLst>
        </c:ser>
        <c:ser>
          <c:idx val="1"/>
          <c:order val="1"/>
          <c:tx>
            <c:strRef>
              <c:f>[38]Indicator!$D$53</c:f>
              <c:strCache>
                <c:ptCount val="1"/>
                <c:pt idx="0">
                  <c:v>Protected Areas that contribute to PEI biodiversity targets</c:v>
                </c:pt>
              </c:strCache>
            </c:strRef>
          </c:tx>
          <c:spPr>
            <a:ln w="28575" cap="rnd">
              <a:solidFill>
                <a:schemeClr val="accent2"/>
              </a:solidFill>
              <a:prstDash val="sysDash"/>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[38]Indicator!$E$53:$L$53</c:f>
              <c:numCache>
                <c:formatCode>General</c:formatCode>
                <c:ptCount val="8"/>
                <c:pt idx="0">
                  <c:v>0</c:v>
                </c:pt>
                <c:pt idx="1">
                  <c:v>7.8608093629437798E-9</c:v>
                </c:pt>
                <c:pt idx="2">
                  <c:v>0.18720008518874226</c:v>
                </c:pt>
                <c:pt idx="3">
                  <c:v>0.18720008518874226</c:v>
                </c:pt>
                <c:pt idx="4">
                  <c:v>0.18720008518874226</c:v>
                </c:pt>
                <c:pt idx="5">
                  <c:v>0.18720008518874226</c:v>
                </c:pt>
                <c:pt idx="6">
                  <c:v>0.18720008518874226</c:v>
                </c:pt>
                <c:pt idx="7">
                  <c:v>0.18720008518874226</c:v>
                </c:pt>
              </c:numCache>
            </c:numRef>
          </c:val>
          <c:smooth val="0"/>
          <c:extLst>
            <c:ext xmlns:c16="http://schemas.microsoft.com/office/drawing/2014/chart" uri="{C3380CC4-5D6E-409C-BE32-E72D297353CC}">
              <c16:uniqueId val="{00000001-5585-4132-9380-0335ECB1CCB8}"/>
            </c:ext>
          </c:extLst>
        </c:ser>
        <c:ser>
          <c:idx val="2"/>
          <c:order val="2"/>
          <c:tx>
            <c:strRef>
              <c:f>[38]Indicator!$D$54</c:f>
              <c:strCache>
                <c:ptCount val="1"/>
                <c:pt idx="0">
                  <c:v>Outcome 10 target(linked to Total MPAs)</c:v>
                </c:pt>
              </c:strCache>
            </c:strRef>
          </c:tx>
          <c:spPr>
            <a:ln w="28575" cap="rnd">
              <a:solidFill>
                <a:schemeClr val="accent3"/>
              </a:solidFill>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[38]Indicator!$E$54:$L$54</c:f>
              <c:numCache>
                <c:formatCode>General</c:formatCode>
                <c:ptCount val="8"/>
                <c:pt idx="2">
                  <c:v>4.3860445009339796E-3</c:v>
                </c:pt>
                <c:pt idx="3">
                  <c:v>2.0394766687850244E-2</c:v>
                </c:pt>
                <c:pt idx="4">
                  <c:v>2.3596511125233498E-2</c:v>
                </c:pt>
                <c:pt idx="5">
                  <c:v>2.6798255562616752E-2</c:v>
                </c:pt>
                <c:pt idx="6">
                  <c:v>3.0000000000000006E-2</c:v>
                </c:pt>
                <c:pt idx="7">
                  <c:v>3.32E-2</c:v>
                </c:pt>
              </c:numCache>
            </c:numRef>
          </c:val>
          <c:smooth val="0"/>
          <c:extLst>
            <c:ext xmlns:c16="http://schemas.microsoft.com/office/drawing/2014/chart" uri="{C3380CC4-5D6E-409C-BE32-E72D297353CC}">
              <c16:uniqueId val="{00000002-5585-4132-9380-0335ECB1CCB8}"/>
            </c:ext>
          </c:extLst>
        </c:ser>
        <c:ser>
          <c:idx val="3"/>
          <c:order val="3"/>
          <c:tx>
            <c:strRef>
              <c:f>[38]Indicator!$D$55</c:f>
              <c:strCache>
                <c:ptCount val="1"/>
                <c:pt idx="0">
                  <c:v>Aichi target (linked to MBP Index)</c:v>
                </c:pt>
              </c:strCache>
            </c:strRef>
          </c:tx>
          <c:spPr>
            <a:ln w="28575" cap="rnd">
              <a:solidFill>
                <a:schemeClr val="accent4"/>
              </a:solidFill>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[38]Indicator!$E$55:$L$55</c:f>
              <c:numCache>
                <c:formatCode>General</c:formatCode>
                <c:ptCount val="8"/>
                <c:pt idx="2">
                  <c:v>4.3860445009339796E-3</c:v>
                </c:pt>
                <c:pt idx="3">
                  <c:v>5.2193022250467E-2</c:v>
                </c:pt>
                <c:pt idx="4">
                  <c:v>6.1754417800373607E-2</c:v>
                </c:pt>
                <c:pt idx="5">
                  <c:v>7.1315813350280213E-2</c:v>
                </c:pt>
                <c:pt idx="6">
                  <c:v>8.087720890018682E-2</c:v>
                </c:pt>
                <c:pt idx="7">
                  <c:v>9.0399999999999994E-2</c:v>
                </c:pt>
              </c:numCache>
            </c:numRef>
          </c:val>
          <c:smooth val="0"/>
          <c:extLst>
            <c:ext xmlns:c16="http://schemas.microsoft.com/office/drawing/2014/chart" uri="{C3380CC4-5D6E-409C-BE32-E72D297353CC}">
              <c16:uniqueId val="{00000003-5585-4132-9380-0335ECB1CCB8}"/>
            </c:ext>
          </c:extLst>
        </c:ser>
        <c:ser>
          <c:idx val="4"/>
          <c:order val="4"/>
          <c:tx>
            <c:strRef>
              <c:f>[38]Indicator!$D$50</c:f>
              <c:strCache>
                <c:ptCount val="1"/>
                <c:pt idx="0">
                  <c:v>Protected Areas as a percentage of the continental EEZ</c:v>
                </c:pt>
              </c:strCache>
            </c:strRef>
          </c:tx>
          <c:spPr>
            <a:ln w="28575" cap="rnd">
              <a:solidFill>
                <a:schemeClr val="accent5"/>
              </a:solidFill>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[38]Indicator!$E$50:$L$50</c:f>
              <c:numCache>
                <c:formatCode>General</c:formatCode>
                <c:ptCount val="8"/>
                <c:pt idx="0">
                  <c:v>4.3787933530970103E-5</c:v>
                </c:pt>
                <c:pt idx="1">
                  <c:v>2.0372856900803416E-3</c:v>
                </c:pt>
                <c:pt idx="2">
                  <c:v>4.3860445009339796E-3</c:v>
                </c:pt>
                <c:pt idx="3">
                  <c:v>4.6138695117436219E-3</c:v>
                </c:pt>
                <c:pt idx="4">
                  <c:v>4.6138695117436219E-3</c:v>
                </c:pt>
                <c:pt idx="5">
                  <c:v>4.6140885833889367E-3</c:v>
                </c:pt>
                <c:pt idx="6">
                  <c:v>4.6143962094089925E-3</c:v>
                </c:pt>
                <c:pt idx="7">
                  <c:v>5.3699999999999998E-2</c:v>
                </c:pt>
              </c:numCache>
            </c:numRef>
          </c:val>
          <c:smooth val="0"/>
          <c:extLst>
            <c:ext xmlns:c16="http://schemas.microsoft.com/office/drawing/2014/chart" uri="{C3380CC4-5D6E-409C-BE32-E72D297353CC}">
              <c16:uniqueId val="{00000004-5585-4132-9380-0335ECB1CCB8}"/>
            </c:ext>
          </c:extLst>
        </c:ser>
        <c:ser>
          <c:idx val="5"/>
          <c:order val="5"/>
          <c:tx>
            <c:strRef>
              <c:f>[38]Indicator!$D$51</c:f>
              <c:strCache>
                <c:ptCount val="1"/>
                <c:pt idx="0">
                  <c:v>MBPI (Protected Areas that contribute to continental</c:v>
                </c:pt>
              </c:strCache>
            </c:strRef>
          </c:tx>
          <c:spPr>
            <a:ln w="28575" cap="rnd">
              <a:solidFill>
                <a:schemeClr val="accent6"/>
              </a:solidFill>
              <a:round/>
            </a:ln>
            <a:effectLst/>
          </c:spPr>
          <c:marker>
            <c:symbol val="none"/>
          </c:marker>
          <c:cat>
            <c:numRef>
              <c:f>[38]Indicator!$E$49:$L$49</c:f>
              <c:numCache>
                <c:formatCode>General</c:formatCode>
                <c:ptCount val="8"/>
                <c:pt idx="0">
                  <c:v>1990</c:v>
                </c:pt>
                <c:pt idx="1">
                  <c:v>2000</c:v>
                </c:pt>
                <c:pt idx="2">
                  <c:v>2010</c:v>
                </c:pt>
                <c:pt idx="3">
                  <c:v>2015</c:v>
                </c:pt>
                <c:pt idx="4">
                  <c:v>2016</c:v>
                </c:pt>
                <c:pt idx="5">
                  <c:v>2017</c:v>
                </c:pt>
                <c:pt idx="6">
                  <c:v>2018</c:v>
                </c:pt>
                <c:pt idx="7">
                  <c:v>2019</c:v>
                </c:pt>
              </c:numCache>
            </c:numRef>
          </c:cat>
          <c:val>
            <c:numRef>
              <c:f>[38]Indicator!$E$51:$L$51</c:f>
              <c:numCache>
                <c:formatCode>General</c:formatCode>
                <c:ptCount val="8"/>
                <c:pt idx="0">
                  <c:v>4.079413245217085E-5</c:v>
                </c:pt>
                <c:pt idx="1">
                  <c:v>1.451082553212261E-3</c:v>
                </c:pt>
                <c:pt idx="2">
                  <c:v>3.2859231407263226E-3</c:v>
                </c:pt>
                <c:pt idx="3">
                  <c:v>3.4881459016867437E-3</c:v>
                </c:pt>
                <c:pt idx="4">
                  <c:v>3.4881459016867437E-3</c:v>
                </c:pt>
                <c:pt idx="5">
                  <c:v>3.4882453159784657E-3</c:v>
                </c:pt>
                <c:pt idx="6">
                  <c:v>3.4884447191288843E-3</c:v>
                </c:pt>
                <c:pt idx="7">
                  <c:v>4.1099999999999998E-2</c:v>
                </c:pt>
              </c:numCache>
            </c:numRef>
          </c:val>
          <c:smooth val="0"/>
          <c:extLst>
            <c:ext xmlns:c16="http://schemas.microsoft.com/office/drawing/2014/chart" uri="{C3380CC4-5D6E-409C-BE32-E72D297353CC}">
              <c16:uniqueId val="{00000005-5585-4132-9380-0335ECB1CCB8}"/>
            </c:ext>
          </c:extLst>
        </c:ser>
        <c:dLbls>
          <c:showLegendKey val="0"/>
          <c:showVal val="0"/>
          <c:showCatName val="0"/>
          <c:showSerName val="0"/>
          <c:showPercent val="0"/>
          <c:showBubbleSize val="0"/>
        </c:dLbls>
        <c:smooth val="0"/>
        <c:axId val="2121573280"/>
        <c:axId val="1659925408"/>
      </c:lineChart>
      <c:catAx>
        <c:axId val="21215732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1659925408"/>
        <c:crosses val="autoZero"/>
        <c:auto val="1"/>
        <c:lblAlgn val="ctr"/>
        <c:lblOffset val="100"/>
        <c:noMultiLvlLbl val="0"/>
      </c:catAx>
      <c:valAx>
        <c:axId val="1659925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12157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'!$C$46</c:f>
              <c:strCache>
                <c:ptCount val="1"/>
                <c:pt idx="0">
                  <c:v>Real interest</c:v>
                </c:pt>
              </c:strCache>
            </c:strRef>
          </c:tx>
          <c:spPr>
            <a:ln w="15875">
              <a:solidFill>
                <a:srgbClr val="FF6600"/>
              </a:solidFill>
              <a:prstDash val="solid"/>
            </a:ln>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'!$E$46:$CJ$46</c:f>
              <c:numCache>
                <c:formatCode>0.0</c:formatCode>
                <c:ptCount val="84"/>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5">
                  <c:v>4.4509850009276359</c:v>
                </c:pt>
                <c:pt idx="26">
                  <c:v>3.5343183342609361</c:v>
                </c:pt>
                <c:pt idx="27">
                  <c:v>3.2009850009276359</c:v>
                </c:pt>
                <c:pt idx="28">
                  <c:v>4.5343183342609361</c:v>
                </c:pt>
                <c:pt idx="29">
                  <c:v>5.5343183342609361</c:v>
                </c:pt>
                <c:pt idx="30">
                  <c:v>6.5343183342609361</c:v>
                </c:pt>
                <c:pt idx="31">
                  <c:v>7.2009850009276359</c:v>
                </c:pt>
                <c:pt idx="32">
                  <c:v>7.2009850009276359</c:v>
                </c:pt>
                <c:pt idx="33">
                  <c:v>6.7009850009276359</c:v>
                </c:pt>
                <c:pt idx="34">
                  <c:v>4.7009850009276359</c:v>
                </c:pt>
                <c:pt idx="35">
                  <c:v>2.0343183342609361</c:v>
                </c:pt>
                <c:pt idx="36">
                  <c:v>1.7009850009276359</c:v>
                </c:pt>
                <c:pt idx="37">
                  <c:v>1.7009850009276359</c:v>
                </c:pt>
                <c:pt idx="38">
                  <c:v>1.3676516675943358</c:v>
                </c:pt>
                <c:pt idx="39">
                  <c:v>1.2009850009276359</c:v>
                </c:pt>
                <c:pt idx="40">
                  <c:v>1.2009850009276359</c:v>
                </c:pt>
                <c:pt idx="41">
                  <c:v>0.70098500092763594</c:v>
                </c:pt>
                <c:pt idx="42">
                  <c:v>0.70098500092763594</c:v>
                </c:pt>
                <c:pt idx="43">
                  <c:v>0.70098500092763594</c:v>
                </c:pt>
                <c:pt idx="44">
                  <c:v>0.70098500092763594</c:v>
                </c:pt>
                <c:pt idx="45">
                  <c:v>0.86765166759433576</c:v>
                </c:pt>
                <c:pt idx="46">
                  <c:v>1.5343183342609361</c:v>
                </c:pt>
                <c:pt idx="47">
                  <c:v>2.3676516675943358</c:v>
                </c:pt>
                <c:pt idx="48">
                  <c:v>2.7009850009276359</c:v>
                </c:pt>
                <c:pt idx="49">
                  <c:v>2.8676516675943358</c:v>
                </c:pt>
                <c:pt idx="50">
                  <c:v>3.5343183342609361</c:v>
                </c:pt>
                <c:pt idx="51">
                  <c:v>4.3676516675943358</c:v>
                </c:pt>
                <c:pt idx="52">
                  <c:v>4.7009850009276359</c:v>
                </c:pt>
                <c:pt idx="53">
                  <c:v>5.3676516675943358</c:v>
                </c:pt>
                <c:pt idx="54">
                  <c:v>5.7009850009276359</c:v>
                </c:pt>
                <c:pt idx="55">
                  <c:v>5.5343183342609361</c:v>
                </c:pt>
                <c:pt idx="56">
                  <c:v>4.2009850009276359</c:v>
                </c:pt>
                <c:pt idx="57">
                  <c:v>1.8676516675943358</c:v>
                </c:pt>
                <c:pt idx="58">
                  <c:v>0.86765166759433576</c:v>
                </c:pt>
                <c:pt idx="59">
                  <c:v>0.70098500092763594</c:v>
                </c:pt>
                <c:pt idx="60">
                  <c:v>0.53431833426093611</c:v>
                </c:pt>
                <c:pt idx="61">
                  <c:v>0.20098500092763594</c:v>
                </c:pt>
                <c:pt idx="62">
                  <c:v>3.431833426096631E-2</c:v>
                </c:pt>
                <c:pt idx="63">
                  <c:v>-0.63234833240569444</c:v>
                </c:pt>
                <c:pt idx="64">
                  <c:v>-0.79901499907236406</c:v>
                </c:pt>
                <c:pt idx="65">
                  <c:v>-0.79901499907236406</c:v>
                </c:pt>
                <c:pt idx="66">
                  <c:v>-0.79901499907236406</c:v>
                </c:pt>
                <c:pt idx="67">
                  <c:v>-0.79901499907236406</c:v>
                </c:pt>
                <c:pt idx="68">
                  <c:v>-0.79901499907236406</c:v>
                </c:pt>
                <c:pt idx="69">
                  <c:v>-0.79901499907236406</c:v>
                </c:pt>
                <c:pt idx="70">
                  <c:v>-1.2990149990723641</c:v>
                </c:pt>
                <c:pt idx="71">
                  <c:v>-1.2990149990723641</c:v>
                </c:pt>
                <c:pt idx="72">
                  <c:v>-1.2990149990723641</c:v>
                </c:pt>
                <c:pt idx="73">
                  <c:v>-1.2990149990723641</c:v>
                </c:pt>
                <c:pt idx="74">
                  <c:v>-1.2990149990723641</c:v>
                </c:pt>
                <c:pt idx="75">
                  <c:v>-1.2990149990723641</c:v>
                </c:pt>
                <c:pt idx="76">
                  <c:v>-0.79901499907236406</c:v>
                </c:pt>
                <c:pt idx="77">
                  <c:v>-0.79901499907236406</c:v>
                </c:pt>
                <c:pt idx="78">
                  <c:v>-0.54901499907236406</c:v>
                </c:pt>
                <c:pt idx="79">
                  <c:v>-0.54901499907236406</c:v>
                </c:pt>
              </c:numCache>
            </c:numRef>
          </c:val>
          <c:smooth val="0"/>
          <c:extLst>
            <c:ext xmlns:c16="http://schemas.microsoft.com/office/drawing/2014/chart" uri="{C3380CC4-5D6E-409C-BE32-E72D297353CC}">
              <c16:uniqueId val="{00000000-D781-4536-918A-897D0FB3CF79}"/>
            </c:ext>
          </c:extLst>
        </c:ser>
        <c:ser>
          <c:idx val="1"/>
          <c:order val="1"/>
          <c:tx>
            <c:strRef>
              <c:f>'Interest   '!$C$47</c:f>
              <c:strCache>
                <c:ptCount val="1"/>
                <c:pt idx="0">
                  <c:v>Nominal interest</c:v>
                </c:pt>
              </c:strCache>
            </c:strRef>
          </c:tx>
          <c:spPr>
            <a:ln w="15875"/>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'!$E$47:$CJ$47</c:f>
              <c:numCache>
                <c:formatCode>0.0</c:formatCode>
                <c:ptCount val="84"/>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5">
                  <c:v>14.25</c:v>
                </c:pt>
                <c:pt idx="26">
                  <c:v>13.3333333333333</c:v>
                </c:pt>
                <c:pt idx="27">
                  <c:v>13</c:v>
                </c:pt>
                <c:pt idx="28">
                  <c:v>14.3333333333333</c:v>
                </c:pt>
                <c:pt idx="29">
                  <c:v>15.3333333333333</c:v>
                </c:pt>
                <c:pt idx="30">
                  <c:v>16.3333333333333</c:v>
                </c:pt>
                <c:pt idx="31">
                  <c:v>17</c:v>
                </c:pt>
                <c:pt idx="32">
                  <c:v>17</c:v>
                </c:pt>
                <c:pt idx="33">
                  <c:v>16.5</c:v>
                </c:pt>
                <c:pt idx="34">
                  <c:v>14.5</c:v>
                </c:pt>
                <c:pt idx="35">
                  <c:v>11.8333333333333</c:v>
                </c:pt>
                <c:pt idx="36">
                  <c:v>11.5</c:v>
                </c:pt>
                <c:pt idx="37">
                  <c:v>11.5</c:v>
                </c:pt>
                <c:pt idx="38">
                  <c:v>11.1666666666667</c:v>
                </c:pt>
                <c:pt idx="39">
                  <c:v>11</c:v>
                </c:pt>
                <c:pt idx="40">
                  <c:v>11</c:v>
                </c:pt>
                <c:pt idx="41">
                  <c:v>10.5</c:v>
                </c:pt>
                <c:pt idx="42">
                  <c:v>10.5</c:v>
                </c:pt>
                <c:pt idx="43">
                  <c:v>10.5</c:v>
                </c:pt>
                <c:pt idx="44">
                  <c:v>10.5</c:v>
                </c:pt>
                <c:pt idx="45">
                  <c:v>10.6666666666667</c:v>
                </c:pt>
                <c:pt idx="46">
                  <c:v>11.3333333333333</c:v>
                </c:pt>
                <c:pt idx="47">
                  <c:v>12.1666666666667</c:v>
                </c:pt>
                <c:pt idx="48">
                  <c:v>12.5</c:v>
                </c:pt>
                <c:pt idx="49">
                  <c:v>12.6666666666667</c:v>
                </c:pt>
                <c:pt idx="50">
                  <c:v>13.3333333333333</c:v>
                </c:pt>
                <c:pt idx="51">
                  <c:v>14.1666666666667</c:v>
                </c:pt>
                <c:pt idx="52">
                  <c:v>14.5</c:v>
                </c:pt>
                <c:pt idx="53">
                  <c:v>15.1666666666667</c:v>
                </c:pt>
                <c:pt idx="54">
                  <c:v>15.5</c:v>
                </c:pt>
                <c:pt idx="55">
                  <c:v>15.3333333333333</c:v>
                </c:pt>
                <c:pt idx="56">
                  <c:v>14</c:v>
                </c:pt>
                <c:pt idx="57">
                  <c:v>11.6666666666667</c:v>
                </c:pt>
                <c:pt idx="58">
                  <c:v>10.6666666666667</c:v>
                </c:pt>
                <c:pt idx="59">
                  <c:v>10.5</c:v>
                </c:pt>
                <c:pt idx="60">
                  <c:v>10.3333333333333</c:v>
                </c:pt>
                <c:pt idx="61">
                  <c:v>10</c:v>
                </c:pt>
                <c:pt idx="62">
                  <c:v>9.8333333333333304</c:v>
                </c:pt>
                <c:pt idx="63">
                  <c:v>9.1666666666666696</c:v>
                </c:pt>
                <c:pt idx="64">
                  <c:v>9</c:v>
                </c:pt>
                <c:pt idx="65">
                  <c:v>9</c:v>
                </c:pt>
                <c:pt idx="66">
                  <c:v>9</c:v>
                </c:pt>
                <c:pt idx="67">
                  <c:v>9</c:v>
                </c:pt>
                <c:pt idx="68">
                  <c:v>9</c:v>
                </c:pt>
                <c:pt idx="69">
                  <c:v>9</c:v>
                </c:pt>
                <c:pt idx="70">
                  <c:v>8.5</c:v>
                </c:pt>
                <c:pt idx="71">
                  <c:v>8.5</c:v>
                </c:pt>
                <c:pt idx="72">
                  <c:v>8.5</c:v>
                </c:pt>
                <c:pt idx="73">
                  <c:v>8.5</c:v>
                </c:pt>
                <c:pt idx="74">
                  <c:v>8.5</c:v>
                </c:pt>
                <c:pt idx="75">
                  <c:v>8.5</c:v>
                </c:pt>
                <c:pt idx="76">
                  <c:v>9</c:v>
                </c:pt>
                <c:pt idx="77">
                  <c:v>9</c:v>
                </c:pt>
                <c:pt idx="78">
                  <c:v>9.25</c:v>
                </c:pt>
                <c:pt idx="79">
                  <c:v>9.25</c:v>
                </c:pt>
              </c:numCache>
            </c:numRef>
          </c:val>
          <c:smooth val="0"/>
          <c:extLst>
            <c:ext xmlns:c16="http://schemas.microsoft.com/office/drawing/2014/chart" uri="{C3380CC4-5D6E-409C-BE32-E72D297353CC}">
              <c16:uniqueId val="{00000001-D781-4536-918A-897D0FB3CF79}"/>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a:t>
            </a:r>
            <a:r>
              <a:rPr lang="en-US" baseline="0"/>
              <a:t> RATE</a:t>
            </a:r>
            <a:endParaRPr lang="en-US"/>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  '!$C$45</c:f>
              <c:strCache>
                <c:ptCount val="1"/>
                <c:pt idx="0">
                  <c:v>CPI </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'Inflation  '!$E$7:$AC$7</c15:sqref>
                  </c15:fullRef>
                </c:ext>
              </c:extLst>
              <c:f>'Inflation  '!$P$7:$AC$7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extLst>
                <c:ext xmlns:c15="http://schemas.microsoft.com/office/drawing/2012/chart" uri="{02D57815-91ED-43cb-92C2-25804820EDAC}">
                  <c15:fullRef>
                    <c15:sqref>'Inflation  '!$E$8:$AC$8</c15:sqref>
                  </c15:fullRef>
                </c:ext>
              </c:extLst>
              <c:f>'Inflation  '!$P$8:$AC$8</c:f>
              <c:numCache>
                <c:formatCode>0.0</c:formatCode>
                <c:ptCount val="14"/>
                <c:pt idx="0">
                  <c:v>3.4</c:v>
                </c:pt>
                <c:pt idx="1">
                  <c:v>4.7</c:v>
                </c:pt>
                <c:pt idx="2">
                  <c:v>7.1</c:v>
                </c:pt>
                <c:pt idx="3">
                  <c:v>11.5</c:v>
                </c:pt>
                <c:pt idx="4">
                  <c:v>7.1</c:v>
                </c:pt>
                <c:pt idx="5">
                  <c:v>4.3</c:v>
                </c:pt>
                <c:pt idx="6">
                  <c:v>5</c:v>
                </c:pt>
                <c:pt idx="7">
                  <c:v>5.6</c:v>
                </c:pt>
                <c:pt idx="8">
                  <c:v>5.7</c:v>
                </c:pt>
                <c:pt idx="9">
                  <c:v>6.1</c:v>
                </c:pt>
                <c:pt idx="10">
                  <c:v>4.5999999999999996</c:v>
                </c:pt>
                <c:pt idx="11">
                  <c:v>6.4</c:v>
                </c:pt>
                <c:pt idx="12">
                  <c:v>5.3</c:v>
                </c:pt>
                <c:pt idx="13">
                  <c:v>4.7</c:v>
                </c:pt>
              </c:numCache>
            </c:numRef>
          </c:val>
          <c:smooth val="0"/>
          <c:extLst>
            <c:ext xmlns:c16="http://schemas.microsoft.com/office/drawing/2014/chart" uri="{C3380CC4-5D6E-409C-BE32-E72D297353CC}">
              <c16:uniqueId val="{00000000-1FAF-4897-B1CE-5E176DCC1521}"/>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  '!$C$45</c:f>
              <c:strCache>
                <c:ptCount val="1"/>
                <c:pt idx="0">
                  <c:v>CPI </c:v>
                </c:pt>
              </c:strCache>
            </c:strRef>
          </c:tx>
          <c:spPr>
            <a:ln w="15875">
              <a:solidFill>
                <a:srgbClr val="993300"/>
              </a:solidFill>
              <a:prstDash val="solid"/>
            </a:ln>
          </c:spPr>
          <c:marker>
            <c:symbol val="none"/>
          </c:marker>
          <c:cat>
            <c:multiLvlStrRef>
              <c:f>'Inflation  '!$D$43:$CN$44</c:f>
              <c:multiLvlStrCache>
                <c:ptCount val="89"/>
                <c:lvl>
                  <c:pt idx="0">
                    <c:v>M</c:v>
                  </c:pt>
                  <c:pt idx="2">
                    <c:v>J</c:v>
                  </c:pt>
                  <c:pt idx="3">
                    <c:v>S</c:v>
                  </c:pt>
                  <c:pt idx="4">
                    <c:v>D</c:v>
                  </c:pt>
                  <c:pt idx="5">
                    <c:v>M</c:v>
                  </c:pt>
                  <c:pt idx="6">
                    <c:v>J</c:v>
                  </c:pt>
                  <c:pt idx="7">
                    <c:v>S</c:v>
                  </c:pt>
                  <c:pt idx="8">
                    <c:v>D</c:v>
                  </c:pt>
                  <c:pt idx="9">
                    <c:v>M</c:v>
                  </c:pt>
                  <c:pt idx="10">
                    <c:v>J</c:v>
                  </c:pt>
                  <c:pt idx="11">
                    <c:v>S</c:v>
                  </c:pt>
                  <c:pt idx="12">
                    <c:v>D</c:v>
                  </c:pt>
                  <c:pt idx="13">
                    <c:v>M</c:v>
                  </c:pt>
                  <c:pt idx="14">
                    <c:v>J</c:v>
                  </c:pt>
                  <c:pt idx="15">
                    <c:v>S</c:v>
                  </c:pt>
                  <c:pt idx="16">
                    <c:v>D</c:v>
                  </c:pt>
                  <c:pt idx="17">
                    <c:v>M</c:v>
                  </c:pt>
                  <c:pt idx="18">
                    <c:v>J</c:v>
                  </c:pt>
                  <c:pt idx="19">
                    <c:v>S</c:v>
                  </c:pt>
                  <c:pt idx="20">
                    <c:v>D</c:v>
                  </c:pt>
                  <c:pt idx="21">
                    <c:v>M</c:v>
                  </c:pt>
                  <c:pt idx="22">
                    <c:v>J</c:v>
                  </c:pt>
                  <c:pt idx="23">
                    <c:v>S</c:v>
                  </c:pt>
                  <c:pt idx="24">
                    <c:v>D</c:v>
                  </c:pt>
                  <c:pt idx="25">
                    <c:v>M</c:v>
                  </c:pt>
                  <c:pt idx="26">
                    <c:v>J</c:v>
                  </c:pt>
                  <c:pt idx="27">
                    <c:v>S</c:v>
                  </c:pt>
                  <c:pt idx="28">
                    <c:v>D</c:v>
                  </c:pt>
                  <c:pt idx="29">
                    <c:v>M</c:v>
                  </c:pt>
                  <c:pt idx="30">
                    <c:v>J</c:v>
                  </c:pt>
                  <c:pt idx="31">
                    <c:v>S</c:v>
                  </c:pt>
                  <c:pt idx="32">
                    <c:v>D</c:v>
                  </c:pt>
                  <c:pt idx="33">
                    <c:v>M</c:v>
                  </c:pt>
                  <c:pt idx="34">
                    <c:v>J</c:v>
                  </c:pt>
                  <c:pt idx="35">
                    <c:v>S</c:v>
                  </c:pt>
                  <c:pt idx="36">
                    <c:v>D</c:v>
                  </c:pt>
                  <c:pt idx="37">
                    <c:v>M</c:v>
                  </c:pt>
                  <c:pt idx="38">
                    <c:v>J</c:v>
                  </c:pt>
                  <c:pt idx="39">
                    <c:v>S</c:v>
                  </c:pt>
                  <c:pt idx="40">
                    <c:v>D</c:v>
                  </c:pt>
                  <c:pt idx="41">
                    <c:v>M</c:v>
                  </c:pt>
                  <c:pt idx="42">
                    <c:v>J</c:v>
                  </c:pt>
                  <c:pt idx="43">
                    <c:v>S</c:v>
                  </c:pt>
                  <c:pt idx="44">
                    <c:v>D</c:v>
                  </c:pt>
                  <c:pt idx="45">
                    <c:v>M</c:v>
                  </c:pt>
                  <c:pt idx="46">
                    <c:v>J</c:v>
                  </c:pt>
                  <c:pt idx="47">
                    <c:v>S</c:v>
                  </c:pt>
                  <c:pt idx="48">
                    <c:v>D</c:v>
                  </c:pt>
                  <c:pt idx="49">
                    <c:v>M</c:v>
                  </c:pt>
                  <c:pt idx="50">
                    <c:v>J</c:v>
                  </c:pt>
                  <c:pt idx="51">
                    <c:v>S</c:v>
                  </c:pt>
                  <c:pt idx="52">
                    <c:v>D</c:v>
                  </c:pt>
                  <c:pt idx="53">
                    <c:v>M</c:v>
                  </c:pt>
                  <c:pt idx="54">
                    <c:v>J</c:v>
                  </c:pt>
                  <c:pt idx="55">
                    <c:v>S</c:v>
                  </c:pt>
                  <c:pt idx="56">
                    <c:v>D</c:v>
                  </c:pt>
                  <c:pt idx="57">
                    <c:v>M</c:v>
                  </c:pt>
                  <c:pt idx="58">
                    <c:v>J</c:v>
                  </c:pt>
                  <c:pt idx="59">
                    <c:v>S</c:v>
                  </c:pt>
                  <c:pt idx="60">
                    <c:v>D</c:v>
                  </c:pt>
                  <c:pt idx="61">
                    <c:v>M</c:v>
                  </c:pt>
                  <c:pt idx="62">
                    <c:v>J</c:v>
                  </c:pt>
                  <c:pt idx="63">
                    <c:v>S</c:v>
                  </c:pt>
                  <c:pt idx="64">
                    <c:v>D</c:v>
                  </c:pt>
                  <c:pt idx="65">
                    <c:v>M</c:v>
                  </c:pt>
                  <c:pt idx="66">
                    <c:v>J</c:v>
                  </c:pt>
                  <c:pt idx="67">
                    <c:v>S</c:v>
                  </c:pt>
                  <c:pt idx="68">
                    <c:v>D</c:v>
                  </c:pt>
                  <c:pt idx="69">
                    <c:v>M</c:v>
                  </c:pt>
                  <c:pt idx="70">
                    <c:v>J</c:v>
                  </c:pt>
                  <c:pt idx="71">
                    <c:v>S</c:v>
                  </c:pt>
                  <c:pt idx="72">
                    <c:v>D</c:v>
                  </c:pt>
                  <c:pt idx="73">
                    <c:v>M</c:v>
                  </c:pt>
                  <c:pt idx="74">
                    <c:v>J</c:v>
                  </c:pt>
                  <c:pt idx="75">
                    <c:v>S</c:v>
                  </c:pt>
                  <c:pt idx="76">
                    <c:v>D</c:v>
                  </c:pt>
                  <c:pt idx="77">
                    <c:v>M</c:v>
                  </c:pt>
                  <c:pt idx="78">
                    <c:v>J</c:v>
                  </c:pt>
                  <c:pt idx="79">
                    <c:v>S</c:v>
                  </c:pt>
                  <c:pt idx="80">
                    <c:v>D</c:v>
                  </c:pt>
                  <c:pt idx="81">
                    <c:v>M</c:v>
                  </c:pt>
                  <c:pt idx="82">
                    <c:v>J</c:v>
                  </c:pt>
                  <c:pt idx="83">
                    <c:v>S</c:v>
                  </c:pt>
                  <c:pt idx="84">
                    <c:v>D</c:v>
                  </c:pt>
                  <c:pt idx="85">
                    <c:v>M</c:v>
                  </c:pt>
                  <c:pt idx="86">
                    <c:v>J</c:v>
                  </c:pt>
                  <c:pt idx="87">
                    <c:v>S</c:v>
                  </c:pt>
                  <c:pt idx="88">
                    <c:v>D</c:v>
                  </c:pt>
                </c:lvl>
                <c:lvl>
                  <c:pt idx="0">
                    <c:v>1994</c:v>
                  </c:pt>
                  <c:pt idx="5">
                    <c:v>1995</c:v>
                  </c:pt>
                  <c:pt idx="9">
                    <c:v>1996</c:v>
                  </c:pt>
                  <c:pt idx="13">
                    <c:v>1997</c:v>
                  </c:pt>
                  <c:pt idx="17">
                    <c:v>1998</c:v>
                  </c:pt>
                  <c:pt idx="21">
                    <c:v>1999</c:v>
                  </c:pt>
                  <c:pt idx="25">
                    <c:v>2000</c:v>
                  </c:pt>
                  <c:pt idx="29">
                    <c:v>2001</c:v>
                  </c:pt>
                  <c:pt idx="33">
                    <c:v>2002</c:v>
                  </c:pt>
                  <c:pt idx="37">
                    <c:v>2003</c:v>
                  </c:pt>
                  <c:pt idx="41">
                    <c:v>2004</c:v>
                  </c:pt>
                  <c:pt idx="45">
                    <c:v>2005</c:v>
                  </c:pt>
                  <c:pt idx="49">
                    <c:v>2006</c:v>
                  </c:pt>
                  <c:pt idx="53">
                    <c:v>2007</c:v>
                  </c:pt>
                  <c:pt idx="57">
                    <c:v>2008</c:v>
                  </c:pt>
                  <c:pt idx="61">
                    <c:v>2009</c:v>
                  </c:pt>
                  <c:pt idx="65">
                    <c:v>2010</c:v>
                  </c:pt>
                  <c:pt idx="69">
                    <c:v>2011</c:v>
                  </c:pt>
                  <c:pt idx="73">
                    <c:v>2012</c:v>
                  </c:pt>
                  <c:pt idx="77">
                    <c:v>2013</c:v>
                  </c:pt>
                  <c:pt idx="81">
                    <c:v>2014</c:v>
                  </c:pt>
                  <c:pt idx="85">
                    <c:v>2014</c:v>
                  </c:pt>
                </c:lvl>
              </c:multiLvlStrCache>
            </c:multiLvlStrRef>
          </c:cat>
          <c:val>
            <c:numRef>
              <c:f>'Inflation  '!$D$45:$CN$45</c:f>
              <c:numCache>
                <c:formatCode>0.0</c:formatCode>
                <c:ptCount val="89"/>
                <c:pt idx="0">
                  <c:v>9.6690745326061922</c:v>
                </c:pt>
                <c:pt idx="2">
                  <c:v>7.1544990447711898</c:v>
                </c:pt>
                <c:pt idx="3">
                  <c:v>9.1298236892189308</c:v>
                </c:pt>
                <c:pt idx="4">
                  <c:v>9.7990149990723641</c:v>
                </c:pt>
                <c:pt idx="5">
                  <c:v>9.9593442253082856</c:v>
                </c:pt>
                <c:pt idx="6">
                  <c:v>10.65216088388572</c:v>
                </c:pt>
                <c:pt idx="7">
                  <c:v>7.7265495256930494</c:v>
                </c:pt>
                <c:pt idx="8">
                  <c:v>6.5617362329769779</c:v>
                </c:pt>
                <c:pt idx="9">
                  <c:v>6.5085679673837493</c:v>
                </c:pt>
                <c:pt idx="10">
                  <c:v>6.0804774256866922</c:v>
                </c:pt>
                <c:pt idx="11">
                  <c:v>7.6291228387665333</c:v>
                </c:pt>
                <c:pt idx="12">
                  <c:v>9.1451219295645814</c:v>
                </c:pt>
                <c:pt idx="13">
                  <c:v>9.6107740626719895</c:v>
                </c:pt>
                <c:pt idx="14">
                  <c:v>9.3789086252066056</c:v>
                </c:pt>
                <c:pt idx="15">
                  <c:v>8.6163234263308741</c:v>
                </c:pt>
                <c:pt idx="16">
                  <c:v>6.8816620113169469</c:v>
                </c:pt>
                <c:pt idx="17">
                  <c:v>6.5767284991568031</c:v>
                </c:pt>
                <c:pt idx="18">
                  <c:v>6.9565217391304168</c:v>
                </c:pt>
                <c:pt idx="19">
                  <c:v>7.2505091649695208</c:v>
                </c:pt>
                <c:pt idx="20">
                  <c:v>7.4074074074073737</c:v>
                </c:pt>
                <c:pt idx="21">
                  <c:v>7.2784810126582</c:v>
                </c:pt>
                <c:pt idx="22">
                  <c:v>7.00735578784355</c:v>
                </c:pt>
                <c:pt idx="23">
                  <c:v>6.7603494113178675</c:v>
                </c:pt>
                <c:pt idx="24">
                  <c:v>6.7091454272864004</c:v>
                </c:pt>
                <c:pt idx="25">
                  <c:v>7.1902654867256555</c:v>
                </c:pt>
                <c:pt idx="26">
                  <c:v>7.8509406657019554</c:v>
                </c:pt>
                <c:pt idx="27">
                  <c:v>8.0398434720736276</c:v>
                </c:pt>
                <c:pt idx="28">
                  <c:v>7.7976817702845036</c:v>
                </c:pt>
                <c:pt idx="29">
                  <c:v>7.602339181286899</c:v>
                </c:pt>
                <c:pt idx="30">
                  <c:v>6.5414290506544459</c:v>
                </c:pt>
                <c:pt idx="31">
                  <c:v>6.0915377016796501</c:v>
                </c:pt>
                <c:pt idx="32">
                  <c:v>6.2235255783646082</c:v>
                </c:pt>
                <c:pt idx="33">
                  <c:v>7.4168797953960697</c:v>
                </c:pt>
                <c:pt idx="34">
                  <c:v>8.7216624685135145</c:v>
                </c:pt>
                <c:pt idx="35">
                  <c:v>9.9317194289264332</c:v>
                </c:pt>
                <c:pt idx="36">
                  <c:v>11.134969325153342</c:v>
                </c:pt>
                <c:pt idx="37">
                  <c:v>9.5238095238098239</c:v>
                </c:pt>
                <c:pt idx="38">
                  <c:v>7.5296843324648144</c:v>
                </c:pt>
                <c:pt idx="39">
                  <c:v>6.0700169395815573</c:v>
                </c:pt>
                <c:pt idx="40">
                  <c:v>4.1954181617438469</c:v>
                </c:pt>
                <c:pt idx="41">
                  <c:v>4.4565217391298928</c:v>
                </c:pt>
                <c:pt idx="42">
                  <c:v>4.6054403447347125</c:v>
                </c:pt>
                <c:pt idx="43">
                  <c:v>3.8860793186055398</c:v>
                </c:pt>
                <c:pt idx="44">
                  <c:v>4.3708609271523313</c:v>
                </c:pt>
                <c:pt idx="45">
                  <c:v>3.4339229968782359</c:v>
                </c:pt>
                <c:pt idx="46">
                  <c:v>3.7332646755918963</c:v>
                </c:pt>
                <c:pt idx="47">
                  <c:v>4.5605944145526545</c:v>
                </c:pt>
                <c:pt idx="48">
                  <c:v>4.0609137055842792</c:v>
                </c:pt>
                <c:pt idx="49">
                  <c:v>4.2002012072437367</c:v>
                </c:pt>
                <c:pt idx="50">
                  <c:v>4.2194092827006591</c:v>
                </c:pt>
                <c:pt idx="51">
                  <c:v>4.9742710120071365</c:v>
                </c:pt>
                <c:pt idx="52">
                  <c:v>4.9756097560975654</c:v>
                </c:pt>
                <c:pt idx="53">
                  <c:v>5.2377504223990012</c:v>
                </c:pt>
                <c:pt idx="54">
                  <c:v>6.3586568230530771</c:v>
                </c:pt>
                <c:pt idx="55">
                  <c:v>6.489262371615534</c:v>
                </c:pt>
                <c:pt idx="56">
                  <c:v>7.9228624535311098</c:v>
                </c:pt>
                <c:pt idx="57">
                  <c:v>9.4036697247708911</c:v>
                </c:pt>
                <c:pt idx="58">
                  <c:v>10.971786833855557</c:v>
                </c:pt>
                <c:pt idx="59">
                  <c:v>13.217886891714127</c:v>
                </c:pt>
                <c:pt idx="60">
                  <c:v>11.603875134553521</c:v>
                </c:pt>
                <c:pt idx="61">
                  <c:v>8.377192982456183</c:v>
                </c:pt>
                <c:pt idx="62">
                  <c:v>7.7711357813833315</c:v>
                </c:pt>
                <c:pt idx="63">
                  <c:v>6.4182194616977606</c:v>
                </c:pt>
                <c:pt idx="64">
                  <c:v>6.0805258833197318</c:v>
                </c:pt>
                <c:pt idx="65">
                  <c:v>5.6657223796034328</c:v>
                </c:pt>
                <c:pt idx="66">
                  <c:v>4.5166402535657735</c:v>
                </c:pt>
                <c:pt idx="67">
                  <c:v>3.463035019455174</c:v>
                </c:pt>
                <c:pt idx="68">
                  <c:v>3.4469403563129664</c:v>
                </c:pt>
                <c:pt idx="69">
                  <c:v>3.8299502106472261</c:v>
                </c:pt>
                <c:pt idx="70">
                  <c:v>4.624715693707393</c:v>
                </c:pt>
                <c:pt idx="71">
                  <c:v>5.4531778864234326</c:v>
                </c:pt>
                <c:pt idx="72">
                  <c:v>6.0651441407711282</c:v>
                </c:pt>
                <c:pt idx="73">
                  <c:v>6.1232017705643349</c:v>
                </c:pt>
                <c:pt idx="74">
                  <c:v>5.7608695652173969</c:v>
                </c:pt>
                <c:pt idx="75">
                  <c:v>5.0998573466476849</c:v>
                </c:pt>
                <c:pt idx="76">
                  <c:v>5.6477232615602668</c:v>
                </c:pt>
                <c:pt idx="77">
                  <c:v>5.7003823427184575</c:v>
                </c:pt>
                <c:pt idx="78">
                  <c:v>5.6526207605344325</c:v>
                </c:pt>
                <c:pt idx="79">
                  <c:v>6.2436375975572167</c:v>
                </c:pt>
                <c:pt idx="80">
                  <c:v>5.4126294687607546</c:v>
                </c:pt>
                <c:pt idx="81">
                  <c:v>5.9191055573824203</c:v>
                </c:pt>
                <c:pt idx="82">
                  <c:v>6.4526588845651656</c:v>
                </c:pt>
                <c:pt idx="83">
                  <c:v>6.228042159054592</c:v>
                </c:pt>
                <c:pt idx="84">
                  <c:v>5.7369255150551357</c:v>
                </c:pt>
              </c:numCache>
            </c:numRef>
          </c:val>
          <c:smooth val="0"/>
          <c:extLst>
            <c:ext xmlns:c16="http://schemas.microsoft.com/office/drawing/2014/chart" uri="{C3380CC4-5D6E-409C-BE32-E72D297353CC}">
              <c16:uniqueId val="{00000000-604A-4B2F-BBF6-0775DA2EE4DE}"/>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 Points Spread '!$D$9</c:f>
              <c:strCache>
                <c:ptCount val="1"/>
                <c:pt idx="0">
                  <c:v>Bond Points Spread</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'Bond Points Spread '!$E$8:$Z$8</c15:sqref>
                  </c15:fullRef>
                </c:ext>
              </c:extLst>
              <c:f>'Bond Points Spread '!$M$8:$Z$8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'Bond Points Spread '!$E$9:$Z$9</c15:sqref>
                  </c15:fullRef>
                </c:ext>
              </c:extLst>
              <c:f>'Bond Points Spread '!$M$9:$Z$9</c:f>
              <c:numCache>
                <c:formatCode>General</c:formatCode>
                <c:ptCount val="14"/>
                <c:pt idx="0">
                  <c:v>90</c:v>
                </c:pt>
                <c:pt idx="1">
                  <c:v>100</c:v>
                </c:pt>
                <c:pt idx="2">
                  <c:v>328</c:v>
                </c:pt>
                <c:pt idx="3">
                  <c:v>299</c:v>
                </c:pt>
                <c:pt idx="4">
                  <c:v>167</c:v>
                </c:pt>
                <c:pt idx="5">
                  <c:v>195</c:v>
                </c:pt>
                <c:pt idx="6">
                  <c:v>206</c:v>
                </c:pt>
                <c:pt idx="7">
                  <c:v>234</c:v>
                </c:pt>
                <c:pt idx="8">
                  <c:v>231</c:v>
                </c:pt>
                <c:pt idx="9">
                  <c:v>296</c:v>
                </c:pt>
                <c:pt idx="10">
                  <c:v>343</c:v>
                </c:pt>
                <c:pt idx="11">
                  <c:v>267</c:v>
                </c:pt>
                <c:pt idx="12">
                  <c:v>288</c:v>
                </c:pt>
                <c:pt idx="13">
                  <c:v>313</c:v>
                </c:pt>
              </c:numCache>
            </c:numRef>
          </c:val>
          <c:smooth val="0"/>
          <c:extLst>
            <c:ext xmlns:c16="http://schemas.microsoft.com/office/drawing/2014/chart" uri="{C3380CC4-5D6E-409C-BE32-E72D297353CC}">
              <c16:uniqueId val="{00000000-9F88-4A8B-A1CF-5A540006572D}"/>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of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43672538207924E-2"/>
          <c:y val="0.10027034333603678"/>
          <c:w val="0.92025529761777058"/>
          <c:h val="0.83701468581634109"/>
        </c:manualLayout>
      </c:layout>
      <c:lineChart>
        <c:grouping val="standard"/>
        <c:varyColors val="0"/>
        <c:ser>
          <c:idx val="0"/>
          <c:order val="0"/>
          <c:tx>
            <c:strRef>
              <c:f>'R&amp;D  '!$E$60</c:f>
              <c:strCache>
                <c:ptCount val="1"/>
                <c:pt idx="0">
                  <c:v>% of GDP</c:v>
                </c:pt>
              </c:strCache>
            </c:strRef>
          </c:tx>
          <c:spPr>
            <a:ln w="28575" cap="rnd">
              <a:solidFill>
                <a:schemeClr val="accent2">
                  <a:lumMod val="75000"/>
                </a:schemeClr>
              </a:solidFill>
              <a:round/>
            </a:ln>
            <a:effectLst/>
          </c:spPr>
          <c:marker>
            <c:symbol val="none"/>
          </c:marker>
          <c:cat>
            <c:strRef>
              <c:extLst>
                <c:ext xmlns:c15="http://schemas.microsoft.com/office/drawing/2012/chart" uri="{02D57815-91ED-43cb-92C2-25804820EDAC}">
                  <c15:fullRef>
                    <c15:sqref>'R&amp;D  '!$F$59:$Z$59</c15:sqref>
                  </c15:fullRef>
                </c:ext>
              </c:extLst>
              <c:f>'R&amp;D  '!$O$59:$Z$59</c:f>
              <c:strCache>
                <c:ptCount val="12"/>
                <c:pt idx="0">
                  <c:v>2008/09</c:v>
                </c:pt>
                <c:pt idx="1">
                  <c:v>2009/10</c:v>
                </c:pt>
                <c:pt idx="2">
                  <c:v>2010/11</c:v>
                </c:pt>
                <c:pt idx="3">
                  <c:v>2011/12</c:v>
                </c:pt>
                <c:pt idx="4">
                  <c:v>2012/13</c:v>
                </c:pt>
                <c:pt idx="5">
                  <c:v>2013/14</c:v>
                </c:pt>
                <c:pt idx="6">
                  <c:v>2014/15</c:v>
                </c:pt>
                <c:pt idx="7">
                  <c:v>2015/16</c:v>
                </c:pt>
                <c:pt idx="8">
                  <c:v>2016/17</c:v>
                </c:pt>
                <c:pt idx="9">
                  <c:v>2017/18</c:v>
                </c:pt>
                <c:pt idx="10">
                  <c:v>2017/18</c:v>
                </c:pt>
                <c:pt idx="11">
                  <c:v>2018/19</c:v>
                </c:pt>
              </c:strCache>
            </c:strRef>
          </c:cat>
          <c:val>
            <c:numRef>
              <c:extLst>
                <c:ext xmlns:c15="http://schemas.microsoft.com/office/drawing/2012/chart" uri="{02D57815-91ED-43cb-92C2-25804820EDAC}">
                  <c15:fullRef>
                    <c15:sqref>'R&amp;D  '!$F$60:$Z$60</c15:sqref>
                  </c15:fullRef>
                </c:ext>
              </c:extLst>
              <c:f>'R&amp;D  '!$O$60:$Z$60</c:f>
              <c:numCache>
                <c:formatCode>General</c:formatCode>
                <c:ptCount val="12"/>
                <c:pt idx="0">
                  <c:v>0.89</c:v>
                </c:pt>
                <c:pt idx="1">
                  <c:v>0.84</c:v>
                </c:pt>
                <c:pt idx="2">
                  <c:v>0.74</c:v>
                </c:pt>
                <c:pt idx="3">
                  <c:v>0.73</c:v>
                </c:pt>
                <c:pt idx="4">
                  <c:v>0.73</c:v>
                </c:pt>
                <c:pt idx="5">
                  <c:v>0.72</c:v>
                </c:pt>
                <c:pt idx="6">
                  <c:v>0.77</c:v>
                </c:pt>
                <c:pt idx="7" formatCode="0.00">
                  <c:v>0.8</c:v>
                </c:pt>
                <c:pt idx="8" formatCode="0.00">
                  <c:v>0.82</c:v>
                </c:pt>
                <c:pt idx="9" formatCode="0.00">
                  <c:v>0.83</c:v>
                </c:pt>
                <c:pt idx="10" formatCode="0.00">
                  <c:v>0.83</c:v>
                </c:pt>
                <c:pt idx="11" formatCode="#,##0.00">
                  <c:v>0.75</c:v>
                </c:pt>
              </c:numCache>
            </c:numRef>
          </c:val>
          <c:smooth val="0"/>
          <c:extLst>
            <c:ext xmlns:c16="http://schemas.microsoft.com/office/drawing/2014/chart" uri="{C3380CC4-5D6E-409C-BE32-E72D297353CC}">
              <c16:uniqueId val="{00000000-2C83-4BB9-93B4-A01E949936E7}"/>
            </c:ext>
          </c:extLst>
        </c:ser>
        <c:dLbls>
          <c:showLegendKey val="0"/>
          <c:showVal val="0"/>
          <c:showCatName val="0"/>
          <c:showSerName val="0"/>
          <c:showPercent val="0"/>
          <c:showBubbleSize val="0"/>
        </c:dLbls>
        <c:smooth val="0"/>
        <c:axId val="1007017136"/>
        <c:axId val="1007020880"/>
      </c:lineChart>
      <c:catAx>
        <c:axId val="1007017136"/>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07020880"/>
        <c:crosses val="autoZero"/>
        <c:auto val="1"/>
        <c:lblAlgn val="ctr"/>
        <c:lblOffset val="100"/>
        <c:noMultiLvlLbl val="0"/>
      </c:catAx>
      <c:valAx>
        <c:axId val="1007020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sz="1050" b="1"/>
                  <a:t>%</a:t>
                </a:r>
              </a:p>
            </c:rich>
          </c:tx>
          <c:layout>
            <c:manualLayout>
              <c:xMode val="edge"/>
              <c:yMode val="edge"/>
              <c:x val="1.2255859025796163E-2"/>
              <c:y val="0.453942732829537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07017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GDP!$D$59:$CI$60</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GDP!$D$61:$CI$61</c:f>
              <c:numCache>
                <c:formatCode>0.0</c:formatCode>
                <c:ptCount val="84"/>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6">
                  <c:v>4.0207206604008006</c:v>
                </c:pt>
                <c:pt idx="27">
                  <c:v>3.446709698974848</c:v>
                </c:pt>
                <c:pt idx="28">
                  <c:v>2.6230856866677144</c:v>
                </c:pt>
                <c:pt idx="29">
                  <c:v>2.0146632087566063</c:v>
                </c:pt>
                <c:pt idx="30">
                  <c:v>1.0666361289954462</c:v>
                </c:pt>
                <c:pt idx="31">
                  <c:v>3.1110855135721316</c:v>
                </c:pt>
                <c:pt idx="32">
                  <c:v>5.2924284098060603</c:v>
                </c:pt>
                <c:pt idx="33">
                  <c:v>4.9325000418816378</c:v>
                </c:pt>
                <c:pt idx="34">
                  <c:v>3.3216503268672648</c:v>
                </c:pt>
                <c:pt idx="35">
                  <c:v>2.6991500495235021</c:v>
                </c:pt>
                <c:pt idx="36">
                  <c:v>3.7531764032818993</c:v>
                </c:pt>
                <c:pt idx="37">
                  <c:v>1.9677572605739213</c:v>
                </c:pt>
                <c:pt idx="38">
                  <c:v>2.188320445632419</c:v>
                </c:pt>
                <c:pt idx="39">
                  <c:v>2.327483203645353</c:v>
                </c:pt>
                <c:pt idx="40">
                  <c:v>6.1944683527078492</c:v>
                </c:pt>
                <c:pt idx="41">
                  <c:v>5.7078837294311624</c:v>
                </c:pt>
                <c:pt idx="42">
                  <c:v>6.7026886167146138</c:v>
                </c:pt>
                <c:pt idx="43">
                  <c:v>4.3404056280374359</c:v>
                </c:pt>
                <c:pt idx="44">
                  <c:v>4.1289585309853605</c:v>
                </c:pt>
                <c:pt idx="45">
                  <c:v>7.3737951776069011</c:v>
                </c:pt>
                <c:pt idx="46">
                  <c:v>5.5671463307113367</c:v>
                </c:pt>
                <c:pt idx="47">
                  <c:v>2.7053484122573801</c:v>
                </c:pt>
                <c:pt idx="48">
                  <c:v>7.2147199226530567</c:v>
                </c:pt>
                <c:pt idx="49">
                  <c:v>5.8033950109959154</c:v>
                </c:pt>
                <c:pt idx="50">
                  <c:v>5.6400423927502885</c:v>
                </c:pt>
                <c:pt idx="51">
                  <c:v>5.646861823647753</c:v>
                </c:pt>
                <c:pt idx="52">
                  <c:v>6.6550968043899372</c:v>
                </c:pt>
                <c:pt idx="53">
                  <c:v>3.3185540413170012</c:v>
                </c:pt>
                <c:pt idx="54">
                  <c:v>4.770772853431815</c:v>
                </c:pt>
                <c:pt idx="55">
                  <c:v>5.7889758122643853</c:v>
                </c:pt>
                <c:pt idx="56">
                  <c:v>1.6914714233666972</c:v>
                </c:pt>
                <c:pt idx="57">
                  <c:v>4.9736319432639009</c:v>
                </c:pt>
                <c:pt idx="58">
                  <c:v>0.95933734197808374</c:v>
                </c:pt>
                <c:pt idx="59">
                  <c:v>-2.2579336248711779</c:v>
                </c:pt>
                <c:pt idx="60">
                  <c:v>-6.0782800497366622</c:v>
                </c:pt>
                <c:pt idx="61">
                  <c:v>-1.3656485490968429</c:v>
                </c:pt>
                <c:pt idx="62">
                  <c:v>0.93084880933691494</c:v>
                </c:pt>
                <c:pt idx="63">
                  <c:v>2.6938677703393088</c:v>
                </c:pt>
                <c:pt idx="64">
                  <c:v>4.800123095448483</c:v>
                </c:pt>
                <c:pt idx="65">
                  <c:v>2.4730446755976132</c:v>
                </c:pt>
                <c:pt idx="66">
                  <c:v>4.5599305427149961</c:v>
                </c:pt>
                <c:pt idx="67">
                  <c:v>4.470945145674321</c:v>
                </c:pt>
                <c:pt idx="68">
                  <c:v>3.732716238755307</c:v>
                </c:pt>
                <c:pt idx="69">
                  <c:v>2.1349992664698503</c:v>
                </c:pt>
                <c:pt idx="70">
                  <c:v>1.0514533241010593</c:v>
                </c:pt>
                <c:pt idx="71">
                  <c:v>3.1354710753329629</c:v>
                </c:pt>
                <c:pt idx="72">
                  <c:v>1.6642899696322599</c:v>
                </c:pt>
                <c:pt idx="73">
                  <c:v>3.6993530234988192</c:v>
                </c:pt>
                <c:pt idx="74">
                  <c:v>1.200714604255726</c:v>
                </c:pt>
                <c:pt idx="75">
                  <c:v>1.7879127297799391</c:v>
                </c:pt>
                <c:pt idx="76">
                  <c:v>1.5</c:v>
                </c:pt>
                <c:pt idx="77">
                  <c:v>4</c:v>
                </c:pt>
                <c:pt idx="78">
                  <c:v>1.6</c:v>
                </c:pt>
                <c:pt idx="79">
                  <c:v>4.9000000000000004</c:v>
                </c:pt>
                <c:pt idx="80">
                  <c:v>-1.5555437996301436</c:v>
                </c:pt>
                <c:pt idx="81">
                  <c:v>0.8</c:v>
                </c:pt>
                <c:pt idx="82">
                  <c:v>2.2000000000000002</c:v>
                </c:pt>
                <c:pt idx="83">
                  <c:v>4.0999999999999996</c:v>
                </c:pt>
              </c:numCache>
            </c:numRef>
          </c:val>
          <c:smooth val="0"/>
          <c:extLst>
            <c:ext xmlns:c16="http://schemas.microsoft.com/office/drawing/2014/chart" uri="{C3380CC4-5D6E-409C-BE32-E72D297353CC}">
              <c16:uniqueId val="{00000000-4C18-4812-AEE1-8223BF67C4E6}"/>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'!$C$59</c:f>
              <c:strCache>
                <c:ptCount val="1"/>
                <c:pt idx="0">
                  <c:v>Fixed broadband Internet subscribers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'!$D$58:$W$58</c15:sqref>
                  </c15:fullRef>
                </c:ext>
              </c:extLst>
              <c:f>'ICT  '!$P$58:$W$58</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'!$D$59:$W$59</c15:sqref>
                  </c15:fullRef>
                </c:ext>
              </c:extLst>
              <c:f>'ICT  '!$P$59:$W$59</c:f>
              <c:numCache>
                <c:formatCode>General</c:formatCode>
                <c:ptCount val="8"/>
                <c:pt idx="0" formatCode="0.0">
                  <c:v>2.0891270428306701</c:v>
                </c:pt>
                <c:pt idx="1" formatCode="0.0">
                  <c:v>3.0040696038171499</c:v>
                </c:pt>
                <c:pt idx="2" formatCode="0.0">
                  <c:v>3.1285779640620901</c:v>
                </c:pt>
                <c:pt idx="3" formatCode="0.0">
                  <c:v>2.5489523880145502</c:v>
                </c:pt>
                <c:pt idx="4" formatCode="0.0">
                  <c:v>2</c:v>
                </c:pt>
                <c:pt idx="5" formatCode="0.0">
                  <c:v>1.9701698074273499</c:v>
                </c:pt>
                <c:pt idx="6" formatCode="0.0">
                  <c:v>1.9</c:v>
                </c:pt>
                <c:pt idx="7" formatCode="0.0">
                  <c:v>2.1</c:v>
                </c:pt>
              </c:numCache>
            </c:numRef>
          </c:val>
          <c:smooth val="0"/>
          <c:extLst>
            <c:ext xmlns:c16="http://schemas.microsoft.com/office/drawing/2014/chart" uri="{C3380CC4-5D6E-409C-BE32-E72D297353CC}">
              <c16:uniqueId val="{00000000-C933-432D-9945-B1682971F6A5}"/>
            </c:ext>
          </c:extLst>
        </c:ser>
        <c:dLbls>
          <c:showLegendKey val="0"/>
          <c:showVal val="0"/>
          <c:showCatName val="0"/>
          <c:showSerName val="0"/>
          <c:showPercent val="0"/>
          <c:showBubbleSize val="0"/>
        </c:dLbls>
        <c:smooth val="0"/>
        <c:axId val="1109215375"/>
        <c:axId val="1021661999"/>
      </c:lineChart>
      <c:catAx>
        <c:axId val="110921537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61999"/>
        <c:crosses val="autoZero"/>
        <c:auto val="1"/>
        <c:lblAlgn val="ctr"/>
        <c:lblOffset val="100"/>
        <c:noMultiLvlLbl val="0"/>
      </c:catAx>
      <c:valAx>
        <c:axId val="1021661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215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'!$C$62</c:f>
              <c:strCache>
                <c:ptCount val="1"/>
                <c:pt idx="0">
                  <c:v>Mobile cellular subscriptions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'!$D$61:$W$61</c15:sqref>
                  </c15:fullRef>
                </c:ext>
              </c:extLst>
              <c:f>'ICT  '!$P$61:$W$61</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'!$D$62:$W$62</c15:sqref>
                  </c15:fullRef>
                </c:ext>
              </c:extLst>
              <c:f>'ICT  '!$P$62:$W$62</c:f>
              <c:numCache>
                <c:formatCode>0.0</c:formatCode>
                <c:ptCount val="8"/>
                <c:pt idx="0">
                  <c:v>129.5</c:v>
                </c:pt>
                <c:pt idx="1">
                  <c:v>143.19999999999999</c:v>
                </c:pt>
                <c:pt idx="2">
                  <c:v>145.36368648737599</c:v>
                </c:pt>
                <c:pt idx="3">
                  <c:v>158.9</c:v>
                </c:pt>
                <c:pt idx="4">
                  <c:v>146.6</c:v>
                </c:pt>
                <c:pt idx="5">
                  <c:v>155.23239566224399</c:v>
                </c:pt>
                <c:pt idx="6">
                  <c:v>159.9</c:v>
                </c:pt>
                <c:pt idx="7">
                  <c:v>165.6</c:v>
                </c:pt>
              </c:numCache>
            </c:numRef>
          </c:val>
          <c:smooth val="0"/>
          <c:extLst>
            <c:ext xmlns:c16="http://schemas.microsoft.com/office/drawing/2014/chart" uri="{C3380CC4-5D6E-409C-BE32-E72D297353CC}">
              <c16:uniqueId val="{00000000-2555-4F6D-9833-59B58F8EABF8}"/>
            </c:ext>
          </c:extLst>
        </c:ser>
        <c:dLbls>
          <c:showLegendKey val="0"/>
          <c:showVal val="0"/>
          <c:showCatName val="0"/>
          <c:showSerName val="0"/>
          <c:showPercent val="0"/>
          <c:showBubbleSize val="0"/>
        </c:dLbls>
        <c:smooth val="0"/>
        <c:axId val="1117249407"/>
        <c:axId val="1021659919"/>
      </c:lineChart>
      <c:catAx>
        <c:axId val="111724940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59919"/>
        <c:crosses val="autoZero"/>
        <c:auto val="1"/>
        <c:lblAlgn val="ctr"/>
        <c:lblOffset val="100"/>
        <c:noMultiLvlLbl val="0"/>
      </c:catAx>
      <c:valAx>
        <c:axId val="1021659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249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  '!$D$11</c:f>
              <c:strCache>
                <c:ptCount val="1"/>
                <c:pt idx="0">
                  <c:v>Certificates</c:v>
                </c:pt>
              </c:strCache>
            </c:strRef>
          </c:tx>
          <c:spPr>
            <a:ln w="22225">
              <a:solidFill>
                <a:srgbClr val="FF6600"/>
              </a:solidFill>
            </a:ln>
          </c:spPr>
          <c:marker>
            <c:symbol val="none"/>
          </c:marker>
          <c:cat>
            <c:strRef>
              <c:f>'Patents  '!$E$9:$N$9</c:f>
              <c:strCache>
                <c:ptCount val="10"/>
                <c:pt idx="0">
                  <c:v>2003</c:v>
                </c:pt>
                <c:pt idx="1">
                  <c:v>2004</c:v>
                </c:pt>
                <c:pt idx="2">
                  <c:v>2005</c:v>
                </c:pt>
                <c:pt idx="3">
                  <c:v>2006</c:v>
                </c:pt>
                <c:pt idx="4">
                  <c:v>2007</c:v>
                </c:pt>
                <c:pt idx="5">
                  <c:v>2008/09</c:v>
                </c:pt>
                <c:pt idx="6">
                  <c:v>2009/10</c:v>
                </c:pt>
                <c:pt idx="7">
                  <c:v>2010/11</c:v>
                </c:pt>
                <c:pt idx="8">
                  <c:v>2011/12</c:v>
                </c:pt>
                <c:pt idx="9">
                  <c:v>2012/13</c:v>
                </c:pt>
              </c:strCache>
            </c:strRef>
          </c:cat>
          <c:val>
            <c:numRef>
              <c:f>'Patents  '!$E$11:$N$11</c:f>
              <c:numCache>
                <c:formatCode>###\ ###\ ###\ ###\ ###</c:formatCode>
                <c:ptCount val="10"/>
                <c:pt idx="0">
                  <c:v>5806</c:v>
                </c:pt>
                <c:pt idx="1">
                  <c:v>6709</c:v>
                </c:pt>
                <c:pt idx="2">
                  <c:v>5432</c:v>
                </c:pt>
                <c:pt idx="3">
                  <c:v>6513</c:v>
                </c:pt>
                <c:pt idx="4">
                  <c:v>7285</c:v>
                </c:pt>
                <c:pt idx="5">
                  <c:v>7740</c:v>
                </c:pt>
                <c:pt idx="6">
                  <c:v>10042</c:v>
                </c:pt>
              </c:numCache>
            </c:numRef>
          </c:val>
          <c:smooth val="0"/>
          <c:extLst>
            <c:ext xmlns:c16="http://schemas.microsoft.com/office/drawing/2014/chart" uri="{C3380CC4-5D6E-409C-BE32-E72D297353CC}">
              <c16:uniqueId val="{00000000-BE35-4D33-973B-F485EC7478F7}"/>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0"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(1997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  '!$E$35</c:f>
              <c:strCache>
                <c:ptCount val="1"/>
                <c:pt idx="0">
                  <c:v>Share</c:v>
                </c:pt>
              </c:strCache>
            </c:strRef>
          </c:tx>
          <c:dPt>
            <c:idx val="0"/>
            <c:bubble3D val="0"/>
            <c:extLst>
              <c:ext xmlns:c16="http://schemas.microsoft.com/office/drawing/2014/chart" uri="{C3380CC4-5D6E-409C-BE32-E72D297353CC}">
                <c16:uniqueId val="{00000000-8D79-4693-AA45-6D590C67B51C}"/>
              </c:ext>
            </c:extLst>
          </c:dPt>
          <c:dPt>
            <c:idx val="1"/>
            <c:bubble3D val="0"/>
            <c:extLst>
              <c:ext xmlns:c16="http://schemas.microsoft.com/office/drawing/2014/chart" uri="{C3380CC4-5D6E-409C-BE32-E72D297353CC}">
                <c16:uniqueId val="{00000001-8D79-4693-AA45-6D590C67B51C}"/>
              </c:ext>
            </c:extLst>
          </c:dPt>
          <c:dPt>
            <c:idx val="2"/>
            <c:bubble3D val="0"/>
            <c:extLst>
              <c:ext xmlns:c16="http://schemas.microsoft.com/office/drawing/2014/chart" uri="{C3380CC4-5D6E-409C-BE32-E72D297353CC}">
                <c16:uniqueId val="{00000002-8D79-4693-AA45-6D590C67B51C}"/>
              </c:ext>
            </c:extLst>
          </c:dPt>
          <c:dPt>
            <c:idx val="3"/>
            <c:bubble3D val="0"/>
            <c:extLst>
              <c:ext xmlns:c16="http://schemas.microsoft.com/office/drawing/2014/chart" uri="{C3380CC4-5D6E-409C-BE32-E72D297353CC}">
                <c16:uniqueId val="{00000003-8D79-4693-AA45-6D590C67B51C}"/>
              </c:ext>
            </c:extLst>
          </c:dPt>
          <c:dPt>
            <c:idx val="4"/>
            <c:bubble3D val="0"/>
            <c:extLst>
              <c:ext xmlns:c16="http://schemas.microsoft.com/office/drawing/2014/chart" uri="{C3380CC4-5D6E-409C-BE32-E72D297353CC}">
                <c16:uniqueId val="{00000004-8D79-4693-AA45-6D590C67B51C}"/>
              </c:ext>
            </c:extLst>
          </c:dPt>
          <c:dPt>
            <c:idx val="5"/>
            <c:bubble3D val="0"/>
            <c:extLst>
              <c:ext xmlns:c16="http://schemas.microsoft.com/office/drawing/2014/chart" uri="{C3380CC4-5D6E-409C-BE32-E72D297353CC}">
                <c16:uniqueId val="{00000005-8D79-4693-AA45-6D590C67B51C}"/>
              </c:ext>
            </c:extLst>
          </c:dPt>
          <c:dPt>
            <c:idx val="6"/>
            <c:bubble3D val="0"/>
            <c:extLst>
              <c:ext xmlns:c16="http://schemas.microsoft.com/office/drawing/2014/chart" uri="{C3380CC4-5D6E-409C-BE32-E72D297353CC}">
                <c16:uniqueId val="{00000006-8D79-4693-AA45-6D590C67B51C}"/>
              </c:ext>
            </c:extLst>
          </c:dPt>
          <c:dPt>
            <c:idx val="7"/>
            <c:bubble3D val="0"/>
            <c:extLst>
              <c:ext xmlns:c16="http://schemas.microsoft.com/office/drawing/2014/chart" uri="{C3380CC4-5D6E-409C-BE32-E72D297353CC}">
                <c16:uniqueId val="{00000007-8D79-4693-AA45-6D590C67B51C}"/>
              </c:ext>
            </c:extLst>
          </c:dPt>
          <c:dPt>
            <c:idx val="8"/>
            <c:bubble3D val="0"/>
            <c:extLst>
              <c:ext xmlns:c16="http://schemas.microsoft.com/office/drawing/2014/chart" uri="{C3380CC4-5D6E-409C-BE32-E72D297353CC}">
                <c16:uniqueId val="{00000008-8D79-4693-AA45-6D590C67B51C}"/>
              </c:ext>
            </c:extLst>
          </c:dPt>
          <c:dPt>
            <c:idx val="9"/>
            <c:bubble3D val="0"/>
            <c:extLst>
              <c:ext xmlns:c16="http://schemas.microsoft.com/office/drawing/2014/chart" uri="{C3380CC4-5D6E-409C-BE32-E72D297353CC}">
                <c16:uniqueId val="{00000009-8D79-4693-AA45-6D590C67B51C}"/>
              </c:ext>
            </c:extLst>
          </c:dPt>
          <c:dPt>
            <c:idx val="10"/>
            <c:bubble3D val="0"/>
            <c:extLst>
              <c:ext xmlns:c16="http://schemas.microsoft.com/office/drawing/2014/chart" uri="{C3380CC4-5D6E-409C-BE32-E72D297353CC}">
                <c16:uniqueId val="{0000000A-8D79-4693-AA45-6D590C67B51C}"/>
              </c:ext>
            </c:extLst>
          </c:dPt>
          <c:cat>
            <c:strRef>
              <c:f>'Patents  '!$D$36:$D$46</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  '!$E$36:$E$46</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8D79-4693-AA45-6D590C67B51C}"/>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Trade'!$A$53</c:f>
              <c:strCache>
                <c:ptCount val="1"/>
                <c:pt idx="0">
                  <c:v>Exports (constant 2000 prices) R'billions</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A975-4914-8611-1EA52766CE57}"/>
            </c:ext>
          </c:extLst>
        </c:ser>
        <c:ser>
          <c:idx val="2"/>
          <c:order val="2"/>
          <c:tx>
            <c:strRef>
              <c:f>'[2]Foreign Trade'!$A$55</c:f>
              <c:strCache>
                <c:ptCount val="1"/>
                <c:pt idx="0">
                  <c:v>Volume of Trade (2000=base)</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A975-4914-8611-1EA52766CE57}"/>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'[2]Foreign Trade'!$A$54</c:f>
              <c:strCache>
                <c:ptCount val="1"/>
                <c:pt idx="0">
                  <c:v>Ratio of exports to GDP </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A975-4914-8611-1EA52766CE57}"/>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Trade'!$B$74</c:f>
              <c:strCache>
                <c:ptCount val="1"/>
                <c:pt idx="0">
                  <c:v>Ratio of exports to GDP (%)</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E16B-4482-A0C6-466655616207}"/>
            </c:ext>
          </c:extLst>
        </c:ser>
        <c:ser>
          <c:idx val="1"/>
          <c:order val="1"/>
          <c:tx>
            <c:strRef>
              <c:f>'[2]Foreign Trade'!$B$75</c:f>
              <c:strCache>
                <c:ptCount val="1"/>
                <c:pt idx="0">
                  <c:v>Trade balance to GDP ratio</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E16B-4482-A0C6-466655616207}"/>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'[2]Foreign Trade'!$B$76</c:f>
              <c:strCache>
                <c:ptCount val="1"/>
                <c:pt idx="0">
                  <c:v>ZAR/US$</c:v>
                </c:pt>
              </c:strCache>
            </c:strRef>
          </c:tx>
          <c:val>
            <c:numRef>
              <c:f>'[2]Foreign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E16B-4482-A0C6-466655616207}"/>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'Balance of Payments'!$D$124</c:f>
              <c:strCache>
                <c:ptCount val="1"/>
                <c:pt idx="0">
                  <c:v>Merchandise Imports (% of GDP) </c:v>
                </c:pt>
              </c:strCache>
            </c:strRef>
          </c:tx>
          <c:marker>
            <c:symbol val="none"/>
          </c:marker>
          <c:cat>
            <c:multiLvlStrRef>
              <c:f>'Balance of Payments'!$V$122:$DD$123</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Payments'!$V$124:$DD$124</c:f>
              <c:numCache>
                <c:formatCode>0.0</c:formatCode>
                <c:ptCount val="87"/>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861A-496A-84AC-054082559D95}"/>
            </c:ext>
          </c:extLst>
        </c:ser>
        <c:ser>
          <c:idx val="1"/>
          <c:order val="1"/>
          <c:tx>
            <c:strRef>
              <c:f>'Balance of Payments'!$D$125</c:f>
              <c:strCache>
                <c:ptCount val="1"/>
                <c:pt idx="0">
                  <c:v>Merchandise Exports (% of GDP) </c:v>
                </c:pt>
              </c:strCache>
            </c:strRef>
          </c:tx>
          <c:marker>
            <c:symbol val="none"/>
          </c:marker>
          <c:cat>
            <c:multiLvlStrRef>
              <c:f>'Balance of Payments'!$V$122:$DD$123</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Payments'!$V$125:$DD$125</c:f>
              <c:numCache>
                <c:formatCode>0.0</c:formatCode>
                <c:ptCount val="87"/>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861A-496A-84AC-054082559D95}"/>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'Balance of Payments'!$D$126</c:f>
              <c:strCache>
                <c:ptCount val="1"/>
                <c:pt idx="0">
                  <c:v>Balance on current account  (% GDP)</c:v>
                </c:pt>
              </c:strCache>
            </c:strRef>
          </c:tx>
          <c:marker>
            <c:symbol val="none"/>
          </c:marker>
          <c:cat>
            <c:multiLvlStrRef>
              <c:f>'Balance of Payments'!$V$122:$DD$123</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Payments'!$V$126:$DD$126</c:f>
              <c:numCache>
                <c:formatCode>0.0</c:formatCode>
                <c:ptCount val="87"/>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861A-496A-84AC-054082559D95}"/>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BALANCE</a:t>
            </a:r>
            <a:r>
              <a:rPr lang="en-US" sz="1000" baseline="0">
                <a:latin typeface="Arial" panose="020B0604020202020204" pitchFamily="34" charset="0"/>
                <a:cs typeface="Arial" panose="020B0604020202020204" pitchFamily="34" charset="0"/>
              </a:rPr>
              <a:t> ON CURRENT ACCOUNT</a:t>
            </a:r>
            <a:r>
              <a:rPr lang="en-US" sz="1000">
                <a:latin typeface="Arial" panose="020B0604020202020204" pitchFamily="34" charset="0"/>
                <a:cs typeface="Arial" panose="020B0604020202020204" pitchFamily="34" charset="0"/>
              </a:rPr>
              <a:t> </a:t>
            </a:r>
          </a:p>
        </c:rich>
      </c:tx>
      <c:layout>
        <c:manualLayout>
          <c:xMode val="edge"/>
          <c:yMode val="edge"/>
          <c:x val="1.9444860314547868E-2"/>
          <c:y val="1.4619883040935672E-2"/>
        </c:manualLayout>
      </c:layout>
      <c:overlay val="0"/>
    </c:title>
    <c:autoTitleDeleted val="0"/>
    <c:plotArea>
      <c:layout>
        <c:manualLayout>
          <c:layoutTarget val="inner"/>
          <c:xMode val="edge"/>
          <c:yMode val="edge"/>
          <c:x val="5.5608813112897809E-2"/>
          <c:y val="0.11345029239766082"/>
          <c:w val="0.89338147283172253"/>
          <c:h val="0.63483590044665472"/>
        </c:manualLayout>
      </c:layout>
      <c:lineChart>
        <c:grouping val="standard"/>
        <c:varyColors val="0"/>
        <c:ser>
          <c:idx val="0"/>
          <c:order val="0"/>
          <c:tx>
            <c:strRef>
              <c:f>'Balance of Payments'!$D$124</c:f>
              <c:strCache>
                <c:ptCount val="1"/>
                <c:pt idx="0">
                  <c:v>Merchandise Imports (% of GDP) </c:v>
                </c:pt>
              </c:strCache>
            </c:strRef>
          </c:tx>
          <c:spPr>
            <a:ln w="25400">
              <a:solidFill>
                <a:srgbClr val="FF6600"/>
              </a:solidFill>
            </a:ln>
          </c:spPr>
          <c:marker>
            <c:symbol val="none"/>
          </c:marker>
          <c:cat>
            <c:strRef>
              <c:extLst>
                <c:ext xmlns:c15="http://schemas.microsoft.com/office/drawing/2012/chart" uri="{02D57815-91ED-43cb-92C2-25804820EDAC}">
                  <c15:fullRef>
                    <c15:sqref>'Balance of Payments'!$E$7:$AD$7</c15:sqref>
                  </c15:fullRef>
                </c:ext>
              </c:extLst>
              <c:f>'Balance of Payments'!$P$7:$AD$7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extLst>
                <c:ext xmlns:c15="http://schemas.microsoft.com/office/drawing/2012/chart" uri="{02D57815-91ED-43cb-92C2-25804820EDAC}">
                  <c15:fullRef>
                    <c15:sqref>'Balance of Payments'!$E$8:$AD$8</c15:sqref>
                  </c15:fullRef>
                </c:ext>
              </c:extLst>
              <c:f>'Balance of Payments'!$P$8:$AD$8</c:f>
              <c:numCache>
                <c:formatCode>0.0</c:formatCode>
                <c:ptCount val="15"/>
                <c:pt idx="0">
                  <c:v>21.983292400079549</c:v>
                </c:pt>
                <c:pt idx="1">
                  <c:v>25.786723931716864</c:v>
                </c:pt>
                <c:pt idx="2">
                  <c:v>27.092271066820512</c:v>
                </c:pt>
                <c:pt idx="3">
                  <c:v>31.376328953683373</c:v>
                </c:pt>
                <c:pt idx="4">
                  <c:v>22.377802244866466</c:v>
                </c:pt>
                <c:pt idx="5">
                  <c:v>22.165583215187144</c:v>
                </c:pt>
                <c:pt idx="6">
                  <c:v>24.660088984902067</c:v>
                </c:pt>
                <c:pt idx="7">
                  <c:v>26.404773912511665</c:v>
                </c:pt>
                <c:pt idx="8">
                  <c:v>28.350551430136413</c:v>
                </c:pt>
                <c:pt idx="9">
                  <c:v>28.108794197642794</c:v>
                </c:pt>
                <c:pt idx="10">
                  <c:v>26.583971293992619</c:v>
                </c:pt>
                <c:pt idx="11">
                  <c:v>25.037135291293239</c:v>
                </c:pt>
                <c:pt idx="12">
                  <c:v>23.71443570636708</c:v>
                </c:pt>
                <c:pt idx="13">
                  <c:v>25.09169763263457</c:v>
                </c:pt>
                <c:pt idx="14">
                  <c:v>24.9</c:v>
                </c:pt>
              </c:numCache>
            </c:numRef>
          </c:val>
          <c:smooth val="0"/>
          <c:extLst>
            <c:ext xmlns:c16="http://schemas.microsoft.com/office/drawing/2014/chart" uri="{C3380CC4-5D6E-409C-BE32-E72D297353CC}">
              <c16:uniqueId val="{00000000-FAD0-4AFC-A6A8-DEF86F0F57CE}"/>
            </c:ext>
          </c:extLst>
        </c:ser>
        <c:ser>
          <c:idx val="1"/>
          <c:order val="1"/>
          <c:tx>
            <c:strRef>
              <c:f>'Balance of Payments'!$D$125</c:f>
              <c:strCache>
                <c:ptCount val="1"/>
                <c:pt idx="0">
                  <c:v>Merchandise Exports (% of GDP) </c:v>
                </c:pt>
              </c:strCache>
            </c:strRef>
          </c:tx>
          <c:spPr>
            <a:ln w="25400">
              <a:solidFill>
                <a:srgbClr val="BE4B48"/>
              </a:solidFill>
            </a:ln>
          </c:spPr>
          <c:marker>
            <c:symbol val="none"/>
          </c:marker>
          <c:cat>
            <c:strRef>
              <c:extLst>
                <c:ext xmlns:c15="http://schemas.microsoft.com/office/drawing/2012/chart" uri="{02D57815-91ED-43cb-92C2-25804820EDAC}">
                  <c15:fullRef>
                    <c15:sqref>'Balance of Payments'!$E$7:$AD$7</c15:sqref>
                  </c15:fullRef>
                </c:ext>
              </c:extLst>
              <c:f>'Balance of Payments'!$P$7:$AD$7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extLst>
                <c:ext xmlns:c15="http://schemas.microsoft.com/office/drawing/2012/chart" uri="{02D57815-91ED-43cb-92C2-25804820EDAC}">
                  <c15:fullRef>
                    <c15:sqref>'Balance of Payments'!$E$9:$AD$9</c15:sqref>
                  </c15:fullRef>
                </c:ext>
              </c:extLst>
              <c:f>'Balance of Payments'!$P$9:$AD$9</c:f>
              <c:numCache>
                <c:formatCode>0.0</c:formatCode>
                <c:ptCount val="15"/>
                <c:pt idx="0">
                  <c:v>21.9</c:v>
                </c:pt>
                <c:pt idx="1">
                  <c:v>24.5</c:v>
                </c:pt>
                <c:pt idx="2">
                  <c:v>26.2</c:v>
                </c:pt>
                <c:pt idx="3">
                  <c:v>30.8</c:v>
                </c:pt>
                <c:pt idx="4">
                  <c:v>23.5</c:v>
                </c:pt>
                <c:pt idx="5">
                  <c:v>24.3</c:v>
                </c:pt>
                <c:pt idx="6">
                  <c:v>26.3</c:v>
                </c:pt>
                <c:pt idx="7">
                  <c:v>25.3</c:v>
                </c:pt>
                <c:pt idx="8">
                  <c:v>26.4</c:v>
                </c:pt>
                <c:pt idx="9">
                  <c:v>26.7</c:v>
                </c:pt>
                <c:pt idx="10">
                  <c:v>25.4</c:v>
                </c:pt>
                <c:pt idx="11">
                  <c:v>25.7</c:v>
                </c:pt>
                <c:pt idx="12">
                  <c:v>25.1</c:v>
                </c:pt>
                <c:pt idx="13">
                  <c:v>25.6</c:v>
                </c:pt>
                <c:pt idx="14">
                  <c:v>25.7</c:v>
                </c:pt>
              </c:numCache>
            </c:numRef>
          </c:val>
          <c:smooth val="0"/>
          <c:extLst>
            <c:ext xmlns:c16="http://schemas.microsoft.com/office/drawing/2014/chart" uri="{C3380CC4-5D6E-409C-BE32-E72D297353CC}">
              <c16:uniqueId val="{00000001-FAD0-4AFC-A6A8-DEF86F0F57CE}"/>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'Balance of Payments'!$D$126</c:f>
              <c:strCache>
                <c:ptCount val="1"/>
                <c:pt idx="0">
                  <c:v>Balance on current account  (% GDP)</c:v>
                </c:pt>
              </c:strCache>
            </c:strRef>
          </c:tx>
          <c:spPr>
            <a:ln w="25400">
              <a:solidFill>
                <a:srgbClr val="FFC600"/>
              </a:solidFill>
            </a:ln>
          </c:spPr>
          <c:marker>
            <c:symbol val="none"/>
          </c:marker>
          <c:cat>
            <c:strRef>
              <c:extLst>
                <c:ext xmlns:c15="http://schemas.microsoft.com/office/drawing/2012/chart" uri="{02D57815-91ED-43cb-92C2-25804820EDAC}">
                  <c15:fullRef>
                    <c15:sqref>'Balance of Payments'!$E$7:$AD$7</c15:sqref>
                  </c15:fullRef>
                </c:ext>
              </c:extLst>
              <c:f>'Balance of Payments'!$P$7:$AD$7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extLst>
                <c:ext xmlns:c15="http://schemas.microsoft.com/office/drawing/2012/chart" uri="{02D57815-91ED-43cb-92C2-25804820EDAC}">
                  <c15:fullRef>
                    <c15:sqref>'Balance of Payments'!$E$11:$AD$11</c15:sqref>
                  </c15:fullRef>
                </c:ext>
              </c:extLst>
              <c:f>'Balance of Payments'!$P$11:$AD$11</c:f>
              <c:numCache>
                <c:formatCode>0.0</c:formatCode>
                <c:ptCount val="15"/>
                <c:pt idx="0">
                  <c:v>-3.1</c:v>
                </c:pt>
                <c:pt idx="1">
                  <c:v>-4.5</c:v>
                </c:pt>
                <c:pt idx="2">
                  <c:v>-5.4</c:v>
                </c:pt>
                <c:pt idx="3">
                  <c:v>-5.5</c:v>
                </c:pt>
                <c:pt idx="4">
                  <c:v>-2.7</c:v>
                </c:pt>
                <c:pt idx="5">
                  <c:v>-1.5</c:v>
                </c:pt>
                <c:pt idx="6">
                  <c:v>-2.2000000000000002</c:v>
                </c:pt>
                <c:pt idx="7">
                  <c:v>-5.0999999999999996</c:v>
                </c:pt>
                <c:pt idx="8">
                  <c:v>-5.8</c:v>
                </c:pt>
                <c:pt idx="9">
                  <c:v>-5.0999999999999996</c:v>
                </c:pt>
                <c:pt idx="10">
                  <c:v>-4.5999999999999996</c:v>
                </c:pt>
                <c:pt idx="11">
                  <c:v>-2.9</c:v>
                </c:pt>
                <c:pt idx="12">
                  <c:v>-2.5</c:v>
                </c:pt>
                <c:pt idx="13">
                  <c:v>-3.5</c:v>
                </c:pt>
                <c:pt idx="14">
                  <c:v>-3</c:v>
                </c:pt>
              </c:numCache>
            </c:numRef>
          </c:val>
          <c:smooth val="0"/>
          <c:extLst>
            <c:ext xmlns:c16="http://schemas.microsoft.com/office/drawing/2014/chart" uri="{C3380CC4-5D6E-409C-BE32-E72D297353CC}">
              <c16:uniqueId val="{00000002-FAD0-4AFC-A6A8-DEF86F0F57CE}"/>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0.0"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097747080922847"/>
              <c:y val="0.16192614081134596"/>
            </c:manualLayout>
          </c:layout>
          <c:overlay val="0"/>
        </c:title>
        <c:numFmt formatCode="0.0"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'Balance of Payments'!$D$124</c:f>
              <c:strCache>
                <c:ptCount val="1"/>
                <c:pt idx="0">
                  <c:v>Merchandise Imports (% of GDP) </c:v>
                </c:pt>
              </c:strCache>
            </c:strRef>
          </c:tx>
          <c:spPr>
            <a:ln w="12700">
              <a:solidFill>
                <a:srgbClr val="FFC000"/>
              </a:solidFill>
            </a:ln>
          </c:spPr>
          <c:marker>
            <c:symbol val="none"/>
          </c:marker>
          <c:cat>
            <c:multiLvlStrRef>
              <c:f>'Balance of Payments'!$V$122:$DE$123</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Payments'!$V$124:$DE$124</c:f>
              <c:numCache>
                <c:formatCode>0.0</c:formatCode>
                <c:ptCount val="88"/>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7FC4-4CAE-A9E1-1D3FD502B247}"/>
            </c:ext>
          </c:extLst>
        </c:ser>
        <c:ser>
          <c:idx val="1"/>
          <c:order val="1"/>
          <c:tx>
            <c:strRef>
              <c:f>'Balance of Payments'!$D$125</c:f>
              <c:strCache>
                <c:ptCount val="1"/>
                <c:pt idx="0">
                  <c:v>Merchandise Exports (% of GDP) </c:v>
                </c:pt>
              </c:strCache>
            </c:strRef>
          </c:tx>
          <c:spPr>
            <a:ln w="12700">
              <a:solidFill>
                <a:schemeClr val="accent6">
                  <a:lumMod val="50000"/>
                </a:schemeClr>
              </a:solidFill>
            </a:ln>
          </c:spPr>
          <c:marker>
            <c:symbol val="none"/>
          </c:marker>
          <c:cat>
            <c:multiLvlStrRef>
              <c:f>'Balance of Payments'!$V$122:$DE$123</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Payments'!$V$125:$DE$125</c:f>
              <c:numCache>
                <c:formatCode>0.0</c:formatCode>
                <c:ptCount val="88"/>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7FC4-4CAE-A9E1-1D3FD502B247}"/>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'Balance of Payments'!$D$126</c:f>
              <c:strCache>
                <c:ptCount val="1"/>
                <c:pt idx="0">
                  <c:v>Balance on current account  (% GDP)</c:v>
                </c:pt>
              </c:strCache>
            </c:strRef>
          </c:tx>
          <c:spPr>
            <a:ln w="12700">
              <a:solidFill>
                <a:schemeClr val="accent6">
                  <a:lumMod val="75000"/>
                </a:schemeClr>
              </a:solidFill>
            </a:ln>
          </c:spPr>
          <c:marker>
            <c:symbol val="none"/>
          </c:marker>
          <c:cat>
            <c:multiLvlStrRef>
              <c:f>'Balance of Payments'!$V$122:$DE$123</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'Balance of Payments'!$V$126:$DE$126</c:f>
              <c:numCache>
                <c:formatCode>0.0</c:formatCode>
                <c:ptCount val="88"/>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7FC4-4CAE-A9E1-1D3FD502B247}"/>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[2]Competitiveness!$E$8</c:f>
              <c:strCache>
                <c:ptCount val="1"/>
                <c:pt idx="0">
                  <c:v>2005-2006 </c:v>
                </c:pt>
              </c:strCache>
            </c:strRef>
          </c:tx>
          <c:spPr>
            <a:solidFill>
              <a:srgbClr val="9999FF"/>
            </a:solidFill>
            <a:ln w="25400">
              <a:solidFill>
                <a:srgbClr val="00008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D5D5-453F-837B-5845A7EFD3CE}"/>
            </c:ext>
          </c:extLst>
        </c:ser>
        <c:ser>
          <c:idx val="1"/>
          <c:order val="1"/>
          <c:tx>
            <c:strRef>
              <c:f>[2]Competitiveness!$F$8</c:f>
              <c:strCache>
                <c:ptCount val="1"/>
                <c:pt idx="0">
                  <c:v>2006-2007 </c:v>
                </c:pt>
              </c:strCache>
            </c:strRef>
          </c:tx>
          <c:spPr>
            <a:solidFill>
              <a:srgbClr val="993366"/>
            </a:solidFill>
            <a:ln w="25400">
              <a:noFill/>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D5D5-453F-837B-5845A7EFD3CE}"/>
            </c:ext>
          </c:extLst>
        </c:ser>
        <c:ser>
          <c:idx val="2"/>
          <c:order val="2"/>
          <c:tx>
            <c:strRef>
              <c:f>[2]Competitiveness!$G$8</c:f>
              <c:strCache>
                <c:ptCount val="1"/>
                <c:pt idx="0">
                  <c:v>2007-2008</c:v>
                </c:pt>
              </c:strCache>
            </c:strRef>
          </c:tx>
          <c:spPr>
            <a:solidFill>
              <a:srgbClr val="FFFFCC"/>
            </a:solidFill>
            <a:ln w="12700">
              <a:solidFill>
                <a:srgbClr val="00000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D5D5-453F-837B-5845A7EFD3CE}"/>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'[2]GDP Capita'!$D$9</c:f>
              <c:strCache>
                <c:ptCount val="1"/>
                <c:pt idx="0">
                  <c:v>Per Capita GDP</c:v>
                </c:pt>
              </c:strCache>
            </c:strRef>
          </c:tx>
          <c:spPr>
            <a:ln w="12700">
              <a:solidFill>
                <a:srgbClr val="000080"/>
              </a:solidFill>
              <a:prstDash val="solid"/>
            </a:ln>
          </c:spPr>
          <c:marker>
            <c:symbol val="none"/>
          </c:marker>
          <c:cat>
            <c:strRef>
              <c:f>'[2]GDP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'[2]GDP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C647-41CB-964E-F8AF9FADBD8A}"/>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manualLayout>
          <c:xMode val="edge"/>
          <c:yMode val="edge"/>
          <c:x val="0.19384114418852727"/>
          <c:y val="1.5920398009950248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spPr>
            <a:ln w="25400">
              <a:solidFill>
                <a:schemeClr val="accent4">
                  <a:lumMod val="60000"/>
                  <a:lumOff val="40000"/>
                </a:schemeClr>
              </a:solidFill>
            </a:ln>
          </c:spPr>
          <c:marker>
            <c:symbol val="none"/>
          </c:marker>
          <c:cat>
            <c:strRef>
              <c:extLst>
                <c:ext xmlns:c15="http://schemas.microsoft.com/office/drawing/2012/chart" uri="{02D57815-91ED-43cb-92C2-25804820EDAC}">
                  <c15:fullRef>
                    <c15:sqref>'Competitiveness  '!$E$7:$S$7</c15:sqref>
                  </c15:fullRef>
                </c:ext>
              </c:extLst>
              <c:f>'Competitiveness  '!$J$7:$S$7</c:f>
              <c:strCache>
                <c:ptCount val="10"/>
                <c:pt idx="0">
                  <c:v> 2010/11 </c:v>
                </c:pt>
                <c:pt idx="1">
                  <c:v> 2011/12 </c:v>
                </c:pt>
                <c:pt idx="2">
                  <c:v> 2012/13 </c:v>
                </c:pt>
                <c:pt idx="3">
                  <c:v> 2013/14 </c:v>
                </c:pt>
                <c:pt idx="4">
                  <c:v> 2014/15 </c:v>
                </c:pt>
                <c:pt idx="5">
                  <c:v> 2015/16 </c:v>
                </c:pt>
                <c:pt idx="6">
                  <c:v> 2016/17 </c:v>
                </c:pt>
                <c:pt idx="7">
                  <c:v> 2017/18 </c:v>
                </c:pt>
                <c:pt idx="8">
                  <c:v> 2018/19 </c:v>
                </c:pt>
                <c:pt idx="9">
                  <c:v> 2019/20 </c:v>
                </c:pt>
              </c:strCache>
            </c:strRef>
          </c:cat>
          <c:val>
            <c:numRef>
              <c:extLst>
                <c:ext xmlns:c15="http://schemas.microsoft.com/office/drawing/2012/chart" uri="{02D57815-91ED-43cb-92C2-25804820EDAC}">
                  <c15:fullRef>
                    <c15:sqref>'Competitiveness  '!$E$13:$S$13</c15:sqref>
                  </c15:fullRef>
                </c:ext>
              </c:extLst>
              <c:f>'Competitiveness  '!$J$13:$S$13</c:f>
              <c:numCache>
                <c:formatCode>General</c:formatCode>
                <c:ptCount val="10"/>
                <c:pt idx="0">
                  <c:v>54</c:v>
                </c:pt>
                <c:pt idx="1">
                  <c:v>50</c:v>
                </c:pt>
                <c:pt idx="2">
                  <c:v>52</c:v>
                </c:pt>
                <c:pt idx="3">
                  <c:v>53</c:v>
                </c:pt>
                <c:pt idx="4">
                  <c:v>56</c:v>
                </c:pt>
                <c:pt idx="5">
                  <c:v>49</c:v>
                </c:pt>
                <c:pt idx="6">
                  <c:v>47</c:v>
                </c:pt>
                <c:pt idx="7">
                  <c:v>61</c:v>
                </c:pt>
                <c:pt idx="8">
                  <c:v>67</c:v>
                </c:pt>
                <c:pt idx="9">
                  <c:v>60</c:v>
                </c:pt>
              </c:numCache>
            </c:numRef>
          </c:val>
          <c:smooth val="0"/>
          <c:extLst>
            <c:ext xmlns:c16="http://schemas.microsoft.com/office/drawing/2014/chart" uri="{C3380CC4-5D6E-409C-BE32-E72D297353CC}">
              <c16:uniqueId val="{00000000-150A-4DB6-AF9A-BA91D2140DB0}"/>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rPr>
              <a:t>SA Global competitiveness -IMD</a:t>
            </a:r>
            <a:endParaRPr lang="en-ZA" sz="1050">
              <a:effectLst/>
            </a:endParaRPr>
          </a:p>
        </c:rich>
      </c:tx>
      <c:layout>
        <c:manualLayout>
          <c:xMode val="edge"/>
          <c:yMode val="edge"/>
          <c:x val="0.27089297645894128"/>
          <c:y val="4.0016759953198623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marker>
            <c:symbol val="none"/>
          </c:marker>
          <c:cat>
            <c:numRef>
              <c:f>'Competitiveness  '!$E$25:$S$25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'Competitiveness  '!$E$32:$S$32</c:f>
              <c:numCache>
                <c:formatCode>General</c:formatCode>
                <c:ptCount val="15"/>
                <c:pt idx="0">
                  <c:v>37</c:v>
                </c:pt>
                <c:pt idx="1">
                  <c:v>38</c:v>
                </c:pt>
                <c:pt idx="2">
                  <c:v>50</c:v>
                </c:pt>
                <c:pt idx="3">
                  <c:v>53</c:v>
                </c:pt>
                <c:pt idx="4">
                  <c:v>48</c:v>
                </c:pt>
                <c:pt idx="5">
                  <c:v>44</c:v>
                </c:pt>
                <c:pt idx="6">
                  <c:v>52</c:v>
                </c:pt>
                <c:pt idx="7">
                  <c:v>50</c:v>
                </c:pt>
                <c:pt idx="8">
                  <c:v>53</c:v>
                </c:pt>
                <c:pt idx="9">
                  <c:v>52</c:v>
                </c:pt>
                <c:pt idx="10">
                  <c:v>53</c:v>
                </c:pt>
                <c:pt idx="11">
                  <c:v>52</c:v>
                </c:pt>
                <c:pt idx="12">
                  <c:v>53</c:v>
                </c:pt>
                <c:pt idx="13">
                  <c:v>53</c:v>
                </c:pt>
                <c:pt idx="14">
                  <c:v>56</c:v>
                </c:pt>
              </c:numCache>
            </c:numRef>
          </c:val>
          <c:smooth val="0"/>
          <c:extLst>
            <c:ext xmlns:c16="http://schemas.microsoft.com/office/drawing/2014/chart" uri="{C3380CC4-5D6E-409C-BE32-E72D297353CC}">
              <c16:uniqueId val="{00000000-23CA-4966-968D-888EDF225DD8}"/>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0084471676737E-2"/>
          <c:y val="4.1522491349480967E-2"/>
          <c:w val="0.94652210501416956"/>
          <c:h val="0.74482994124004398"/>
        </c:manualLayout>
      </c:layout>
      <c:barChart>
        <c:barDir val="col"/>
        <c:grouping val="clustered"/>
        <c:varyColors val="0"/>
        <c:ser>
          <c:idx val="5"/>
          <c:order val="0"/>
          <c:tx>
            <c:strRef>
              <c:f>'BM '!$D$48</c:f>
              <c:strCache>
                <c:ptCount val="1"/>
                <c:pt idx="0">
                  <c:v>Black Top managers</c:v>
                </c:pt>
              </c:strCache>
            </c:strRef>
          </c:tx>
          <c:spPr>
            <a:solidFill>
              <a:srgbClr val="FCD5B5"/>
            </a:solidFill>
          </c:spPr>
          <c:invertIfNegative val="0"/>
          <c:cat>
            <c:strRef>
              <c:extLst>
                <c:ext xmlns:c15="http://schemas.microsoft.com/office/drawing/2012/chart" uri="{02D57815-91ED-43cb-92C2-25804820EDAC}">
                  <c15:fullRef>
                    <c15:sqref>'BM '!$E$47:$X$47</c15:sqref>
                  </c15:fullRef>
                </c:ext>
              </c:extLst>
              <c:f>'BM '!$K$47:$X$47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'BM '!$E$48:$X$48</c15:sqref>
                  </c15:fullRef>
                </c:ext>
              </c:extLst>
              <c:f>'BM '!$K$48:$X$48</c:f>
              <c:numCache>
                <c:formatCode>0.0%</c:formatCode>
                <c:ptCount val="14"/>
                <c:pt idx="0">
                  <c:v>0.222</c:v>
                </c:pt>
                <c:pt idx="1">
                  <c:v>0.28799999999999998</c:v>
                </c:pt>
                <c:pt idx="2">
                  <c:v>0.24200000000000002</c:v>
                </c:pt>
                <c:pt idx="3">
                  <c:v>0.32200000000000001</c:v>
                </c:pt>
                <c:pt idx="4">
                  <c:v>0.24099999999999999</c:v>
                </c:pt>
                <c:pt idx="5">
                  <c:v>0.308</c:v>
                </c:pt>
                <c:pt idx="6">
                  <c:v>0.24199999999999999</c:v>
                </c:pt>
                <c:pt idx="7">
                  <c:v>0.33299999999999996</c:v>
                </c:pt>
                <c:pt idx="8">
                  <c:v>0.26700000000000002</c:v>
                </c:pt>
                <c:pt idx="9">
                  <c:v>0.27600000000000002</c:v>
                </c:pt>
                <c:pt idx="10">
                  <c:v>0.28199999999999997</c:v>
                </c:pt>
                <c:pt idx="11">
                  <c:v>0.28799999999999998</c:v>
                </c:pt>
                <c:pt idx="12">
                  <c:v>0.30099999999999999</c:v>
                </c:pt>
                <c:pt idx="13">
                  <c:v>0.311</c:v>
                </c:pt>
              </c:numCache>
            </c:numRef>
          </c:val>
          <c:extLst>
            <c:ext xmlns:c16="http://schemas.microsoft.com/office/drawing/2014/chart" uri="{C3380CC4-5D6E-409C-BE32-E72D297353CC}">
              <c16:uniqueId val="{00000000-2DFB-452E-ADB2-BFAC025F6A9D}"/>
            </c:ext>
          </c:extLst>
        </c:ser>
        <c:ser>
          <c:idx val="6"/>
          <c:order val="1"/>
          <c:tx>
            <c:strRef>
              <c:f>'BM '!$D$49</c:f>
              <c:strCache>
                <c:ptCount val="1"/>
                <c:pt idx="0">
                  <c:v>Black Senior Managers</c:v>
                </c:pt>
              </c:strCache>
            </c:strRef>
          </c:tx>
          <c:spPr>
            <a:solidFill>
              <a:srgbClr val="F8A662"/>
            </a:solidFill>
          </c:spPr>
          <c:invertIfNegative val="0"/>
          <c:cat>
            <c:strRef>
              <c:extLst>
                <c:ext xmlns:c15="http://schemas.microsoft.com/office/drawing/2012/chart" uri="{02D57815-91ED-43cb-92C2-25804820EDAC}">
                  <c15:fullRef>
                    <c15:sqref>'BM '!$E$47:$X$47</c15:sqref>
                  </c15:fullRef>
                </c:ext>
              </c:extLst>
              <c:f>'BM '!$K$47:$X$47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'BM '!$E$49:$X$49</c15:sqref>
                  </c15:fullRef>
                </c:ext>
              </c:extLst>
              <c:f>'BM '!$K$49:$X$49</c:f>
              <c:numCache>
                <c:formatCode>0.0%</c:formatCode>
                <c:ptCount val="14"/>
                <c:pt idx="0">
                  <c:v>0.26899999999999996</c:v>
                </c:pt>
                <c:pt idx="1">
                  <c:v>0.32400000000000007</c:v>
                </c:pt>
                <c:pt idx="2">
                  <c:v>0.32500000000000001</c:v>
                </c:pt>
                <c:pt idx="3">
                  <c:v>0.35499999999999998</c:v>
                </c:pt>
                <c:pt idx="4">
                  <c:v>0.24099999999999999</c:v>
                </c:pt>
                <c:pt idx="5">
                  <c:v>0.29399999999999998</c:v>
                </c:pt>
                <c:pt idx="6">
                  <c:v>0.35</c:v>
                </c:pt>
                <c:pt idx="7">
                  <c:v>0.40100000000000002</c:v>
                </c:pt>
                <c:pt idx="8">
                  <c:v>0.376</c:v>
                </c:pt>
                <c:pt idx="9">
                  <c:v>0.38800000000000001</c:v>
                </c:pt>
                <c:pt idx="10">
                  <c:v>0.40400000000000003</c:v>
                </c:pt>
                <c:pt idx="11">
                  <c:v>0.40699999999999997</c:v>
                </c:pt>
                <c:pt idx="12">
                  <c:v>0.42299999999999999</c:v>
                </c:pt>
                <c:pt idx="13">
                  <c:v>0.42899999999999999</c:v>
                </c:pt>
              </c:numCache>
            </c:numRef>
          </c:val>
          <c:extLst>
            <c:ext xmlns:c16="http://schemas.microsoft.com/office/drawing/2014/chart" uri="{C3380CC4-5D6E-409C-BE32-E72D297353CC}">
              <c16:uniqueId val="{00000001-2DFB-452E-ADB2-BFAC025F6A9D}"/>
            </c:ext>
          </c:extLst>
        </c:ser>
        <c:ser>
          <c:idx val="7"/>
          <c:order val="2"/>
          <c:tx>
            <c:strRef>
              <c:f>'BM '!$D$53</c:f>
              <c:strCache>
                <c:ptCount val="1"/>
                <c:pt idx="0">
                  <c:v>Female Top Managers</c:v>
                </c:pt>
              </c:strCache>
            </c:strRef>
          </c:tx>
          <c:spPr>
            <a:solidFill>
              <a:srgbClr val="E46C0A"/>
            </a:solidFill>
          </c:spPr>
          <c:invertIfNegative val="0"/>
          <c:cat>
            <c:strRef>
              <c:extLst>
                <c:ext xmlns:c15="http://schemas.microsoft.com/office/drawing/2012/chart" uri="{02D57815-91ED-43cb-92C2-25804820EDAC}">
                  <c15:fullRef>
                    <c15:sqref>'BM '!$E$47:$X$47</c15:sqref>
                  </c15:fullRef>
                </c:ext>
              </c:extLst>
              <c:f>'BM '!$K$47:$X$47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'BM '!$E$53:$X$53</c15:sqref>
                  </c15:fullRef>
                </c:ext>
              </c:extLst>
              <c:f>'BM '!$K$53:$X$53</c:f>
              <c:numCache>
                <c:formatCode>0.0%</c:formatCode>
                <c:ptCount val="14"/>
                <c:pt idx="0">
                  <c:v>0.216</c:v>
                </c:pt>
                <c:pt idx="1">
                  <c:v>0.20599999999999999</c:v>
                </c:pt>
                <c:pt idx="2">
                  <c:v>0.182</c:v>
                </c:pt>
                <c:pt idx="3">
                  <c:v>0.184</c:v>
                </c:pt>
                <c:pt idx="4">
                  <c:v>0.19</c:v>
                </c:pt>
                <c:pt idx="5">
                  <c:v>0.19</c:v>
                </c:pt>
                <c:pt idx="6">
                  <c:v>0.19800000000000001</c:v>
                </c:pt>
                <c:pt idx="7">
                  <c:v>0.20599999999999999</c:v>
                </c:pt>
                <c:pt idx="8">
                  <c:v>0.20899999999999999</c:v>
                </c:pt>
                <c:pt idx="9">
                  <c:v>0.214</c:v>
                </c:pt>
                <c:pt idx="10">
                  <c:v>0.22</c:v>
                </c:pt>
                <c:pt idx="11">
                  <c:v>0.22900000000000001</c:v>
                </c:pt>
                <c:pt idx="12">
                  <c:v>0.23499999999999999</c:v>
                </c:pt>
                <c:pt idx="13">
                  <c:v>0.24399999999999999</c:v>
                </c:pt>
              </c:numCache>
            </c:numRef>
          </c:val>
          <c:extLst>
            <c:ext xmlns:c16="http://schemas.microsoft.com/office/drawing/2014/chart" uri="{C3380CC4-5D6E-409C-BE32-E72D297353CC}">
              <c16:uniqueId val="{00000002-2DFB-452E-ADB2-BFAC025F6A9D}"/>
            </c:ext>
          </c:extLst>
        </c:ser>
        <c:ser>
          <c:idx val="8"/>
          <c:order val="3"/>
          <c:tx>
            <c:strRef>
              <c:f>'BM '!$D$54</c:f>
              <c:strCache>
                <c:ptCount val="1"/>
                <c:pt idx="0">
                  <c:v>Female Senior Managers</c:v>
                </c:pt>
              </c:strCache>
            </c:strRef>
          </c:tx>
          <c:spPr>
            <a:solidFill>
              <a:srgbClr val="984807"/>
            </a:solidFill>
          </c:spPr>
          <c:invertIfNegative val="0"/>
          <c:cat>
            <c:strRef>
              <c:extLst>
                <c:ext xmlns:c15="http://schemas.microsoft.com/office/drawing/2012/chart" uri="{02D57815-91ED-43cb-92C2-25804820EDAC}">
                  <c15:fullRef>
                    <c15:sqref>'BM '!$E$47:$X$47</c15:sqref>
                  </c15:fullRef>
                </c:ext>
              </c:extLst>
              <c:f>'BM '!$K$47:$X$47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'BM '!$E$54:$X$54</c15:sqref>
                  </c15:fullRef>
                </c:ext>
              </c:extLst>
              <c:f>'BM '!$K$54:$X$54</c:f>
              <c:numCache>
                <c:formatCode>0.0%</c:formatCode>
                <c:ptCount val="14"/>
                <c:pt idx="0">
                  <c:v>0.27400000000000002</c:v>
                </c:pt>
                <c:pt idx="1">
                  <c:v>0.253</c:v>
                </c:pt>
                <c:pt idx="2">
                  <c:v>0.28299999999999997</c:v>
                </c:pt>
                <c:pt idx="3">
                  <c:v>0.27200000000000002</c:v>
                </c:pt>
                <c:pt idx="4">
                  <c:v>0.19</c:v>
                </c:pt>
                <c:pt idx="5">
                  <c:v>0.28199999999999997</c:v>
                </c:pt>
                <c:pt idx="6">
                  <c:v>0.307</c:v>
                </c:pt>
                <c:pt idx="7">
                  <c:v>0.29899999999999999</c:v>
                </c:pt>
                <c:pt idx="8">
                  <c:v>0.32100000000000001</c:v>
                </c:pt>
                <c:pt idx="9">
                  <c:v>0.32400000000000001</c:v>
                </c:pt>
                <c:pt idx="10">
                  <c:v>0.33329999999999999</c:v>
                </c:pt>
                <c:pt idx="11">
                  <c:v>0.33800000000000002</c:v>
                </c:pt>
                <c:pt idx="12">
                  <c:v>0.34499999999999997</c:v>
                </c:pt>
                <c:pt idx="13">
                  <c:v>0.35299999999999998</c:v>
                </c:pt>
              </c:numCache>
            </c:numRef>
          </c:val>
          <c:extLst>
            <c:ext xmlns:c16="http://schemas.microsoft.com/office/drawing/2014/chart" uri="{C3380CC4-5D6E-409C-BE32-E72D297353CC}">
              <c16:uniqueId val="{00000003-2DFB-452E-ADB2-BFAC025F6A9D}"/>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 sourceLinked="0"/>
        <c:majorTickMark val="out"/>
        <c:minorTickMark val="none"/>
        <c:tickLblPos val="nextTo"/>
        <c:crossAx val="400476560"/>
        <c:crosses val="autoZero"/>
        <c:crossBetween val="between"/>
      </c:valAx>
    </c:plotArea>
    <c:legend>
      <c:legendPos val="b"/>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5397299115305655E-2"/>
          <c:y val="0.10534840594195446"/>
          <c:w val="0.9072748888973885"/>
          <c:h val="0.75823396013175404"/>
        </c:manualLayout>
      </c:layout>
      <c:lineChart>
        <c:grouping val="standard"/>
        <c:varyColors val="0"/>
        <c:ser>
          <c:idx val="0"/>
          <c:order val="0"/>
          <c:tx>
            <c:strRef>
              <c:f>'Employed  '!$D$14</c:f>
              <c:strCache>
                <c:ptCount val="1"/>
                <c:pt idx="0">
                  <c:v>Total Employment</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'Employed  '!$E$8:$W$8</c15:sqref>
                  </c15:fullRef>
                </c:ext>
              </c:extLst>
              <c:f>'Employed  '!$L$8:$W$8</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extLst>
                <c:ext xmlns:c15="http://schemas.microsoft.com/office/drawing/2012/chart" uri="{02D57815-91ED-43cb-92C2-25804820EDAC}">
                  <c15:fullRef>
                    <c15:sqref>'Employed  '!$E$14:$W$14</c15:sqref>
                  </c15:fullRef>
                </c:ext>
              </c:extLst>
              <c:f>'Employed  '!$L$14:$W$14</c:f>
              <c:numCache>
                <c:formatCode>_ * #\ ##0_ ;_ * \-#\ ##0_ ;_ * "-"??_ ;_ @_ </c:formatCode>
                <c:ptCount val="12"/>
                <c:pt idx="0">
                  <c:v>14584.861037070465</c:v>
                </c:pt>
                <c:pt idx="1">
                  <c:v>14193.824214060021</c:v>
                </c:pt>
                <c:pt idx="2">
                  <c:v>13787.976154492397</c:v>
                </c:pt>
                <c:pt idx="3">
                  <c:v>14070.050140507159</c:v>
                </c:pt>
                <c:pt idx="4">
                  <c:v>14424.889214334915</c:v>
                </c:pt>
                <c:pt idx="5">
                  <c:v>14865.627834799463</c:v>
                </c:pt>
                <c:pt idx="6">
                  <c:v>15146.303542806947</c:v>
                </c:pt>
                <c:pt idx="7" formatCode="###\ ###\ ###\ ###">
                  <c:v>15741</c:v>
                </c:pt>
                <c:pt idx="8" formatCode="###\ ###\ ###\ ###">
                  <c:v>15780</c:v>
                </c:pt>
                <c:pt idx="9" formatCode="###\ ###\ ###\ ###">
                  <c:v>16169</c:v>
                </c:pt>
                <c:pt idx="10" formatCode="###\ ###\ ###\ ###">
                  <c:v>16394</c:v>
                </c:pt>
                <c:pt idx="11" formatCode="###\ ###\ ###\ ###">
                  <c:v>16349.854756098353</c:v>
                </c:pt>
              </c:numCache>
            </c:numRef>
          </c:val>
          <c:smooth val="1"/>
          <c:extLst>
            <c:ext xmlns:c16="http://schemas.microsoft.com/office/drawing/2014/chart" uri="{C3380CC4-5D6E-409C-BE32-E72D297353CC}">
              <c16:uniqueId val="{00000000-F15C-4C39-B15F-7F6BB92406C1}"/>
            </c:ext>
          </c:extLst>
        </c:ser>
        <c:dLbls>
          <c:showLegendKey val="0"/>
          <c:showVal val="0"/>
          <c:showCatName val="0"/>
          <c:showSerName val="0"/>
          <c:showPercent val="0"/>
          <c:showBubbleSize val="0"/>
        </c:dLbls>
        <c:smooth val="0"/>
        <c:axId val="486376024"/>
        <c:axId val="486375240"/>
      </c:lineChart>
      <c:catAx>
        <c:axId val="486376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375240"/>
        <c:crossesAt val="11000"/>
        <c:auto val="1"/>
        <c:lblAlgn val="ctr"/>
        <c:lblOffset val="100"/>
        <c:tickLblSkip val="1"/>
        <c:tickMarkSkip val="1"/>
        <c:noMultiLvlLbl val="0"/>
      </c:catAx>
      <c:valAx>
        <c:axId val="486375240"/>
        <c:scaling>
          <c:orientation val="minMax"/>
          <c:max val="165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376024"/>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  '!$D$14</c:f>
              <c:strCache>
                <c:ptCount val="1"/>
                <c:pt idx="0">
                  <c:v>Total Employment</c:v>
                </c:pt>
              </c:strCache>
            </c:strRef>
          </c:tx>
          <c:spPr>
            <a:ln w="25400">
              <a:solidFill>
                <a:srgbClr val="FF6600"/>
              </a:solidFill>
              <a:prstDash val="solid"/>
            </a:ln>
          </c:spPr>
          <c:marker>
            <c:symbol val="none"/>
          </c:marker>
          <c:val>
            <c:numRef>
              <c:f>'Employed  '!$E$14:$S$14</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'[7]Employed '!$E$102:$S$103</c15:sqref>
                        </c15:formulaRef>
                      </c:ext>
                    </c:extLst>
                    <c:multiLvlStrCache>
                      <c:ptCount val="15"/>
                      <c:lvl>
                        <c:pt idx="0">
                          <c:v>S</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lvl>
                        <c:pt idx="0">
                          <c:v>2001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multiLvlStrCache>
                  </c:multiLvlStrRef>
                </c15:cat>
              </c15:filteredCategoryTitle>
            </c:ext>
            <c:ext xmlns:c16="http://schemas.microsoft.com/office/drawing/2014/chart" uri="{C3380CC4-5D6E-409C-BE32-E72D297353CC}">
              <c16:uniqueId val="{00000000-98DA-42DE-9125-38A910594ACB}"/>
            </c:ext>
          </c:extLst>
        </c:ser>
        <c:dLbls>
          <c:showLegendKey val="0"/>
          <c:showVal val="0"/>
          <c:showCatName val="0"/>
          <c:showSerName val="0"/>
          <c:showPercent val="0"/>
          <c:showBubbleSize val="0"/>
        </c:dLbls>
        <c:smooth val="0"/>
        <c:axId val="404436392"/>
        <c:axId val="404437568"/>
      </c:lineChart>
      <c:catAx>
        <c:axId val="404436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4437568"/>
        <c:crossesAt val="11000"/>
        <c:auto val="1"/>
        <c:lblAlgn val="ctr"/>
        <c:lblOffset val="100"/>
        <c:tickLblSkip val="1"/>
        <c:tickMarkSkip val="1"/>
        <c:noMultiLvlLbl val="0"/>
      </c:catAx>
      <c:valAx>
        <c:axId val="40443756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4436392"/>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 '!$D$79</c:f>
              <c:strCache>
                <c:ptCount val="1"/>
                <c:pt idx="0">
                  <c:v>15 - 24</c:v>
                </c:pt>
              </c:strCache>
            </c:strRef>
          </c:tx>
          <c:spPr>
            <a:ln w="15875"/>
          </c:spPr>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'!$E$79:$W$79</c15:sqref>
                  </c15:fullRef>
                </c:ext>
              </c:extLst>
              <c:f>'Unempl '!$L$79:$W$79</c:f>
              <c:numCache>
                <c:formatCode>0.0</c:formatCode>
                <c:ptCount val="12"/>
                <c:pt idx="0">
                  <c:v>45.61432465079168</c:v>
                </c:pt>
                <c:pt idx="1">
                  <c:v>48.335652094750827</c:v>
                </c:pt>
                <c:pt idx="2">
                  <c:v>51.211586095188466</c:v>
                </c:pt>
                <c:pt idx="3">
                  <c:v>50.281651701226124</c:v>
                </c:pt>
                <c:pt idx="4">
                  <c:v>51.698207753618561</c:v>
                </c:pt>
                <c:pt idx="5">
                  <c:v>51.425685294707677</c:v>
                </c:pt>
                <c:pt idx="6">
                  <c:v>51.290864961635428</c:v>
                </c:pt>
                <c:pt idx="7">
                  <c:v>50.130442400407723</c:v>
                </c:pt>
                <c:pt idx="8">
                  <c:v>53.348435626122793</c:v>
                </c:pt>
                <c:pt idx="9">
                  <c:v>53.393903405785714</c:v>
                </c:pt>
                <c:pt idx="10">
                  <c:v>53.383945944532563</c:v>
                </c:pt>
                <c:pt idx="11">
                  <c:v>57.011983750759796</c:v>
                </c:pt>
              </c:numCache>
            </c:numRef>
          </c:val>
          <c:smooth val="1"/>
          <c:extLst>
            <c:ext xmlns:c16="http://schemas.microsoft.com/office/drawing/2014/chart" uri="{C3380CC4-5D6E-409C-BE32-E72D297353CC}">
              <c16:uniqueId val="{00000000-4388-4F96-BF07-7B572996C236}"/>
            </c:ext>
          </c:extLst>
        </c:ser>
        <c:ser>
          <c:idx val="2"/>
          <c:order val="1"/>
          <c:tx>
            <c:strRef>
              <c:f>'Unempl '!$D$80</c:f>
              <c:strCache>
                <c:ptCount val="1"/>
                <c:pt idx="0">
                  <c:v>25 - 34</c:v>
                </c:pt>
              </c:strCache>
            </c:strRef>
          </c:tx>
          <c:spPr>
            <a:ln w="25400">
              <a:solidFill>
                <a:srgbClr val="BE4B48"/>
              </a:solidFill>
            </a:ln>
          </c:spPr>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'!$E$80:$W$80</c15:sqref>
                  </c15:fullRef>
                </c:ext>
              </c:extLst>
              <c:f>'Unempl '!$L$80:$W$80</c:f>
              <c:numCache>
                <c:formatCode>0.0</c:formatCode>
                <c:ptCount val="12"/>
                <c:pt idx="0">
                  <c:v>25.840552427776831</c:v>
                </c:pt>
                <c:pt idx="1">
                  <c:v>28.082684668804671</c:v>
                </c:pt>
                <c:pt idx="2">
                  <c:v>29.261616346284651</c:v>
                </c:pt>
                <c:pt idx="3">
                  <c:v>29.899373983783157</c:v>
                </c:pt>
                <c:pt idx="4">
                  <c:v>29.565182557813518</c:v>
                </c:pt>
                <c:pt idx="5">
                  <c:v>29.111088787376804</c:v>
                </c:pt>
                <c:pt idx="6">
                  <c:v>30.077564142101188</c:v>
                </c:pt>
                <c:pt idx="7">
                  <c:v>30.186378438074414</c:v>
                </c:pt>
                <c:pt idx="8">
                  <c:v>31.664757250929309</c:v>
                </c:pt>
                <c:pt idx="9">
                  <c:v>33.056109109497648</c:v>
                </c:pt>
                <c:pt idx="10">
                  <c:v>33.41485135578305</c:v>
                </c:pt>
                <c:pt idx="11">
                  <c:v>35.39398411184245</c:v>
                </c:pt>
              </c:numCache>
            </c:numRef>
          </c:val>
          <c:smooth val="1"/>
          <c:extLst>
            <c:ext xmlns:c16="http://schemas.microsoft.com/office/drawing/2014/chart" uri="{C3380CC4-5D6E-409C-BE32-E72D297353CC}">
              <c16:uniqueId val="{00000001-4388-4F96-BF07-7B572996C236}"/>
            </c:ext>
          </c:extLst>
        </c:ser>
        <c:ser>
          <c:idx val="3"/>
          <c:order val="2"/>
          <c:tx>
            <c:strRef>
              <c:f>'Unempl '!$D$81</c:f>
              <c:strCache>
                <c:ptCount val="1"/>
                <c:pt idx="0">
                  <c:v>35 - 44</c:v>
                </c:pt>
              </c:strCache>
            </c:strRef>
          </c:tx>
          <c:spPr>
            <a:ln w="25400">
              <a:solidFill>
                <a:srgbClr val="FFC600"/>
              </a:solidFill>
            </a:ln>
          </c:spPr>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'!$E$81:$W$81</c15:sqref>
                  </c15:fullRef>
                </c:ext>
              </c:extLst>
              <c:f>'Unempl '!$L$81:$W$81</c:f>
              <c:numCache>
                <c:formatCode>0.0</c:formatCode>
                <c:ptCount val="12"/>
                <c:pt idx="0">
                  <c:v>15.955901048925055</c:v>
                </c:pt>
                <c:pt idx="1">
                  <c:v>16.584563029049672</c:v>
                </c:pt>
                <c:pt idx="2">
                  <c:v>17.693728516011891</c:v>
                </c:pt>
                <c:pt idx="3">
                  <c:v>18.090229302861054</c:v>
                </c:pt>
                <c:pt idx="4">
                  <c:v>18.187009451508718</c:v>
                </c:pt>
                <c:pt idx="5">
                  <c:v>18.588248762915565</c:v>
                </c:pt>
                <c:pt idx="6">
                  <c:v>19.094579058322445</c:v>
                </c:pt>
                <c:pt idx="7">
                  <c:v>19.518242457226449</c:v>
                </c:pt>
                <c:pt idx="8">
                  <c:v>21.140483132434824</c:v>
                </c:pt>
                <c:pt idx="9">
                  <c:v>21.985828119423001</c:v>
                </c:pt>
                <c:pt idx="10">
                  <c:v>21.529355968815501</c:v>
                </c:pt>
                <c:pt idx="11">
                  <c:v>22.748197409294306</c:v>
                </c:pt>
              </c:numCache>
            </c:numRef>
          </c:val>
          <c:smooth val="1"/>
          <c:extLst>
            <c:ext xmlns:c16="http://schemas.microsoft.com/office/drawing/2014/chart" uri="{C3380CC4-5D6E-409C-BE32-E72D297353CC}">
              <c16:uniqueId val="{00000002-4388-4F96-BF07-7B572996C236}"/>
            </c:ext>
          </c:extLst>
        </c:ser>
        <c:ser>
          <c:idx val="4"/>
          <c:order val="3"/>
          <c:tx>
            <c:strRef>
              <c:f>'Unempl '!$D$82</c:f>
              <c:strCache>
                <c:ptCount val="1"/>
                <c:pt idx="0">
                  <c:v>45 - 54</c:v>
                </c:pt>
              </c:strCache>
            </c:strRef>
          </c:tx>
          <c:spPr>
            <a:ln w="25400">
              <a:solidFill>
                <a:srgbClr val="00B050"/>
              </a:solidFill>
            </a:ln>
          </c:spPr>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'!$E$82:$W$82</c15:sqref>
                  </c15:fullRef>
                </c:ext>
              </c:extLst>
              <c:f>'Unempl '!$L$82:$W$82</c:f>
              <c:numCache>
                <c:formatCode>0.0</c:formatCode>
                <c:ptCount val="12"/>
                <c:pt idx="0">
                  <c:v>10.262524243664069</c:v>
                </c:pt>
                <c:pt idx="1">
                  <c:v>11.216521355769235</c:v>
                </c:pt>
                <c:pt idx="2">
                  <c:v>12.601007273356682</c:v>
                </c:pt>
                <c:pt idx="3">
                  <c:v>12.601867539017034</c:v>
                </c:pt>
                <c:pt idx="4">
                  <c:v>12.80590961334333</c:v>
                </c:pt>
                <c:pt idx="5">
                  <c:v>12.769495079856002</c:v>
                </c:pt>
                <c:pt idx="6">
                  <c:v>13.374628573906866</c:v>
                </c:pt>
                <c:pt idx="7">
                  <c:v>14.07522840397036</c:v>
                </c:pt>
                <c:pt idx="8">
                  <c:v>14.843637471922699</c:v>
                </c:pt>
                <c:pt idx="9">
                  <c:v>15.920460816512314</c:v>
                </c:pt>
                <c:pt idx="10">
                  <c:v>15.776492609033685</c:v>
                </c:pt>
                <c:pt idx="11">
                  <c:v>16.889222397049497</c:v>
                </c:pt>
              </c:numCache>
            </c:numRef>
          </c:val>
          <c:smooth val="1"/>
          <c:extLst>
            <c:ext xmlns:c16="http://schemas.microsoft.com/office/drawing/2014/chart" uri="{C3380CC4-5D6E-409C-BE32-E72D297353CC}">
              <c16:uniqueId val="{00000003-4388-4F96-BF07-7B572996C236}"/>
            </c:ext>
          </c:extLst>
        </c:ser>
        <c:ser>
          <c:idx val="5"/>
          <c:order val="4"/>
          <c:tx>
            <c:strRef>
              <c:f>'Unempl '!$D$83</c:f>
              <c:strCache>
                <c:ptCount val="1"/>
                <c:pt idx="0">
                  <c:v>55 - 64</c:v>
                </c:pt>
              </c:strCache>
            </c:strRef>
          </c:tx>
          <c:spPr>
            <a:ln w="25400">
              <a:solidFill>
                <a:srgbClr val="3D96AE"/>
              </a:solidFill>
            </a:ln>
          </c:spPr>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'!$E$83:$W$83</c15:sqref>
                  </c15:fullRef>
                </c:ext>
              </c:extLst>
              <c:f>'Unempl '!$L$83:$W$83</c:f>
              <c:numCache>
                <c:formatCode>0.0</c:formatCode>
                <c:ptCount val="12"/>
                <c:pt idx="0">
                  <c:v>6.7434230431741833</c:v>
                </c:pt>
                <c:pt idx="1">
                  <c:v>6.248783077057853</c:v>
                </c:pt>
                <c:pt idx="2">
                  <c:v>7.5805969331481302</c:v>
                </c:pt>
                <c:pt idx="3">
                  <c:v>6.209235517416734</c:v>
                </c:pt>
                <c:pt idx="4">
                  <c:v>7.0401361858174418</c:v>
                </c:pt>
                <c:pt idx="5">
                  <c:v>7.6987400495165517</c:v>
                </c:pt>
                <c:pt idx="6">
                  <c:v>7.6526536126624354</c:v>
                </c:pt>
                <c:pt idx="7">
                  <c:v>8.694483992374046</c:v>
                </c:pt>
                <c:pt idx="8">
                  <c:v>9.0434368930705578</c:v>
                </c:pt>
                <c:pt idx="9">
                  <c:v>9.4892141374650567</c:v>
                </c:pt>
                <c:pt idx="10">
                  <c:v>9.6013665123820431</c:v>
                </c:pt>
                <c:pt idx="11">
                  <c:v>9.9234650301271792</c:v>
                </c:pt>
              </c:numCache>
            </c:numRef>
          </c:val>
          <c:smooth val="1"/>
          <c:extLst>
            <c:ext xmlns:c16="http://schemas.microsoft.com/office/drawing/2014/chart" uri="{C3380CC4-5D6E-409C-BE32-E72D297353CC}">
              <c16:uniqueId val="{00000004-4388-4F96-BF07-7B572996C236}"/>
            </c:ext>
          </c:extLst>
        </c:ser>
        <c:ser>
          <c:idx val="6"/>
          <c:order val="6"/>
          <c:tx>
            <c:strRef>
              <c:f>'Unempl '!$D$84</c:f>
              <c:strCache>
                <c:ptCount val="1"/>
                <c:pt idx="0">
                  <c:v>Total</c:v>
                </c:pt>
              </c:strCache>
            </c:strRef>
          </c:tx>
          <c:marker>
            <c:symbol val="none"/>
          </c:marker>
          <c:cat>
            <c:numRef>
              <c:extLst>
                <c:ext xmlns:c15="http://schemas.microsoft.com/office/drawing/2012/chart" uri="{02D57815-91ED-43cb-92C2-25804820EDAC}">
                  <c15:fullRef>
                    <c15:sqref>'Unempl '!$E$78:$W$78</c15:sqref>
                  </c15:fullRef>
                </c:ext>
              </c:extLst>
              <c:f>'Unempl '!$L$78:$W$78</c:f>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xmlns:c15="http://schemas.microsoft.com/office/drawing/2012/chart" uri="{02D57815-91ED-43cb-92C2-25804820EDAC}">
                  <c15:fullRef>
                    <c15:sqref>'Unempl '!$E$84:$W$84</c15:sqref>
                  </c15:fullRef>
                </c:ext>
              </c:extLst>
              <c:f>'Unempl '!$L$84:$W$84</c:f>
              <c:numCache>
                <c:formatCode>0.0</c:formatCode>
                <c:ptCount val="12"/>
                <c:pt idx="0">
                  <c:v>22.5</c:v>
                </c:pt>
                <c:pt idx="1">
                  <c:v>23.7</c:v>
                </c:pt>
                <c:pt idx="2">
                  <c:v>24.9</c:v>
                </c:pt>
                <c:pt idx="3">
                  <c:v>24.8</c:v>
                </c:pt>
                <c:pt idx="4">
                  <c:v>24.9</c:v>
                </c:pt>
                <c:pt idx="5">
                  <c:v>24.7</c:v>
                </c:pt>
                <c:pt idx="6">
                  <c:v>25.1</c:v>
                </c:pt>
                <c:pt idx="7">
                  <c:v>25.3</c:v>
                </c:pt>
                <c:pt idx="8">
                  <c:v>26.7</c:v>
                </c:pt>
                <c:pt idx="9">
                  <c:v>27.5</c:v>
                </c:pt>
                <c:pt idx="10">
                  <c:v>27.1</c:v>
                </c:pt>
                <c:pt idx="11">
                  <c:v>28.693050573151314</c:v>
                </c:pt>
              </c:numCache>
            </c:numRef>
          </c:val>
          <c:smooth val="0"/>
          <c:extLst>
            <c:ext xmlns:c16="http://schemas.microsoft.com/office/drawing/2014/chart" uri="{C3380CC4-5D6E-409C-BE32-E72D297353CC}">
              <c16:uniqueId val="{00000000-78DD-4073-AC71-134FDBC88AFD}"/>
            </c:ext>
          </c:extLst>
        </c:ser>
        <c:dLbls>
          <c:showLegendKey val="0"/>
          <c:showVal val="0"/>
          <c:showCatName val="0"/>
          <c:showSerName val="0"/>
          <c:showPercent val="0"/>
          <c:showBubbleSize val="0"/>
        </c:dLbls>
        <c:smooth val="0"/>
        <c:axId val="404436784"/>
        <c:axId val="414522256"/>
        <c:extLst>
          <c:ext xmlns:c15="http://schemas.microsoft.com/office/drawing/2012/chart" uri="{02D57815-91ED-43cb-92C2-25804820EDAC}">
            <c15:filteredLineSeries>
              <c15:ser>
                <c:idx val="0"/>
                <c:order val="5"/>
                <c:tx>
                  <c:strRef>
                    <c:extLst>
                      <c:ext uri="{02D57815-91ED-43cb-92C2-25804820EDAC}">
                        <c15:formulaRef>
                          <c15:sqref>'Unempl '!$E$8</c15:sqref>
                        </c15:formulaRef>
                      </c:ext>
                    </c:extLst>
                    <c:strCache>
                      <c:ptCount val="1"/>
                      <c:pt idx="0">
                        <c:v>Unemployment (broad and narrow)</c:v>
                      </c:pt>
                    </c:strCache>
                  </c:strRef>
                </c:tx>
                <c:spPr>
                  <a:ln>
                    <a:solidFill>
                      <a:schemeClr val="tx1"/>
                    </a:solidFill>
                  </a:ln>
                </c:spPr>
                <c:marker>
                  <c:symbol val="none"/>
                </c:marker>
                <c:cat>
                  <c:numRef>
                    <c:extLst>
                      <c:ext uri="{02D57815-91ED-43cb-92C2-25804820EDAC}">
                        <c15:fullRef>
                          <c15:sqref>'Unempl '!$E$78:$W$78</c15:sqref>
                        </c15:fullRef>
                        <c15:formulaRef>
                          <c15:sqref>'Unempl '!$L$78:$W$78</c15:sqref>
                        </c15:formulaRef>
                      </c:ext>
                    </c:extLst>
                    <c:numCache>
                      <c:formatCode>General</c:formatCode>
                      <c:ptCount val="12"/>
                      <c:pt idx="0" formatCode="0">
                        <c:v>2008</c:v>
                      </c:pt>
                      <c:pt idx="1" formatCode="0">
                        <c:v>2009</c:v>
                      </c:pt>
                      <c:pt idx="2" formatCode="0">
                        <c:v>2010</c:v>
                      </c:pt>
                      <c:pt idx="3" formatCode="0">
                        <c:v>2011</c:v>
                      </c:pt>
                      <c:pt idx="4" formatCode="0">
                        <c:v>2012</c:v>
                      </c:pt>
                      <c:pt idx="5" formatCode="0">
                        <c:v>2013</c:v>
                      </c:pt>
                      <c:pt idx="6" formatCode="0">
                        <c:v>2014</c:v>
                      </c:pt>
                      <c:pt idx="7" formatCode="0">
                        <c:v>2015</c:v>
                      </c:pt>
                      <c:pt idx="8" formatCode="0">
                        <c:v>2016</c:v>
                      </c:pt>
                      <c:pt idx="9" formatCode="0">
                        <c:v>2017</c:v>
                      </c:pt>
                      <c:pt idx="10" formatCode="0">
                        <c:v>2018</c:v>
                      </c:pt>
                      <c:pt idx="11" formatCode="0">
                        <c:v>2019</c:v>
                      </c:pt>
                    </c:numCache>
                  </c:numRef>
                </c:cat>
                <c:val>
                  <c:numRef>
                    <c:extLst>
                      <c:ext uri="{02D57815-91ED-43cb-92C2-25804820EDAC}">
                        <c15:fullRef>
                          <c15:sqref>'Unempl '!$E$10:$V$10</c15:sqref>
                        </c15:fullRef>
                        <c15:formulaRef>
                          <c15:sqref>'Unempl '!$L$10:$V$10</c15:sqref>
                        </c15:formulaRef>
                      </c:ext>
                    </c:extLst>
                    <c:numCache>
                      <c:formatCode>0.0</c:formatCode>
                      <c:ptCount val="11"/>
                      <c:pt idx="0">
                        <c:v>22.5</c:v>
                      </c:pt>
                      <c:pt idx="1">
                        <c:v>23.7</c:v>
                      </c:pt>
                      <c:pt idx="2">
                        <c:v>24.9</c:v>
                      </c:pt>
                      <c:pt idx="3">
                        <c:v>24.8</c:v>
                      </c:pt>
                      <c:pt idx="4">
                        <c:v>24.9</c:v>
                      </c:pt>
                      <c:pt idx="5">
                        <c:v>24.7</c:v>
                      </c:pt>
                      <c:pt idx="6">
                        <c:v>25.1</c:v>
                      </c:pt>
                      <c:pt idx="7">
                        <c:v>25.3</c:v>
                      </c:pt>
                      <c:pt idx="8">
                        <c:v>26.7</c:v>
                      </c:pt>
                      <c:pt idx="9">
                        <c:v>27.5</c:v>
                      </c:pt>
                      <c:pt idx="10">
                        <c:v>27.1</c:v>
                      </c:pt>
                    </c:numCache>
                  </c:numRef>
                </c:val>
                <c:smooth val="1"/>
                <c:extLst>
                  <c:ext xmlns:c16="http://schemas.microsoft.com/office/drawing/2014/chart" uri="{C3380CC4-5D6E-409C-BE32-E72D297353CC}">
                    <c16:uniqueId val="{00000005-4388-4F96-BF07-7B572996C236}"/>
                  </c:ext>
                </c:extLst>
              </c15:ser>
            </c15:filteredLineSeries>
          </c:ext>
        </c:extLst>
      </c:lineChart>
      <c:catAx>
        <c:axId val="404436784"/>
        <c:scaling>
          <c:orientation val="minMax"/>
        </c:scaling>
        <c:delete val="0"/>
        <c:axPos val="b"/>
        <c:numFmt formatCode="0" sourceLinked="1"/>
        <c:majorTickMark val="out"/>
        <c:minorTickMark val="none"/>
        <c:tickLblPos val="nextTo"/>
        <c:txPr>
          <a:bodyPr rot="0" vert="horz"/>
          <a:lstStyle/>
          <a:p>
            <a:pPr>
              <a:defRPr sz="800" baseline="0">
                <a:latin typeface="Arial" panose="020B0604020202020204" pitchFamily="34" charset="0"/>
              </a:defRPr>
            </a:pPr>
            <a:endParaRPr lang="en-US"/>
          </a:p>
        </c:txPr>
        <c:crossAx val="414522256"/>
        <c:crosses val="autoZero"/>
        <c:auto val="1"/>
        <c:lblAlgn val="ctr"/>
        <c:lblOffset val="100"/>
        <c:noMultiLvlLbl val="0"/>
      </c:catAx>
      <c:valAx>
        <c:axId val="414522256"/>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4436784"/>
        <c:crosses val="autoZero"/>
        <c:crossBetween val="between"/>
      </c:valAx>
    </c:plotArea>
    <c:legend>
      <c:legendPos val="r"/>
      <c:legendEntry>
        <c:idx val="0"/>
        <c:delete val="1"/>
      </c:legendEntry>
      <c:layout>
        <c:manualLayout>
          <c:xMode val="edge"/>
          <c:yMode val="edge"/>
          <c:x val="5.6393476628040992E-2"/>
          <c:y val="0.90278026057553606"/>
          <c:w val="0.574199807603886"/>
          <c:h val="9.7219820195404691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'EPWP '!$D$61</c:f>
              <c:strCache>
                <c:ptCount val="1"/>
                <c:pt idx="0">
                  <c:v>Cumulative total</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'EPWP '!$E$60:$S$60</c15:sqref>
                  </c15:fullRef>
                </c:ext>
              </c:extLst>
              <c:f>'EPWP '!$L$60:$S$60</c:f>
              <c:strCache>
                <c:ptCount val="8"/>
                <c:pt idx="0">
                  <c:v>2011/12</c:v>
                </c:pt>
                <c:pt idx="1">
                  <c:v>2012/13</c:v>
                </c:pt>
                <c:pt idx="2">
                  <c:v>2013/14</c:v>
                </c:pt>
                <c:pt idx="3">
                  <c:v>2014/15</c:v>
                </c:pt>
                <c:pt idx="4">
                  <c:v>2015/16</c:v>
                </c:pt>
                <c:pt idx="5">
                  <c:v>2016/17</c:v>
                </c:pt>
                <c:pt idx="6">
                  <c:v>2017/18</c:v>
                </c:pt>
                <c:pt idx="7">
                  <c:v>2018/19</c:v>
                </c:pt>
              </c:strCache>
            </c:strRef>
          </c:cat>
          <c:val>
            <c:numRef>
              <c:extLst>
                <c:ext xmlns:c15="http://schemas.microsoft.com/office/drawing/2012/chart" uri="{02D57815-91ED-43cb-92C2-25804820EDAC}">
                  <c15:fullRef>
                    <c15:sqref>'EPWP '!$E$61:$S$61</c15:sqref>
                  </c15:fullRef>
                </c:ext>
              </c:extLst>
              <c:f>'EPWP '!$L$61:$S$61</c:f>
              <c:numCache>
                <c:formatCode>#\ ###\ ##0</c:formatCode>
                <c:ptCount val="8"/>
                <c:pt idx="0" formatCode="_ * #\ ##0_ ;_ * \-#\ ##0_ ;_ * &quot;-&quot;??_ ;_ @_ ">
                  <c:v>3879583</c:v>
                </c:pt>
                <c:pt idx="1" formatCode="_ * #\ ##0_ ;_ * \-#\ ##0_ ;_ * &quot;-&quot;??_ ;_ @_ ">
                  <c:v>4821176</c:v>
                </c:pt>
                <c:pt idx="2" formatCode="_ * #\ ##0_ ;_ * \-#\ ##0_ ;_ * &quot;-&quot;??_ ;_ @_ ">
                  <c:v>5838441</c:v>
                </c:pt>
                <c:pt idx="3" formatCode="_ * #\ ##0_ ;_ * \-#\ ##0_ ;_ * &quot;-&quot;??_ ;_ @_ ">
                  <c:v>6942424</c:v>
                </c:pt>
                <c:pt idx="4" formatCode="_ * #\ ##0_ ;_ * \-#\ ##0_ ;_ * &quot;-&quot;??_ ;_ @_ ">
                  <c:v>7683964</c:v>
                </c:pt>
                <c:pt idx="5" formatCode="_ * #\ ##0_ ;_ * \-#\ ##0_ ;_ * &quot;-&quot;??_ ;_ @_ ">
                  <c:v>8463209</c:v>
                </c:pt>
                <c:pt idx="6" formatCode="_ * #\ ##0_ ;_ * \-#\ ##0_ ;_ * &quot;-&quot;??_ ;_ @_ ">
                  <c:v>9363443</c:v>
                </c:pt>
                <c:pt idx="7" formatCode="_ * #\ ##0_ ;_ * \-#\ ##0_ ;_ * &quot;-&quot;??_ ;_ @_ ">
                  <c:v>10360729</c:v>
                </c:pt>
              </c:numCache>
            </c:numRef>
          </c:val>
          <c:smooth val="0"/>
          <c:extLst>
            <c:ext xmlns:c16="http://schemas.microsoft.com/office/drawing/2014/chart" uri="{C3380CC4-5D6E-409C-BE32-E72D297353CC}">
              <c16:uniqueId val="{00000000-B238-44B7-87EF-7B1F1B31A8A8}"/>
            </c:ext>
          </c:extLst>
        </c:ser>
        <c:dLbls>
          <c:showLegendKey val="0"/>
          <c:showVal val="0"/>
          <c:showCatName val="0"/>
          <c:showSerName val="0"/>
          <c:showPercent val="0"/>
          <c:showBubbleSize val="0"/>
        </c:dLbls>
        <c:smooth val="0"/>
        <c:axId val="1434624687"/>
        <c:axId val="1434630511"/>
      </c:lineChart>
      <c:catAx>
        <c:axId val="143462468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34630511"/>
        <c:crosses val="autoZero"/>
        <c:auto val="1"/>
        <c:lblAlgn val="ctr"/>
        <c:lblOffset val="100"/>
        <c:noMultiLvlLbl val="0"/>
      </c:catAx>
      <c:valAx>
        <c:axId val="1434630511"/>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34624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7110380689163E-2"/>
          <c:y val="4.4357568621679298E-2"/>
          <c:w val="0.92776093358878164"/>
          <c:h val="0.8416746864975212"/>
        </c:manualLayout>
      </c:layout>
      <c:barChart>
        <c:barDir val="col"/>
        <c:grouping val="clustered"/>
        <c:varyColors val="0"/>
        <c:ser>
          <c:idx val="0"/>
          <c:order val="0"/>
          <c:tx>
            <c:strRef>
              <c:f>'CWP '!$E$59</c:f>
              <c:strCache>
                <c:ptCount val="1"/>
                <c:pt idx="0">
                  <c:v>South Africa</c:v>
                </c:pt>
              </c:strCache>
            </c:strRef>
          </c:tx>
          <c:spPr>
            <a:solidFill>
              <a:schemeClr val="accent1"/>
            </a:solidFill>
            <a:ln>
              <a:noFill/>
            </a:ln>
            <a:effectLst/>
          </c:spPr>
          <c:invertIfNegative val="0"/>
          <c:cat>
            <c:strRef>
              <c:extLst>
                <c:ext xmlns:c15="http://schemas.microsoft.com/office/drawing/2012/chart" uri="{02D57815-91ED-43cb-92C2-25804820EDAC}">
                  <c15:fullRef>
                    <c15:sqref>'CWP '!$F$58:$N$58</c15:sqref>
                  </c15:fullRef>
                </c:ext>
              </c:extLst>
              <c:f>'CWP '!$I$58:$N$58</c:f>
              <c:strCache>
                <c:ptCount val="6"/>
                <c:pt idx="0">
                  <c:v>2013/14</c:v>
                </c:pt>
                <c:pt idx="1">
                  <c:v>2014/15</c:v>
                </c:pt>
                <c:pt idx="2">
                  <c:v>2015/16</c:v>
                </c:pt>
                <c:pt idx="3">
                  <c:v>2016/17</c:v>
                </c:pt>
                <c:pt idx="4">
                  <c:v>2017/18</c:v>
                </c:pt>
                <c:pt idx="5">
                  <c:v>2018/19</c:v>
                </c:pt>
              </c:strCache>
            </c:strRef>
          </c:cat>
          <c:val>
            <c:numRef>
              <c:extLst>
                <c:ext xmlns:c15="http://schemas.microsoft.com/office/drawing/2012/chart" uri="{02D57815-91ED-43cb-92C2-25804820EDAC}">
                  <c15:fullRef>
                    <c15:sqref>'CWP '!$F$59:$N$59</c15:sqref>
                  </c15:fullRef>
                </c:ext>
              </c:extLst>
              <c:f>'CWP '!$I$59:$N$59</c:f>
              <c:numCache>
                <c:formatCode>General</c:formatCode>
                <c:ptCount val="6"/>
                <c:pt idx="0">
                  <c:v>176679</c:v>
                </c:pt>
                <c:pt idx="1">
                  <c:v>198707</c:v>
                </c:pt>
                <c:pt idx="2">
                  <c:v>221375</c:v>
                </c:pt>
                <c:pt idx="3">
                  <c:v>107318</c:v>
                </c:pt>
                <c:pt idx="4">
                  <c:v>166264</c:v>
                </c:pt>
                <c:pt idx="5">
                  <c:v>236870</c:v>
                </c:pt>
              </c:numCache>
            </c:numRef>
          </c:val>
          <c:extLst>
            <c:ext xmlns:c16="http://schemas.microsoft.com/office/drawing/2014/chart" uri="{C3380CC4-5D6E-409C-BE32-E72D297353CC}">
              <c16:uniqueId val="{00000000-F8FC-4488-8098-66F375653A9E}"/>
            </c:ext>
          </c:extLst>
        </c:ser>
        <c:dLbls>
          <c:showLegendKey val="0"/>
          <c:showVal val="0"/>
          <c:showCatName val="0"/>
          <c:showSerName val="0"/>
          <c:showPercent val="0"/>
          <c:showBubbleSize val="0"/>
        </c:dLbls>
        <c:gapWidth val="219"/>
        <c:overlap val="-27"/>
        <c:axId val="927474096"/>
        <c:axId val="927472464"/>
      </c:barChart>
      <c:catAx>
        <c:axId val="927474096"/>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472464"/>
        <c:crosses val="autoZero"/>
        <c:auto val="1"/>
        <c:lblAlgn val="ctr"/>
        <c:lblOffset val="100"/>
        <c:noMultiLvlLbl val="0"/>
      </c:catAx>
      <c:valAx>
        <c:axId val="92747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47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[8]Inequality!$D$11</c:f>
              <c:strCache>
                <c:ptCount val="1"/>
              </c:strCache>
            </c:strRef>
          </c:tx>
          <c:spPr>
            <a:ln w="25400">
              <a:solidFill>
                <a:srgbClr val="00008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B857-48BE-B4B7-151425CC1D2D}"/>
            </c:ext>
          </c:extLst>
        </c:ser>
        <c:ser>
          <c:idx val="1"/>
          <c:order val="1"/>
          <c:tx>
            <c:strRef>
              <c:f>[8]Inequality!$D$18</c:f>
              <c:strCache>
                <c:ptCount val="1"/>
                <c:pt idx="0">
                  <c:v>Total value</c:v>
                </c:pt>
              </c:strCache>
            </c:strRef>
          </c:tx>
          <c:spPr>
            <a:ln w="25400">
              <a:solidFill>
                <a:srgbClr val="FF00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B857-48BE-B4B7-151425CC1D2D}"/>
            </c:ext>
          </c:extLst>
        </c:ser>
        <c:ser>
          <c:idx val="2"/>
          <c:order val="2"/>
          <c:tx>
            <c:strRef>
              <c:f>[8]Inequality!$D$14</c:f>
              <c:strCache>
                <c:ptCount val="1"/>
                <c:pt idx="0">
                  <c:v>Within-Race</c:v>
                </c:pt>
              </c:strCache>
            </c:strRef>
          </c:tx>
          <c:spPr>
            <a:ln w="25400">
              <a:solidFill>
                <a:srgbClr val="FFFF0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B857-48BE-B4B7-151425CC1D2D}"/>
            </c:ext>
          </c:extLst>
        </c:ser>
        <c:ser>
          <c:idx val="3"/>
          <c:order val="3"/>
          <c:tx>
            <c:strRef>
              <c:f>[8]Inequality!$D$16</c:f>
              <c:strCache>
                <c:ptCount val="1"/>
                <c:pt idx="0">
                  <c:v>Between-Race</c:v>
                </c:pt>
              </c:strCache>
            </c:strRef>
          </c:tx>
          <c:spPr>
            <a:ln w="25400">
              <a:solidFill>
                <a:srgbClr val="00FF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B857-48BE-B4B7-151425CC1D2D}"/>
            </c:ext>
          </c:extLst>
        </c:ser>
        <c:dLbls>
          <c:showLegendKey val="0"/>
          <c:showVal val="0"/>
          <c:showCatName val="0"/>
          <c:showSerName val="0"/>
          <c:showPercent val="0"/>
          <c:showBubbleSize val="0"/>
        </c:dLbls>
        <c:smooth val="0"/>
        <c:axId val="138544808"/>
        <c:axId val="138542064"/>
      </c:lineChart>
      <c:catAx>
        <c:axId val="138544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38542064"/>
        <c:crosses val="autoZero"/>
        <c:auto val="1"/>
        <c:lblAlgn val="ctr"/>
        <c:lblOffset val="100"/>
        <c:tickLblSkip val="1"/>
        <c:tickMarkSkip val="1"/>
        <c:noMultiLvlLbl val="0"/>
      </c:catAx>
      <c:valAx>
        <c:axId val="138542064"/>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385448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83553390611031908"/>
          <c:h val="0.79716104167991675"/>
        </c:manualLayout>
      </c:layout>
      <c:barChart>
        <c:barDir val="col"/>
        <c:grouping val="clustered"/>
        <c:varyColors val="0"/>
        <c:ser>
          <c:idx val="10"/>
          <c:order val="0"/>
          <c:tx>
            <c:strRef>
              <c:f>Inequality!$D$60</c:f>
              <c:strCache>
                <c:ptCount val="1"/>
                <c:pt idx="0">
                  <c:v>South Africa</c:v>
                </c:pt>
              </c:strCache>
            </c:strRef>
          </c:tx>
          <c:spPr>
            <a:solidFill>
              <a:schemeClr val="accent6"/>
            </a:solidFill>
          </c:spPr>
          <c:invertIfNegative val="0"/>
          <c:dPt>
            <c:idx val="6"/>
            <c:invertIfNegative val="0"/>
            <c:bubble3D val="0"/>
            <c:spPr>
              <a:solidFill>
                <a:schemeClr val="accent2"/>
              </a:solidFill>
            </c:spPr>
            <c:extLst>
              <c:ext xmlns:c16="http://schemas.microsoft.com/office/drawing/2014/chart" uri="{C3380CC4-5D6E-409C-BE32-E72D297353CC}">
                <c16:uniqueId val="{00000001-17F5-4A55-A42D-584DB0FB255C}"/>
              </c:ext>
            </c:extLst>
          </c:dPt>
          <c:dPt>
            <c:idx val="7"/>
            <c:invertIfNegative val="0"/>
            <c:bubble3D val="0"/>
            <c:spPr>
              <a:solidFill>
                <a:schemeClr val="accent2"/>
              </a:solidFill>
            </c:spPr>
            <c:extLst>
              <c:ext xmlns:c16="http://schemas.microsoft.com/office/drawing/2014/chart" uri="{C3380CC4-5D6E-409C-BE32-E72D297353CC}">
                <c16:uniqueId val="{00000003-17F5-4A55-A42D-584DB0FB255C}"/>
              </c:ext>
            </c:extLst>
          </c:dPt>
          <c:dPt>
            <c:idx val="8"/>
            <c:invertIfNegative val="0"/>
            <c:bubble3D val="0"/>
            <c:spPr>
              <a:solidFill>
                <a:schemeClr val="accent2"/>
              </a:solidFill>
            </c:spPr>
            <c:extLst>
              <c:ext xmlns:c16="http://schemas.microsoft.com/office/drawing/2014/chart" uri="{C3380CC4-5D6E-409C-BE32-E72D297353CC}">
                <c16:uniqueId val="{00000005-17F5-4A55-A42D-584DB0FB255C}"/>
              </c:ext>
            </c:extLst>
          </c:dPt>
          <c:dPt>
            <c:idx val="9"/>
            <c:invertIfNegative val="0"/>
            <c:bubble3D val="0"/>
            <c:spPr>
              <a:solidFill>
                <a:schemeClr val="accent2"/>
              </a:solidFill>
            </c:spPr>
            <c:extLst>
              <c:ext xmlns:c16="http://schemas.microsoft.com/office/drawing/2014/chart" uri="{C3380CC4-5D6E-409C-BE32-E72D297353CC}">
                <c16:uniqueId val="{00000007-17F5-4A55-A42D-584DB0FB255C}"/>
              </c:ext>
            </c:extLst>
          </c:dPt>
          <c:dPt>
            <c:idx val="10"/>
            <c:invertIfNegative val="0"/>
            <c:bubble3D val="0"/>
            <c:spPr>
              <a:solidFill>
                <a:schemeClr val="accent2"/>
              </a:solidFill>
            </c:spPr>
            <c:extLst>
              <c:ext xmlns:c16="http://schemas.microsoft.com/office/drawing/2014/chart" uri="{C3380CC4-5D6E-409C-BE32-E72D297353CC}">
                <c16:uniqueId val="{00000009-17F5-4A55-A42D-584DB0FB255C}"/>
              </c:ext>
            </c:extLst>
          </c:dPt>
          <c:cat>
            <c:multiLvlStrRef>
              <c:f>Inequality!$E$58:$N$59</c:f>
              <c:multiLvlStrCache>
                <c:ptCount val="10"/>
                <c:lvl>
                  <c:pt idx="0">
                    <c:v>2008</c:v>
                  </c:pt>
                  <c:pt idx="1">
                    <c:v>2010</c:v>
                  </c:pt>
                  <c:pt idx="2">
                    <c:v>2012</c:v>
                  </c:pt>
                  <c:pt idx="3">
                    <c:v>2014/15</c:v>
                  </c:pt>
                  <c:pt idx="4">
                    <c:v>2017</c:v>
                  </c:pt>
                  <c:pt idx="5">
                    <c:v>2018</c:v>
                  </c:pt>
                  <c:pt idx="6">
                    <c:v>2008</c:v>
                  </c:pt>
                  <c:pt idx="7">
                    <c:v>2010</c:v>
                  </c:pt>
                  <c:pt idx="8">
                    <c:v>2012</c:v>
                  </c:pt>
                  <c:pt idx="9">
                    <c:v>2014/15</c:v>
                  </c:pt>
                </c:lvl>
                <c:lvl>
                  <c:pt idx="0">
                    <c:v>Gini (per capita income)</c:v>
                  </c:pt>
                  <c:pt idx="6">
                    <c:v>Gini (per capita expenditure)</c:v>
                  </c:pt>
                </c:lvl>
              </c:multiLvlStrCache>
            </c:multiLvlStrRef>
          </c:cat>
          <c:val>
            <c:numRef>
              <c:f>Inequality!$E$60:$O$60</c:f>
              <c:numCache>
                <c:formatCode>0.00</c:formatCode>
                <c:ptCount val="11"/>
                <c:pt idx="0">
                  <c:v>0.7</c:v>
                </c:pt>
                <c:pt idx="1">
                  <c:v>0.68</c:v>
                </c:pt>
                <c:pt idx="2">
                  <c:v>0.67</c:v>
                </c:pt>
                <c:pt idx="3">
                  <c:v>0.65</c:v>
                </c:pt>
                <c:pt idx="4">
                  <c:v>0.67</c:v>
                </c:pt>
                <c:pt idx="6">
                  <c:v>0.7</c:v>
                </c:pt>
                <c:pt idx="7">
                  <c:v>0.71</c:v>
                </c:pt>
                <c:pt idx="8">
                  <c:v>0.67</c:v>
                </c:pt>
                <c:pt idx="9">
                  <c:v>0.67</c:v>
                </c:pt>
                <c:pt idx="10">
                  <c:v>0.68</c:v>
                </c:pt>
              </c:numCache>
            </c:numRef>
          </c:val>
          <c:extLst>
            <c:ext xmlns:c16="http://schemas.microsoft.com/office/drawing/2014/chart" uri="{C3380CC4-5D6E-409C-BE32-E72D297353CC}">
              <c16:uniqueId val="{0000000A-17F5-4A55-A42D-584DB0FB255C}"/>
            </c:ext>
          </c:extLst>
        </c:ser>
        <c:dLbls>
          <c:showLegendKey val="0"/>
          <c:showVal val="0"/>
          <c:showCatName val="0"/>
          <c:showSerName val="0"/>
          <c:showPercent val="0"/>
          <c:showBubbleSize val="0"/>
        </c:dLbls>
        <c:gapWidth val="150"/>
        <c:axId val="138546768"/>
        <c:axId val="138548728"/>
      </c:barChart>
      <c:catAx>
        <c:axId val="138546768"/>
        <c:scaling>
          <c:orientation val="minMax"/>
        </c:scaling>
        <c:delete val="0"/>
        <c:axPos val="b"/>
        <c:numFmt formatCode="General" sourceLinked="1"/>
        <c:majorTickMark val="out"/>
        <c:minorTickMark val="none"/>
        <c:tickLblPos val="nextTo"/>
        <c:crossAx val="138548728"/>
        <c:crosses val="autoZero"/>
        <c:auto val="1"/>
        <c:lblAlgn val="ctr"/>
        <c:lblOffset val="100"/>
        <c:noMultiLvlLbl val="0"/>
      </c:catAx>
      <c:valAx>
        <c:axId val="138548728"/>
        <c:scaling>
          <c:orientation val="minMax"/>
        </c:scaling>
        <c:delete val="0"/>
        <c:axPos val="l"/>
        <c:majorGridlines>
          <c:spPr>
            <a:ln>
              <a:prstDash val="dash"/>
            </a:ln>
          </c:spPr>
        </c:majorGridlines>
        <c:title>
          <c:tx>
            <c:rich>
              <a:bodyPr rot="-5400000" vert="horz" anchor="t" anchorCtr="0"/>
              <a:lstStyle/>
              <a:p>
                <a:pPr>
                  <a:defRPr/>
                </a:pPr>
                <a:r>
                  <a:rPr lang="en-US"/>
                  <a:t>Gini coefficient</a:t>
                </a:r>
              </a:p>
            </c:rich>
          </c:tx>
          <c:overlay val="0"/>
        </c:title>
        <c:numFmt formatCode="0.00" sourceLinked="1"/>
        <c:majorTickMark val="out"/>
        <c:minorTickMark val="none"/>
        <c:tickLblPos val="nextTo"/>
        <c:crossAx val="138546768"/>
        <c:crosses val="autoZero"/>
        <c:crossBetween val="between"/>
      </c:valAx>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  '!$E$6</c:f>
              <c:strCache>
                <c:ptCount val="1"/>
              </c:strCache>
            </c:strRef>
          </c:tx>
          <c:spPr>
            <a:ln w="25400">
              <a:solidFill>
                <a:srgbClr val="FF6600"/>
              </a:solidFill>
              <a:prstDash val="solid"/>
            </a:ln>
          </c:spPr>
          <c:marker>
            <c:symbol val="none"/>
          </c:marker>
          <c:cat>
            <c:strRef>
              <c:extLst>
                <c:ext xmlns:c15="http://schemas.microsoft.com/office/drawing/2012/chart" uri="{02D57815-91ED-43cb-92C2-25804820EDAC}">
                  <c15:fullRef>
                    <c15:sqref>'GDP per Capita  '!$F$7:$AE$7</c15:sqref>
                  </c15:fullRef>
                </c:ext>
              </c:extLst>
              <c:f>'GDP per Capita  '!$R$7:$AE$7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'GDP per Capita  '!$F$8:$AE$8</c15:sqref>
                  </c15:fullRef>
                </c:ext>
              </c:extLst>
              <c:f>'GDP per Capita  '!$R$8:$AE$8</c:f>
              <c:numCache>
                <c:formatCode>0.0</c:formatCode>
                <c:ptCount val="14"/>
                <c:pt idx="0">
                  <c:v>4</c:v>
                </c:pt>
                <c:pt idx="1">
                  <c:v>3.9</c:v>
                </c:pt>
                <c:pt idx="2">
                  <c:v>1.9</c:v>
                </c:pt>
                <c:pt idx="3">
                  <c:v>-2.7</c:v>
                </c:pt>
                <c:pt idx="4">
                  <c:v>1.9</c:v>
                </c:pt>
                <c:pt idx="5">
                  <c:v>2.1</c:v>
                </c:pt>
                <c:pt idx="6" formatCode="_ * #\ ##0.0_ ;_ * \-#\ ##0.0_ ;_ * &quot;-&quot;??_ ;_ @_ ">
                  <c:v>1</c:v>
                </c:pt>
                <c:pt idx="7">
                  <c:v>1.2</c:v>
                </c:pt>
                <c:pt idx="8">
                  <c:v>0.6</c:v>
                </c:pt>
                <c:pt idx="9">
                  <c:v>-0.1</c:v>
                </c:pt>
                <c:pt idx="10">
                  <c:v>-0.8</c:v>
                </c:pt>
                <c:pt idx="11">
                  <c:v>-0.1</c:v>
                </c:pt>
                <c:pt idx="12">
                  <c:v>-0.6</c:v>
                </c:pt>
                <c:pt idx="13">
                  <c:v>-1.2</c:v>
                </c:pt>
              </c:numCache>
            </c:numRef>
          </c:val>
          <c:smooth val="0"/>
          <c:extLst>
            <c:ext xmlns:c16="http://schemas.microsoft.com/office/drawing/2014/chart" uri="{C3380CC4-5D6E-409C-BE32-E72D297353CC}">
              <c16:uniqueId val="{00000000-BF6F-4FFC-8E8A-371DEF71FF82}"/>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sz="1100">
                <a:solidFill>
                  <a:sysClr val="windowText" lastClr="000000"/>
                </a:solidFill>
                <a:effectLst/>
                <a:latin typeface="+mn-lt"/>
              </a:rPr>
              <a:t>POVERTY HEADCOUNTS BASED ON THE FPL, LBPL AND UBPL (2006, 2009, 2011 AND 2015)</a:t>
            </a:r>
          </a:p>
        </c:rich>
      </c:tx>
      <c:layout>
        <c:manualLayout>
          <c:xMode val="edge"/>
          <c:yMode val="edge"/>
          <c:x val="0.1095168317357921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'Poverty Headcount'!$B$44</c:f>
              <c:strCache>
                <c:ptCount val="1"/>
                <c:pt idx="0">
                  <c:v>Percentage of the population that is UBPL poor</c:v>
                </c:pt>
              </c:strCache>
            </c:strRef>
          </c:tx>
          <c:spPr>
            <a:ln w="28575" cap="rnd">
              <a:solidFill>
                <a:schemeClr val="accent1"/>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Headcount'!$C$44:$F$44</c:f>
              <c:numCache>
                <c:formatCode>0%</c:formatCode>
                <c:ptCount val="4"/>
                <c:pt idx="0">
                  <c:v>0.66600000000000004</c:v>
                </c:pt>
                <c:pt idx="1">
                  <c:v>0.621</c:v>
                </c:pt>
                <c:pt idx="2">
                  <c:v>0.53200000000000003</c:v>
                </c:pt>
                <c:pt idx="3">
                  <c:v>0.55500000000000005</c:v>
                </c:pt>
              </c:numCache>
            </c:numRef>
          </c:val>
          <c:smooth val="0"/>
          <c:extLst>
            <c:ext xmlns:c16="http://schemas.microsoft.com/office/drawing/2014/chart" uri="{C3380CC4-5D6E-409C-BE32-E72D297353CC}">
              <c16:uniqueId val="{00000000-1375-4231-8993-B42C384A13B7}"/>
            </c:ext>
          </c:extLst>
        </c:ser>
        <c:ser>
          <c:idx val="1"/>
          <c:order val="1"/>
          <c:tx>
            <c:strRef>
              <c:f>'Poverty Headcount'!$B$45</c:f>
              <c:strCache>
                <c:ptCount val="1"/>
                <c:pt idx="0">
                  <c:v>Percentage of the population that is LBPL poor</c:v>
                </c:pt>
              </c:strCache>
            </c:strRef>
          </c:tx>
          <c:spPr>
            <a:ln w="28575" cap="rnd">
              <a:solidFill>
                <a:schemeClr val="accent2"/>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Headcount'!$C$45:$F$45</c:f>
              <c:numCache>
                <c:formatCode>0%</c:formatCode>
                <c:ptCount val="4"/>
                <c:pt idx="0">
                  <c:v>0.51</c:v>
                </c:pt>
                <c:pt idx="1">
                  <c:v>0.47599999999999998</c:v>
                </c:pt>
                <c:pt idx="2">
                  <c:v>0.36399999999999999</c:v>
                </c:pt>
                <c:pt idx="3">
                  <c:v>0.4</c:v>
                </c:pt>
              </c:numCache>
            </c:numRef>
          </c:val>
          <c:smooth val="0"/>
          <c:extLst>
            <c:ext xmlns:c16="http://schemas.microsoft.com/office/drawing/2014/chart" uri="{C3380CC4-5D6E-409C-BE32-E72D297353CC}">
              <c16:uniqueId val="{00000001-1375-4231-8993-B42C384A13B7}"/>
            </c:ext>
          </c:extLst>
        </c:ser>
        <c:ser>
          <c:idx val="2"/>
          <c:order val="2"/>
          <c:tx>
            <c:strRef>
              <c:f>'Poverty Headcount'!$B$46</c:f>
              <c:strCache>
                <c:ptCount val="1"/>
                <c:pt idx="0">
                  <c:v>Percentage of the population living in extreme poverty (below FPL)</c:v>
                </c:pt>
              </c:strCache>
            </c:strRef>
          </c:tx>
          <c:spPr>
            <a:ln w="28575" cap="rnd">
              <a:solidFill>
                <a:schemeClr val="accent3"/>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Headcount'!$C$46:$F$46</c:f>
              <c:numCache>
                <c:formatCode>0%</c:formatCode>
                <c:ptCount val="4"/>
                <c:pt idx="0">
                  <c:v>0.28399999999999997</c:v>
                </c:pt>
                <c:pt idx="1">
                  <c:v>0.33500000000000002</c:v>
                </c:pt>
                <c:pt idx="2">
                  <c:v>0.214</c:v>
                </c:pt>
                <c:pt idx="3">
                  <c:v>0.252</c:v>
                </c:pt>
              </c:numCache>
            </c:numRef>
          </c:val>
          <c:smooth val="0"/>
          <c:extLst>
            <c:ext xmlns:c16="http://schemas.microsoft.com/office/drawing/2014/chart" uri="{C3380CC4-5D6E-409C-BE32-E72D297353CC}">
              <c16:uniqueId val="{00000002-1375-4231-8993-B42C384A13B7}"/>
            </c:ext>
          </c:extLst>
        </c:ser>
        <c:dLbls>
          <c:showLegendKey val="0"/>
          <c:showVal val="0"/>
          <c:showCatName val="0"/>
          <c:showSerName val="0"/>
          <c:showPercent val="0"/>
          <c:showBubbleSize val="0"/>
        </c:dLbls>
        <c:smooth val="0"/>
        <c:axId val="138545200"/>
        <c:axId val="138545984"/>
      </c:lineChart>
      <c:catAx>
        <c:axId val="138545200"/>
        <c:scaling>
          <c:orientation val="minMax"/>
        </c:scaling>
        <c:delete val="0"/>
        <c:axPos val="b"/>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8545984"/>
        <c:crosses val="autoZero"/>
        <c:auto val="1"/>
        <c:lblAlgn val="ctr"/>
        <c:lblOffset val="100"/>
        <c:noMultiLvlLbl val="0"/>
      </c:catAx>
      <c:valAx>
        <c:axId val="1385459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8545200"/>
        <c:crosses val="autoZero"/>
        <c:crossBetween val="between"/>
      </c:valAx>
      <c:spPr>
        <a:noFill/>
        <a:ln>
          <a:noFill/>
        </a:ln>
        <a:effectLst/>
      </c:spPr>
    </c:plotArea>
    <c:legend>
      <c:legendPos val="b"/>
      <c:layout>
        <c:manualLayout>
          <c:xMode val="edge"/>
          <c:yMode val="edge"/>
          <c:x val="1.4984479412590802E-2"/>
          <c:y val="0.82291557305336838"/>
          <c:w val="0.97147170379794967"/>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'!$E$9:$E$18</c:f>
              <c:numCache>
                <c:formatCode>General</c:formatCode>
                <c:ptCount val="10"/>
                <c:pt idx="0">
                  <c:v>43.9</c:v>
                </c:pt>
                <c:pt idx="1">
                  <c:v>31</c:v>
                </c:pt>
                <c:pt idx="2">
                  <c:v>18.3</c:v>
                </c:pt>
                <c:pt idx="3">
                  <c:v>45.2</c:v>
                </c:pt>
                <c:pt idx="4">
                  <c:v>47.4</c:v>
                </c:pt>
                <c:pt idx="5">
                  <c:v>41.8</c:v>
                </c:pt>
                <c:pt idx="6">
                  <c:v>40.9</c:v>
                </c:pt>
                <c:pt idx="7">
                  <c:v>37.5</c:v>
                </c:pt>
                <c:pt idx="8">
                  <c:v>21.2</c:v>
                </c:pt>
                <c:pt idx="9">
                  <c:v>35.6</c:v>
                </c:pt>
              </c:numCache>
            </c:numRef>
          </c:val>
          <c:extLst>
            <c:ext xmlns:c16="http://schemas.microsoft.com/office/drawing/2014/chart" uri="{C3380CC4-5D6E-409C-BE32-E72D297353CC}">
              <c16:uniqueId val="{00000000-E2E1-4BA4-A48E-B0A1C351FA4A}"/>
            </c:ext>
          </c:extLst>
        </c:ser>
        <c:ser>
          <c:idx val="1"/>
          <c:order val="1"/>
          <c:tx>
            <c:v>2009</c:v>
          </c:tx>
          <c:spPr>
            <a:solidFill>
              <a:srgbClr val="F8A662"/>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'!$F$9:$F$18</c:f>
              <c:numCache>
                <c:formatCode>General</c:formatCode>
                <c:ptCount val="10"/>
                <c:pt idx="0">
                  <c:v>44.9</c:v>
                </c:pt>
                <c:pt idx="1">
                  <c:v>34.9</c:v>
                </c:pt>
                <c:pt idx="2">
                  <c:v>16.600000000000001</c:v>
                </c:pt>
                <c:pt idx="3">
                  <c:v>41.2</c:v>
                </c:pt>
                <c:pt idx="4">
                  <c:v>50.6</c:v>
                </c:pt>
                <c:pt idx="5">
                  <c:v>40.700000000000003</c:v>
                </c:pt>
                <c:pt idx="6">
                  <c:v>36.6</c:v>
                </c:pt>
                <c:pt idx="7">
                  <c:v>36</c:v>
                </c:pt>
                <c:pt idx="8">
                  <c:v>18.100000000000001</c:v>
                </c:pt>
                <c:pt idx="9">
                  <c:v>33.5</c:v>
                </c:pt>
              </c:numCache>
            </c:numRef>
          </c:val>
          <c:extLst>
            <c:ext xmlns:c16="http://schemas.microsoft.com/office/drawing/2014/chart" uri="{C3380CC4-5D6E-409C-BE32-E72D297353CC}">
              <c16:uniqueId val="{00000001-E2E1-4BA4-A48E-B0A1C351FA4A}"/>
            </c:ext>
          </c:extLst>
        </c:ser>
        <c:ser>
          <c:idx val="2"/>
          <c:order val="2"/>
          <c:tx>
            <c:v>2011</c:v>
          </c:tx>
          <c:spPr>
            <a:solidFill>
              <a:srgbClr val="E46C0A"/>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'!$G$9:$G$18</c:f>
              <c:numCache>
                <c:formatCode>General</c:formatCode>
                <c:ptCount val="10"/>
                <c:pt idx="0">
                  <c:v>35.5</c:v>
                </c:pt>
                <c:pt idx="1">
                  <c:v>23.4</c:v>
                </c:pt>
                <c:pt idx="2">
                  <c:v>12</c:v>
                </c:pt>
                <c:pt idx="3">
                  <c:v>33.4</c:v>
                </c:pt>
                <c:pt idx="4">
                  <c:v>36.799999999999997</c:v>
                </c:pt>
                <c:pt idx="5">
                  <c:v>31.1</c:v>
                </c:pt>
                <c:pt idx="6">
                  <c:v>26.4</c:v>
                </c:pt>
                <c:pt idx="7">
                  <c:v>29.6</c:v>
                </c:pt>
                <c:pt idx="8">
                  <c:v>12.5</c:v>
                </c:pt>
                <c:pt idx="9">
                  <c:v>25.5</c:v>
                </c:pt>
              </c:numCache>
            </c:numRef>
          </c:val>
          <c:extLst>
            <c:ext xmlns:c16="http://schemas.microsoft.com/office/drawing/2014/chart" uri="{C3380CC4-5D6E-409C-BE32-E72D297353CC}">
              <c16:uniqueId val="{00000002-E2E1-4BA4-A48E-B0A1C351FA4A}"/>
            </c:ext>
          </c:extLst>
        </c:ser>
        <c:ser>
          <c:idx val="3"/>
          <c:order val="3"/>
          <c:tx>
            <c:strRef>
              <c:f>'Poverty Gap indices  '!$H$8</c:f>
              <c:strCache>
                <c:ptCount val="1"/>
                <c:pt idx="0">
                  <c:v>2015</c:v>
                </c:pt>
              </c:strCache>
            </c:strRef>
          </c:tx>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'!$H$9:$H$18</c:f>
              <c:numCache>
                <c:formatCode>General</c:formatCode>
                <c:ptCount val="10"/>
                <c:pt idx="0">
                  <c:v>41.3</c:v>
                </c:pt>
                <c:pt idx="1">
                  <c:v>25.1</c:v>
                </c:pt>
                <c:pt idx="2">
                  <c:v>13.2</c:v>
                </c:pt>
                <c:pt idx="3">
                  <c:v>36.1</c:v>
                </c:pt>
                <c:pt idx="4">
                  <c:v>40.299999999999997</c:v>
                </c:pt>
                <c:pt idx="5">
                  <c:v>29</c:v>
                </c:pt>
                <c:pt idx="6">
                  <c:v>28</c:v>
                </c:pt>
                <c:pt idx="7">
                  <c:v>32.200000000000003</c:v>
                </c:pt>
                <c:pt idx="8">
                  <c:v>14.7</c:v>
                </c:pt>
                <c:pt idx="9">
                  <c:v>27.7</c:v>
                </c:pt>
              </c:numCache>
            </c:numRef>
          </c:val>
          <c:extLst>
            <c:ext xmlns:c16="http://schemas.microsoft.com/office/drawing/2014/chart" uri="{C3380CC4-5D6E-409C-BE32-E72D297353CC}">
              <c16:uniqueId val="{00000003-E2E1-4BA4-A48E-B0A1C351FA4A}"/>
            </c:ext>
          </c:extLst>
        </c:ser>
        <c:dLbls>
          <c:showLegendKey val="0"/>
          <c:showVal val="0"/>
          <c:showCatName val="0"/>
          <c:showSerName val="0"/>
          <c:showPercent val="0"/>
          <c:showBubbleSize val="0"/>
        </c:dLbls>
        <c:gapWidth val="150"/>
        <c:axId val="138541280"/>
        <c:axId val="138546376"/>
      </c:barChart>
      <c:catAx>
        <c:axId val="138541280"/>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138546376"/>
        <c:crosses val="autoZero"/>
        <c:auto val="1"/>
        <c:lblAlgn val="ctr"/>
        <c:lblOffset val="100"/>
        <c:noMultiLvlLbl val="0"/>
      </c:catAx>
      <c:valAx>
        <c:axId val="138546376"/>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1385412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'!$L$9:$L$18</c:f>
              <c:numCache>
                <c:formatCode>General</c:formatCode>
                <c:ptCount val="10"/>
                <c:pt idx="0">
                  <c:v>28.4</c:v>
                </c:pt>
                <c:pt idx="1">
                  <c:v>18.2</c:v>
                </c:pt>
                <c:pt idx="2">
                  <c:v>9.6</c:v>
                </c:pt>
                <c:pt idx="3">
                  <c:v>30.3</c:v>
                </c:pt>
                <c:pt idx="4">
                  <c:v>31</c:v>
                </c:pt>
                <c:pt idx="5">
                  <c:v>26.9</c:v>
                </c:pt>
                <c:pt idx="6">
                  <c:v>26.2</c:v>
                </c:pt>
                <c:pt idx="7">
                  <c:v>23.7</c:v>
                </c:pt>
                <c:pt idx="8">
                  <c:v>11.7</c:v>
                </c:pt>
                <c:pt idx="9">
                  <c:v>22.5</c:v>
                </c:pt>
              </c:numCache>
            </c:numRef>
          </c:val>
          <c:extLst>
            <c:ext xmlns:c16="http://schemas.microsoft.com/office/drawing/2014/chart" uri="{C3380CC4-5D6E-409C-BE32-E72D297353CC}">
              <c16:uniqueId val="{00000000-10E4-46A3-A39B-C1A8184B0682}"/>
            </c:ext>
          </c:extLst>
        </c:ser>
        <c:ser>
          <c:idx val="1"/>
          <c:order val="1"/>
          <c:tx>
            <c:v>2009</c:v>
          </c:tx>
          <c:spPr>
            <a:solidFill>
              <a:srgbClr val="F8A662"/>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'!$M$9:$M$18</c:f>
              <c:numCache>
                <c:formatCode>General</c:formatCode>
                <c:ptCount val="10"/>
                <c:pt idx="0">
                  <c:v>29.6</c:v>
                </c:pt>
                <c:pt idx="1">
                  <c:v>21</c:v>
                </c:pt>
                <c:pt idx="2">
                  <c:v>9.1</c:v>
                </c:pt>
                <c:pt idx="3">
                  <c:v>27.1</c:v>
                </c:pt>
                <c:pt idx="4">
                  <c:v>34.700000000000003</c:v>
                </c:pt>
                <c:pt idx="5">
                  <c:v>26.4</c:v>
                </c:pt>
                <c:pt idx="6">
                  <c:v>22.6</c:v>
                </c:pt>
                <c:pt idx="7">
                  <c:v>22.5</c:v>
                </c:pt>
                <c:pt idx="8">
                  <c:v>9.9</c:v>
                </c:pt>
                <c:pt idx="9">
                  <c:v>21.3</c:v>
                </c:pt>
              </c:numCache>
            </c:numRef>
          </c:val>
          <c:extLst>
            <c:ext xmlns:c16="http://schemas.microsoft.com/office/drawing/2014/chart" uri="{C3380CC4-5D6E-409C-BE32-E72D297353CC}">
              <c16:uniqueId val="{00000001-10E4-46A3-A39B-C1A8184B0682}"/>
            </c:ext>
          </c:extLst>
        </c:ser>
        <c:ser>
          <c:idx val="2"/>
          <c:order val="2"/>
          <c:tx>
            <c:v>2011</c:v>
          </c:tx>
          <c:spPr>
            <a:solidFill>
              <a:srgbClr val="E46C0A"/>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'!$N$9:$N$18</c:f>
              <c:numCache>
                <c:formatCode>General</c:formatCode>
                <c:ptCount val="10"/>
                <c:pt idx="0">
                  <c:v>21.6</c:v>
                </c:pt>
                <c:pt idx="1">
                  <c:v>13.4</c:v>
                </c:pt>
                <c:pt idx="2">
                  <c:v>6.4</c:v>
                </c:pt>
                <c:pt idx="3">
                  <c:v>20.399999999999999</c:v>
                </c:pt>
                <c:pt idx="4">
                  <c:v>23</c:v>
                </c:pt>
                <c:pt idx="5">
                  <c:v>18</c:v>
                </c:pt>
                <c:pt idx="6">
                  <c:v>14.9</c:v>
                </c:pt>
                <c:pt idx="7">
                  <c:v>17.8</c:v>
                </c:pt>
                <c:pt idx="8">
                  <c:v>6.2</c:v>
                </c:pt>
                <c:pt idx="9">
                  <c:v>15</c:v>
                </c:pt>
              </c:numCache>
            </c:numRef>
          </c:val>
          <c:extLst>
            <c:ext xmlns:c16="http://schemas.microsoft.com/office/drawing/2014/chart" uri="{C3380CC4-5D6E-409C-BE32-E72D297353CC}">
              <c16:uniqueId val="{00000002-10E4-46A3-A39B-C1A8184B0682}"/>
            </c:ext>
          </c:extLst>
        </c:ser>
        <c:ser>
          <c:idx val="3"/>
          <c:order val="3"/>
          <c:tx>
            <c:strRef>
              <c:f>'Poverty Gap indices  '!$O$8</c:f>
              <c:strCache>
                <c:ptCount val="1"/>
                <c:pt idx="0">
                  <c:v>2015</c:v>
                </c:pt>
              </c:strCache>
            </c:strRef>
          </c:tx>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'!$O$9:$O$18</c:f>
              <c:numCache>
                <c:formatCode>General</c:formatCode>
                <c:ptCount val="10"/>
                <c:pt idx="0">
                  <c:v>27.1</c:v>
                </c:pt>
                <c:pt idx="1">
                  <c:v>14.2</c:v>
                </c:pt>
                <c:pt idx="2">
                  <c:v>6.9</c:v>
                </c:pt>
                <c:pt idx="3">
                  <c:v>22.7</c:v>
                </c:pt>
                <c:pt idx="4">
                  <c:v>26.4</c:v>
                </c:pt>
                <c:pt idx="5">
                  <c:v>17.3</c:v>
                </c:pt>
                <c:pt idx="6">
                  <c:v>16.5</c:v>
                </c:pt>
                <c:pt idx="7">
                  <c:v>19.8</c:v>
                </c:pt>
                <c:pt idx="8">
                  <c:v>7.6</c:v>
                </c:pt>
                <c:pt idx="9">
                  <c:v>17</c:v>
                </c:pt>
              </c:numCache>
            </c:numRef>
          </c:val>
          <c:extLst>
            <c:ext xmlns:c16="http://schemas.microsoft.com/office/drawing/2014/chart" uri="{C3380CC4-5D6E-409C-BE32-E72D297353CC}">
              <c16:uniqueId val="{00000003-10E4-46A3-A39B-C1A8184B0682}"/>
            </c:ext>
          </c:extLst>
        </c:ser>
        <c:dLbls>
          <c:showLegendKey val="0"/>
          <c:showVal val="0"/>
          <c:showCatName val="0"/>
          <c:showSerName val="0"/>
          <c:showPercent val="0"/>
          <c:showBubbleSize val="0"/>
        </c:dLbls>
        <c:gapWidth val="150"/>
        <c:axId val="138542848"/>
        <c:axId val="138543632"/>
      </c:barChart>
      <c:catAx>
        <c:axId val="138542848"/>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138543632"/>
        <c:crosses val="autoZero"/>
        <c:auto val="1"/>
        <c:lblAlgn val="ctr"/>
        <c:lblOffset val="100"/>
        <c:noMultiLvlLbl val="0"/>
      </c:catAx>
      <c:valAx>
        <c:axId val="13854363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1385428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[9]Grants!$B$51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94D2-4B63-9DFE-1EDE2413DCFC}"/>
            </c:ext>
          </c:extLst>
        </c:ser>
        <c:ser>
          <c:idx val="0"/>
          <c:order val="1"/>
          <c:tx>
            <c:strRef>
              <c:f>[9]Grants!$B$52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94D2-4B63-9DFE-1EDE2413DCFC}"/>
            </c:ext>
          </c:extLst>
        </c:ser>
        <c:ser>
          <c:idx val="5"/>
          <c:order val="2"/>
          <c:tx>
            <c:strRef>
              <c:f>[9]Grants!$B$53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94D2-4B63-9DFE-1EDE2413DCFC}"/>
            </c:ext>
          </c:extLst>
        </c:ser>
        <c:ser>
          <c:idx val="6"/>
          <c:order val="3"/>
          <c:tx>
            <c:strRef>
              <c:f>[9]Grants!$B$54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94D2-4B63-9DFE-1EDE2413DCFC}"/>
            </c:ext>
          </c:extLst>
        </c:ser>
        <c:dLbls>
          <c:showLegendKey val="0"/>
          <c:showVal val="0"/>
          <c:showCatName val="0"/>
          <c:showSerName val="0"/>
          <c:showPercent val="0"/>
          <c:showBubbleSize val="0"/>
        </c:dLbls>
        <c:marker val="1"/>
        <c:smooth val="0"/>
        <c:axId val="158348160"/>
        <c:axId val="158347376"/>
      </c:lineChart>
      <c:lineChart>
        <c:grouping val="standard"/>
        <c:varyColors val="0"/>
        <c:ser>
          <c:idx val="2"/>
          <c:order val="4"/>
          <c:tx>
            <c:strRef>
              <c:f>[9]Grants!$B$55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94D2-4B63-9DFE-1EDE2413DCFC}"/>
            </c:ext>
          </c:extLst>
        </c:ser>
        <c:ser>
          <c:idx val="3"/>
          <c:order val="5"/>
          <c:tx>
            <c:strRef>
              <c:f>[9]Grants!$B$56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94D2-4B63-9DFE-1EDE2413DCFC}"/>
            </c:ext>
          </c:extLst>
        </c:ser>
        <c:ser>
          <c:idx val="4"/>
          <c:order val="6"/>
          <c:tx>
            <c:strRef>
              <c:f>[9]Grants!$B$57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94D2-4B63-9DFE-1EDE2413DCFC}"/>
            </c:ext>
          </c:extLst>
        </c:ser>
        <c:dLbls>
          <c:showLegendKey val="0"/>
          <c:showVal val="0"/>
          <c:showCatName val="0"/>
          <c:showSerName val="0"/>
          <c:showPercent val="0"/>
          <c:showBubbleSize val="0"/>
        </c:dLbls>
        <c:marker val="1"/>
        <c:smooth val="0"/>
        <c:axId val="158341496"/>
        <c:axId val="158347768"/>
      </c:lineChart>
      <c:catAx>
        <c:axId val="158348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8347376"/>
        <c:crosses val="autoZero"/>
        <c:auto val="0"/>
        <c:lblAlgn val="ctr"/>
        <c:lblOffset val="100"/>
        <c:tickLblSkip val="1"/>
        <c:tickMarkSkip val="1"/>
        <c:noMultiLvlLbl val="0"/>
      </c:catAx>
      <c:valAx>
        <c:axId val="1583473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8348160"/>
        <c:crosses val="autoZero"/>
        <c:crossBetween val="between"/>
      </c:valAx>
      <c:catAx>
        <c:axId val="158341496"/>
        <c:scaling>
          <c:orientation val="minMax"/>
        </c:scaling>
        <c:delete val="1"/>
        <c:axPos val="b"/>
        <c:numFmt formatCode="General" sourceLinked="1"/>
        <c:majorTickMark val="out"/>
        <c:minorTickMark val="none"/>
        <c:tickLblPos val="nextTo"/>
        <c:crossAx val="158347768"/>
        <c:crosses val="autoZero"/>
        <c:auto val="0"/>
        <c:lblAlgn val="ctr"/>
        <c:lblOffset val="100"/>
        <c:noMultiLvlLbl val="0"/>
      </c:catAx>
      <c:valAx>
        <c:axId val="15834776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834149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[10]Grants!$K$49</c:f>
              <c:strCache>
                <c:ptCount val="1"/>
                <c:pt idx="0">
                  <c:v>Expenditure (R million)</c:v>
                </c:pt>
              </c:strCache>
            </c:strRef>
          </c:tx>
          <c:spPr>
            <a:solidFill>
              <a:schemeClr val="accent2"/>
            </a:solidFill>
            <a:ln>
              <a:noFill/>
            </a:ln>
            <a:effectLst/>
          </c:spPr>
          <c:invertIfNegative val="0"/>
          <c:cat>
            <c:strRef>
              <c:f>[10]Grants!$L$48:$AA$48</c:f>
              <c:strCache>
                <c:ptCount val="16"/>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pt idx="15">
                  <c:v>2018/19</c:v>
                </c:pt>
              </c:strCache>
            </c:strRef>
          </c:cat>
          <c:val>
            <c:numRef>
              <c:f>[10]Grants!$L$49:$AA$49</c:f>
              <c:numCache>
                <c:formatCode>General</c:formatCode>
                <c:ptCount val="16"/>
                <c:pt idx="0">
                  <c:v>36982</c:v>
                </c:pt>
                <c:pt idx="1">
                  <c:v>44885</c:v>
                </c:pt>
                <c:pt idx="2">
                  <c:v>50708</c:v>
                </c:pt>
                <c:pt idx="3">
                  <c:v>57032</c:v>
                </c:pt>
                <c:pt idx="4">
                  <c:v>62467</c:v>
                </c:pt>
                <c:pt idx="5">
                  <c:v>70715</c:v>
                </c:pt>
                <c:pt idx="6">
                  <c:v>80080</c:v>
                </c:pt>
                <c:pt idx="7">
                  <c:v>87493</c:v>
                </c:pt>
                <c:pt idx="8">
                  <c:v>95973</c:v>
                </c:pt>
                <c:pt idx="9">
                  <c:v>103899</c:v>
                </c:pt>
                <c:pt idx="10">
                  <c:v>109597</c:v>
                </c:pt>
                <c:pt idx="11">
                  <c:v>120702</c:v>
                </c:pt>
                <c:pt idx="12">
                  <c:v>128868</c:v>
                </c:pt>
                <c:pt idx="13">
                  <c:v>164936</c:v>
                </c:pt>
                <c:pt idx="14">
                  <c:v>178330</c:v>
                </c:pt>
                <c:pt idx="15">
                  <c:v>192714</c:v>
                </c:pt>
              </c:numCache>
            </c:numRef>
          </c:val>
          <c:extLst>
            <c:ext xmlns:c16="http://schemas.microsoft.com/office/drawing/2014/chart" uri="{C3380CC4-5D6E-409C-BE32-E72D297353CC}">
              <c16:uniqueId val="{00000000-44C3-4479-9C58-13AFC7CC9436}"/>
            </c:ext>
          </c:extLst>
        </c:ser>
        <c:dLbls>
          <c:showLegendKey val="0"/>
          <c:showVal val="0"/>
          <c:showCatName val="0"/>
          <c:showSerName val="0"/>
          <c:showPercent val="0"/>
          <c:showBubbleSize val="0"/>
        </c:dLbls>
        <c:gapWidth val="219"/>
        <c:overlap val="-27"/>
        <c:axId val="158343456"/>
        <c:axId val="158342672"/>
      </c:barChart>
      <c:lineChart>
        <c:grouping val="standard"/>
        <c:varyColors val="0"/>
        <c:ser>
          <c:idx val="1"/>
          <c:order val="1"/>
          <c:tx>
            <c:strRef>
              <c:f>[10]Grants!$K$50</c:f>
              <c:strCache>
                <c:ptCount val="1"/>
                <c:pt idx="0">
                  <c:v>% of GDP</c:v>
                </c:pt>
              </c:strCache>
            </c:strRef>
          </c:tx>
          <c:spPr>
            <a:ln w="28575" cap="rnd">
              <a:solidFill>
                <a:schemeClr val="accent4">
                  <a:lumMod val="50000"/>
                </a:schemeClr>
              </a:solidFill>
              <a:round/>
            </a:ln>
            <a:effectLst/>
          </c:spPr>
          <c:marker>
            <c:symbol val="none"/>
          </c:marker>
          <c:cat>
            <c:strRef>
              <c:f>[10]Grants!$L$48:$AA$48</c:f>
              <c:strCache>
                <c:ptCount val="16"/>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pt idx="15">
                  <c:v>2018/19</c:v>
                </c:pt>
              </c:strCache>
            </c:strRef>
          </c:cat>
          <c:val>
            <c:numRef>
              <c:f>[10]Grants!$L$50:$AA$50</c:f>
              <c:numCache>
                <c:formatCode>General</c:formatCode>
                <c:ptCount val="16"/>
                <c:pt idx="0">
                  <c:v>2.9000000000000001E-2</c:v>
                </c:pt>
                <c:pt idx="1">
                  <c:v>3.1E-2</c:v>
                </c:pt>
                <c:pt idx="2">
                  <c:v>3.2000000000000001E-2</c:v>
                </c:pt>
                <c:pt idx="3">
                  <c:v>3.3000000000000002E-2</c:v>
                </c:pt>
                <c:pt idx="4">
                  <c:v>3.2000000000000001E-2</c:v>
                </c:pt>
                <c:pt idx="5">
                  <c:v>3.3000000000000002E-2</c:v>
                </c:pt>
                <c:pt idx="6">
                  <c:v>3.5000000000000003E-2</c:v>
                </c:pt>
                <c:pt idx="7">
                  <c:v>3.4000000000000002E-2</c:v>
                </c:pt>
                <c:pt idx="8">
                  <c:v>3.1E-2</c:v>
                </c:pt>
                <c:pt idx="9">
                  <c:v>3.1E-2</c:v>
                </c:pt>
                <c:pt idx="10">
                  <c:v>0.03</c:v>
                </c:pt>
                <c:pt idx="11">
                  <c:v>3.1E-2</c:v>
                </c:pt>
                <c:pt idx="12">
                  <c:v>3.2000000000000001E-2</c:v>
                </c:pt>
                <c:pt idx="13">
                  <c:v>3.1E-2</c:v>
                </c:pt>
                <c:pt idx="14">
                  <c:v>3.2000000000000001E-2</c:v>
                </c:pt>
                <c:pt idx="15">
                  <c:v>3.2000000000000001E-2</c:v>
                </c:pt>
              </c:numCache>
            </c:numRef>
          </c:val>
          <c:smooth val="0"/>
          <c:extLst>
            <c:ext xmlns:c16="http://schemas.microsoft.com/office/drawing/2014/chart" uri="{C3380CC4-5D6E-409C-BE32-E72D297353CC}">
              <c16:uniqueId val="{00000001-44C3-4479-9C58-13AFC7CC9436}"/>
            </c:ext>
          </c:extLst>
        </c:ser>
        <c:dLbls>
          <c:showLegendKey val="0"/>
          <c:showVal val="0"/>
          <c:showCatName val="0"/>
          <c:showSerName val="0"/>
          <c:showPercent val="0"/>
          <c:showBubbleSize val="0"/>
        </c:dLbls>
        <c:marker val="1"/>
        <c:smooth val="0"/>
        <c:axId val="158341888"/>
        <c:axId val="158343064"/>
      </c:lineChart>
      <c:catAx>
        <c:axId val="158343456"/>
        <c:scaling>
          <c:orientation val="minMax"/>
        </c:scaling>
        <c:delete val="0"/>
        <c:axPos val="b"/>
        <c:numFmt formatCode="General" sourceLinked="1"/>
        <c:majorTickMark val="none"/>
        <c:minorTickMark val="none"/>
        <c:tickLblPos val="nextTo"/>
        <c:spPr>
          <a:noFill/>
          <a:ln w="12700" cap="flat" cmpd="sng" algn="ctr">
            <a:solidFill>
              <a:schemeClr val="accent4">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342672"/>
        <c:crosses val="autoZero"/>
        <c:auto val="1"/>
        <c:lblAlgn val="ctr"/>
        <c:lblOffset val="100"/>
        <c:noMultiLvlLbl val="0"/>
      </c:catAx>
      <c:valAx>
        <c:axId val="15834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r>
                  <a:rPr lang="en-US" baseline="0"/>
                  <a:t> (R million)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343456"/>
        <c:crosses val="autoZero"/>
        <c:crossBetween val="between"/>
      </c:valAx>
      <c:valAx>
        <c:axId val="1583430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GDP</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341888"/>
        <c:crosses val="max"/>
        <c:crossBetween val="between"/>
      </c:valAx>
      <c:catAx>
        <c:axId val="158341888"/>
        <c:scaling>
          <c:orientation val="minMax"/>
        </c:scaling>
        <c:delete val="1"/>
        <c:axPos val="b"/>
        <c:numFmt formatCode="General" sourceLinked="1"/>
        <c:majorTickMark val="out"/>
        <c:minorTickMark val="none"/>
        <c:tickLblPos val="nextTo"/>
        <c:crossAx val="1583430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'Water '!$E$20</c:f>
              <c:strCache>
                <c:ptCount val="1"/>
                <c:pt idx="0">
                  <c:v>Number of households with access to piped water by province</c:v>
                </c:pt>
              </c:strCache>
            </c:strRef>
          </c:tx>
          <c:invertIfNegative val="0"/>
          <c:cat>
            <c:numRef>
              <c:extLst>
                <c:ext xmlns:c15="http://schemas.microsoft.com/office/drawing/2012/chart" uri="{02D57815-91ED-43cb-92C2-25804820EDAC}">
                  <c15:fullRef>
                    <c15:sqref>'Water '!$F$8:$W$8</c15:sqref>
                  </c15:fullRef>
                </c:ext>
              </c:extLst>
              <c:f>'Water '!$H$8:$W$8</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'Water '!$F$31:$W$31</c15:sqref>
                  </c15:fullRef>
                </c:ext>
              </c:extLst>
              <c:f>'Water '!$H$31:$W$31</c:f>
              <c:numCache>
                <c:formatCode>#\ ###\ ##0</c:formatCode>
                <c:ptCount val="16"/>
                <c:pt idx="0">
                  <c:v>10130751</c:v>
                </c:pt>
                <c:pt idx="1">
                  <c:v>10528949</c:v>
                </c:pt>
                <c:pt idx="2">
                  <c:v>10867028</c:v>
                </c:pt>
                <c:pt idx="3">
                  <c:v>11199235</c:v>
                </c:pt>
                <c:pt idx="4">
                  <c:v>11373350</c:v>
                </c:pt>
                <c:pt idx="5">
                  <c:v>11764378</c:v>
                </c:pt>
                <c:pt idx="6">
                  <c:v>12107470</c:v>
                </c:pt>
                <c:pt idx="7">
                  <c:v>12456665</c:v>
                </c:pt>
                <c:pt idx="8">
                  <c:v>12858807</c:v>
                </c:pt>
                <c:pt idx="9">
                  <c:v>13054895</c:v>
                </c:pt>
                <c:pt idx="10">
                  <c:v>13423898</c:v>
                </c:pt>
                <c:pt idx="11">
                  <c:v>13722925</c:v>
                </c:pt>
                <c:pt idx="12">
                  <c:v>14009226</c:v>
                </c:pt>
                <c:pt idx="13">
                  <c:v>14355396</c:v>
                </c:pt>
                <c:pt idx="14">
                  <c:v>14838209.8079565</c:v>
                </c:pt>
                <c:pt idx="15">
                  <c:v>15134384.371621201</c:v>
                </c:pt>
              </c:numCache>
            </c:numRef>
          </c:val>
          <c:extLst>
            <c:ext xmlns:c16="http://schemas.microsoft.com/office/drawing/2014/chart" uri="{C3380CC4-5D6E-409C-BE32-E72D297353CC}">
              <c16:uniqueId val="{00000000-1BC1-4A24-A376-9C0313BC0E59}"/>
            </c:ext>
          </c:extLst>
        </c:ser>
        <c:dLbls>
          <c:showLegendKey val="0"/>
          <c:showVal val="0"/>
          <c:showCatName val="0"/>
          <c:showSerName val="0"/>
          <c:showPercent val="0"/>
          <c:showBubbleSize val="0"/>
        </c:dLbls>
        <c:gapWidth val="150"/>
        <c:axId val="268289872"/>
        <c:axId val="268282032"/>
      </c:barChart>
      <c:lineChart>
        <c:grouping val="standard"/>
        <c:varyColors val="0"/>
        <c:ser>
          <c:idx val="0"/>
          <c:order val="0"/>
          <c:tx>
            <c:strRef>
              <c:f>'Water '!$D$54</c:f>
              <c:strCache>
                <c:ptCount val="1"/>
                <c:pt idx="0">
                  <c:v>Percentage of households with access to piped water</c:v>
                </c:pt>
              </c:strCache>
            </c:strRef>
          </c:tx>
          <c:spPr>
            <a:ln w="19050">
              <a:solidFill>
                <a:schemeClr val="accent2">
                  <a:lumMod val="50000"/>
                </a:schemeClr>
              </a:solidFill>
            </a:ln>
          </c:spPr>
          <c:marker>
            <c:symbol val="none"/>
          </c:marker>
          <c:cat>
            <c:numRef>
              <c:extLst>
                <c:ext xmlns:c15="http://schemas.microsoft.com/office/drawing/2012/chart" uri="{02D57815-91ED-43cb-92C2-25804820EDAC}">
                  <c15:fullRef>
                    <c15:sqref>'Water '!$F$8:$W$8</c15:sqref>
                  </c15:fullRef>
                </c:ext>
              </c:extLst>
              <c:f>'Water '!$H$8:$W$8</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'Water '!$F$18:$W$18</c15:sqref>
                  </c15:fullRef>
                </c:ext>
              </c:extLst>
              <c:f>'Water '!$H$18:$W$18</c:f>
              <c:numCache>
                <c:formatCode>#\ ###\ ##0</c:formatCode>
                <c:ptCount val="16"/>
                <c:pt idx="0">
                  <c:v>86.5</c:v>
                </c:pt>
                <c:pt idx="1">
                  <c:v>87.9</c:v>
                </c:pt>
                <c:pt idx="2">
                  <c:v>88.8</c:v>
                </c:pt>
                <c:pt idx="3">
                  <c:v>89.4</c:v>
                </c:pt>
                <c:pt idx="4">
                  <c:v>88.7</c:v>
                </c:pt>
                <c:pt idx="5">
                  <c:v>89.6</c:v>
                </c:pt>
                <c:pt idx="6">
                  <c:v>90</c:v>
                </c:pt>
                <c:pt idx="7">
                  <c:v>90.3</c:v>
                </c:pt>
                <c:pt idx="8">
                  <c:v>90.9</c:v>
                </c:pt>
                <c:pt idx="9">
                  <c:v>89.9</c:v>
                </c:pt>
                <c:pt idx="10">
                  <c:v>90.1</c:v>
                </c:pt>
                <c:pt idx="11">
                  <c:v>89.6</c:v>
                </c:pt>
                <c:pt idx="12">
                  <c:v>89</c:v>
                </c:pt>
                <c:pt idx="13">
                  <c:v>88.6</c:v>
                </c:pt>
                <c:pt idx="14">
                  <c:v>89.006898399999983</c:v>
                </c:pt>
                <c:pt idx="15">
                  <c:v>88.180382975544589</c:v>
                </c:pt>
              </c:numCache>
            </c:numRef>
          </c:val>
          <c:smooth val="1"/>
          <c:extLst>
            <c:ext xmlns:c16="http://schemas.microsoft.com/office/drawing/2014/chart" uri="{C3380CC4-5D6E-409C-BE32-E72D297353CC}">
              <c16:uniqueId val="{00000001-1BC1-4A24-A376-9C0313BC0E59}"/>
            </c:ext>
          </c:extLst>
        </c:ser>
        <c:dLbls>
          <c:showLegendKey val="0"/>
          <c:showVal val="0"/>
          <c:showCatName val="0"/>
          <c:showSerName val="0"/>
          <c:showPercent val="0"/>
          <c:showBubbleSize val="0"/>
        </c:dLbls>
        <c:marker val="1"/>
        <c:smooth val="0"/>
        <c:axId val="653656288"/>
        <c:axId val="653654648"/>
      </c:line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out"/>
        <c:minorTickMark val="none"/>
        <c:tickLblPos val="nextTo"/>
        <c:spPr>
          <a:ln w="9525">
            <a:solidFill>
              <a:schemeClr val="tx1">
                <a:lumMod val="50000"/>
                <a:lumOff val="50000"/>
              </a:schemeClr>
            </a:solidFill>
          </a:ln>
        </c:spPr>
        <c:txPr>
          <a:bodyPr/>
          <a:lstStyle/>
          <a:p>
            <a:pPr>
              <a:defRPr lang="en-ZA"/>
            </a:pPr>
            <a:endParaRPr lang="en-US"/>
          </a:p>
        </c:txPr>
        <c:crossAx val="268289872"/>
        <c:crosses val="autoZero"/>
        <c:crossBetween val="between"/>
      </c:valAx>
      <c:valAx>
        <c:axId val="653654648"/>
        <c:scaling>
          <c:orientation val="minMax"/>
        </c:scaling>
        <c:delete val="0"/>
        <c:axPos val="r"/>
        <c:numFmt formatCode="#\ ###\ ##0" sourceLinked="1"/>
        <c:majorTickMark val="out"/>
        <c:minorTickMark val="none"/>
        <c:tickLblPos val="nextTo"/>
        <c:crossAx val="653656288"/>
        <c:crosses val="max"/>
        <c:crossBetween val="between"/>
      </c:valAx>
      <c:catAx>
        <c:axId val="653656288"/>
        <c:scaling>
          <c:orientation val="minMax"/>
        </c:scaling>
        <c:delete val="1"/>
        <c:axPos val="b"/>
        <c:numFmt formatCode="General" sourceLinked="1"/>
        <c:majorTickMark val="out"/>
        <c:minorTickMark val="none"/>
        <c:tickLblPos val="nextTo"/>
        <c:crossAx val="653654648"/>
        <c:crosses val="autoZero"/>
        <c:auto val="1"/>
        <c:lblAlgn val="ctr"/>
        <c:lblOffset val="100"/>
        <c:noMultiLvlLbl val="0"/>
      </c:cat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Water!#REF!</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Total number of Households (HH)</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0-C9F6-4F9C-B672-2C32B78C1371}"/>
            </c:ext>
          </c:extLst>
        </c:ser>
        <c:ser>
          <c:idx val="1"/>
          <c:order val="1"/>
          <c:invertIfNegative val="0"/>
          <c:val>
            <c:numRef>
              <c:f>Water!#REF!</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HH with access to water infrastructure &gt; or = to RDP standards</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1-C9F6-4F9C-B672-2C32B78C1371}"/>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Sanitation!$E$20</c:f>
              <c:strCache>
                <c:ptCount val="1"/>
                <c:pt idx="0">
                  <c:v>Number of  households with access to improved sanitation facilities by province</c:v>
                </c:pt>
              </c:strCache>
            </c:strRef>
          </c:tx>
          <c:invertIfNegative val="0"/>
          <c:cat>
            <c:numRef>
              <c:extLst>
                <c:ext xmlns:c15="http://schemas.microsoft.com/office/drawing/2012/chart" uri="{02D57815-91ED-43cb-92C2-25804820EDAC}">
                  <c15:fullRef>
                    <c15:sqref>Sanitation!$F$8:$W$8</c15:sqref>
                  </c15:fullRef>
                </c:ext>
              </c:extLst>
              <c:f>Sanitation!$H$8:$W$8</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Sanitation!$F$31:$W$31</c15:sqref>
                  </c15:fullRef>
                </c:ext>
              </c:extLst>
              <c:f>Sanitation!$H$31:$W$31</c:f>
              <c:numCache>
                <c:formatCode>#\ ###\ ##0</c:formatCode>
                <c:ptCount val="16"/>
                <c:pt idx="0">
                  <c:v>7719773</c:v>
                </c:pt>
                <c:pt idx="1">
                  <c:v>7982819</c:v>
                </c:pt>
                <c:pt idx="2">
                  <c:v>8356419</c:v>
                </c:pt>
                <c:pt idx="3">
                  <c:v>8746642</c:v>
                </c:pt>
                <c:pt idx="4">
                  <c:v>8927869</c:v>
                </c:pt>
                <c:pt idx="5">
                  <c:v>9506974</c:v>
                </c:pt>
                <c:pt idx="6">
                  <c:v>9815750</c:v>
                </c:pt>
                <c:pt idx="7">
                  <c:v>10328192</c:v>
                </c:pt>
                <c:pt idx="8">
                  <c:v>10692591</c:v>
                </c:pt>
                <c:pt idx="9">
                  <c:v>11268669</c:v>
                </c:pt>
                <c:pt idx="10">
                  <c:v>11813269</c:v>
                </c:pt>
                <c:pt idx="11">
                  <c:v>12205646</c:v>
                </c:pt>
                <c:pt idx="12">
                  <c:v>12715932</c:v>
                </c:pt>
                <c:pt idx="13">
                  <c:v>13326324.561985899</c:v>
                </c:pt>
                <c:pt idx="14">
                  <c:v>13797953.7720547</c:v>
                </c:pt>
                <c:pt idx="15">
                  <c:v>14080054.921204099</c:v>
                </c:pt>
              </c:numCache>
            </c:numRef>
          </c:val>
          <c:extLst>
            <c:ext xmlns:c16="http://schemas.microsoft.com/office/drawing/2014/chart" uri="{C3380CC4-5D6E-409C-BE32-E72D297353CC}">
              <c16:uniqueId val="{00000000-98FA-4B18-A295-E3C5C07BCA6B}"/>
            </c:ext>
          </c:extLst>
        </c:ser>
        <c:dLbls>
          <c:showLegendKey val="0"/>
          <c:showVal val="0"/>
          <c:showCatName val="0"/>
          <c:showSerName val="0"/>
          <c:showPercent val="0"/>
          <c:showBubbleSize val="0"/>
        </c:dLbls>
        <c:gapWidth val="150"/>
        <c:axId val="268289872"/>
        <c:axId val="268282032"/>
      </c:barChart>
      <c:lineChart>
        <c:grouping val="standard"/>
        <c:varyColors val="0"/>
        <c:ser>
          <c:idx val="0"/>
          <c:order val="0"/>
          <c:tx>
            <c:strRef>
              <c:f>Sanitation!$D$66</c:f>
              <c:strCache>
                <c:ptCount val="1"/>
                <c:pt idx="0">
                  <c:v>Percentage of households with access to improved sanitation facilities </c:v>
                </c:pt>
              </c:strCache>
            </c:strRef>
          </c:tx>
          <c:spPr>
            <a:ln w="19050">
              <a:solidFill>
                <a:schemeClr val="accent2">
                  <a:lumMod val="50000"/>
                </a:schemeClr>
              </a:solidFill>
            </a:ln>
          </c:spPr>
          <c:marker>
            <c:symbol val="none"/>
          </c:marker>
          <c:cat>
            <c:numRef>
              <c:extLst>
                <c:ext xmlns:c15="http://schemas.microsoft.com/office/drawing/2012/chart" uri="{02D57815-91ED-43cb-92C2-25804820EDAC}">
                  <c15:fullRef>
                    <c15:sqref>Sanitation!$F$8:$W$8</c15:sqref>
                  </c15:fullRef>
                </c:ext>
              </c:extLst>
              <c:f>Sanitation!$H$8:$W$8</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extLst>
                <c:ext xmlns:c15="http://schemas.microsoft.com/office/drawing/2012/chart" uri="{02D57815-91ED-43cb-92C2-25804820EDAC}">
                  <c15:fullRef>
                    <c15:sqref>Sanitation!$F$18:$W$18</c15:sqref>
                  </c15:fullRef>
                </c:ext>
              </c:extLst>
              <c:f>Sanitation!$H$18:$W$18</c:f>
              <c:numCache>
                <c:formatCode>#\ ###\ ##0</c:formatCode>
                <c:ptCount val="16"/>
                <c:pt idx="0">
                  <c:v>65.877762000000004</c:v>
                </c:pt>
                <c:pt idx="1">
                  <c:v>66.651295100000013</c:v>
                </c:pt>
                <c:pt idx="2">
                  <c:v>68.2534706</c:v>
                </c:pt>
                <c:pt idx="3">
                  <c:v>69.847461700000011</c:v>
                </c:pt>
                <c:pt idx="4">
                  <c:v>69.644052700000017</c:v>
                </c:pt>
                <c:pt idx="5">
                  <c:v>72.415351599999994</c:v>
                </c:pt>
                <c:pt idx="6">
                  <c:v>72.9488597</c:v>
                </c:pt>
                <c:pt idx="7">
                  <c:v>74.856509099999997</c:v>
                </c:pt>
                <c:pt idx="8">
                  <c:v>75.556740899999994</c:v>
                </c:pt>
                <c:pt idx="9">
                  <c:v>77.601582100000002</c:v>
                </c:pt>
                <c:pt idx="10">
                  <c:v>79.263823700000003</c:v>
                </c:pt>
                <c:pt idx="11">
                  <c:v>79.736469900000003</c:v>
                </c:pt>
                <c:pt idx="12">
                  <c:v>80.768498899999997</c:v>
                </c:pt>
                <c:pt idx="13">
                  <c:v>82.265798199999992</c:v>
                </c:pt>
                <c:pt idx="14">
                  <c:v>82.766929900000008</c:v>
                </c:pt>
                <c:pt idx="15">
                  <c:v>82.03733992620144</c:v>
                </c:pt>
              </c:numCache>
            </c:numRef>
          </c:val>
          <c:smooth val="0"/>
          <c:extLst>
            <c:ext xmlns:c16="http://schemas.microsoft.com/office/drawing/2014/chart" uri="{C3380CC4-5D6E-409C-BE32-E72D297353CC}">
              <c16:uniqueId val="{00000001-98FA-4B18-A295-E3C5C07BCA6B}"/>
            </c:ext>
          </c:extLst>
        </c:ser>
        <c:dLbls>
          <c:showLegendKey val="0"/>
          <c:showVal val="0"/>
          <c:showCatName val="0"/>
          <c:showSerName val="0"/>
          <c:showPercent val="0"/>
          <c:showBubbleSize val="0"/>
        </c:dLbls>
        <c:marker val="1"/>
        <c:smooth val="0"/>
        <c:axId val="653656288"/>
        <c:axId val="653654648"/>
      </c:line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out"/>
        <c:minorTickMark val="none"/>
        <c:tickLblPos val="nextTo"/>
        <c:spPr>
          <a:ln w="9525">
            <a:solidFill>
              <a:schemeClr val="tx1">
                <a:lumMod val="50000"/>
                <a:lumOff val="50000"/>
              </a:schemeClr>
            </a:solidFill>
          </a:ln>
        </c:spPr>
        <c:txPr>
          <a:bodyPr/>
          <a:lstStyle/>
          <a:p>
            <a:pPr>
              <a:defRPr lang="en-ZA"/>
            </a:pPr>
            <a:endParaRPr lang="en-US"/>
          </a:p>
        </c:txPr>
        <c:crossAx val="268289872"/>
        <c:crosses val="autoZero"/>
        <c:crossBetween val="between"/>
      </c:valAx>
      <c:valAx>
        <c:axId val="653654648"/>
        <c:scaling>
          <c:orientation val="minMax"/>
        </c:scaling>
        <c:delete val="0"/>
        <c:axPos val="r"/>
        <c:numFmt formatCode="#\ ###\ ##0" sourceLinked="1"/>
        <c:majorTickMark val="out"/>
        <c:minorTickMark val="none"/>
        <c:tickLblPos val="nextTo"/>
        <c:crossAx val="653656288"/>
        <c:crosses val="max"/>
        <c:crossBetween val="between"/>
      </c:valAx>
      <c:catAx>
        <c:axId val="653656288"/>
        <c:scaling>
          <c:orientation val="minMax"/>
        </c:scaling>
        <c:delete val="1"/>
        <c:axPos val="b"/>
        <c:numFmt formatCode="General" sourceLinked="1"/>
        <c:majorTickMark val="out"/>
        <c:minorTickMark val="none"/>
        <c:tickLblPos val="nextTo"/>
        <c:crossAx val="653654648"/>
        <c:crosses val="autoZero"/>
        <c:auto val="1"/>
        <c:lblAlgn val="ctr"/>
        <c:lblOffset val="100"/>
        <c:noMultiLvlLbl val="0"/>
      </c:cat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Water!#REF!</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Total number of Households (HH)</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0-249C-4455-8619-2676045A7E75}"/>
            </c:ext>
          </c:extLst>
        </c:ser>
        <c:ser>
          <c:idx val="1"/>
          <c:order val="1"/>
          <c:invertIfNegative val="0"/>
          <c:val>
            <c:numRef>
              <c:f>Water!#REF!</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5="http://schemas.microsoft.com/office/drawing/2012/chart" uri="{02D57815-91ED-43cb-92C2-25804820EDAC}">
              <c15:filteredSeriesTitle>
                <c15:tx>
                  <c:strRef>
                    <c:extLst>
                      <c:ext uri="{02D57815-91ED-43cb-92C2-25804820EDAC}">
                        <c15:formulaRef>
                          <c15:sqref>Water!#REF!</c15:sqref>
                        </c15:formulaRef>
                      </c:ext>
                    </c:extLst>
                    <c:strCache>
                      <c:ptCount val="2"/>
                      <c:pt idx="0">
                        <c:v>HH with access to water infrastructure &gt; or = to RDP standards</c:v>
                      </c:pt>
                    </c:strCache>
                  </c:strRef>
                </c15:tx>
              </c15:filteredSeriesTitle>
            </c:ext>
            <c:ext xmlns:c15="http://schemas.microsoft.com/office/drawing/2012/chart" uri="{02D57815-91ED-43cb-92C2-25804820EDAC}">
              <c15:filteredCategoryTitle>
                <c15:cat>
                  <c:numRef>
                    <c:extLst>
                      <c:ext uri="{02D57815-91ED-43cb-92C2-25804820EDAC}">
                        <c15:formulaRef>
                          <c15:sqref>Water!#REF!</c15:sqref>
                        </c15:formulaRef>
                      </c:ext>
                    </c:extLst>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15:cat>
              </c15:filteredCategoryTitle>
            </c:ext>
            <c:ext xmlns:c16="http://schemas.microsoft.com/office/drawing/2014/chart" uri="{C3380CC4-5D6E-409C-BE32-E72D297353CC}">
              <c16:uniqueId val="{00000001-249C-4455-8619-2676045A7E75}"/>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Dwellings</a:t>
            </a:r>
          </a:p>
        </c:rich>
      </c:tx>
      <c:overlay val="0"/>
      <c:spPr>
        <a:noFill/>
        <a:ln w="25400">
          <a:noFill/>
        </a:ln>
      </c:spPr>
    </c:title>
    <c:autoTitleDeleted val="0"/>
    <c:plotArea>
      <c:layout/>
      <c:barChart>
        <c:barDir val="col"/>
        <c:grouping val="clustered"/>
        <c:varyColors val="0"/>
        <c:ser>
          <c:idx val="1"/>
          <c:order val="0"/>
          <c:tx>
            <c:strRef>
              <c:f>[12]Dwellings!$D$9</c:f>
              <c:strCache>
                <c:ptCount val="1"/>
                <c:pt idx="0">
                  <c:v>Number of households (HH)</c:v>
                </c:pt>
              </c:strCache>
            </c:strRef>
          </c:tx>
          <c:spPr>
            <a:solidFill>
              <a:srgbClr val="993366"/>
            </a:solidFill>
            <a:ln w="12700">
              <a:solidFill>
                <a:srgbClr val="000000"/>
              </a:solidFill>
              <a:prstDash val="solid"/>
            </a:ln>
          </c:spPr>
          <c:invertIfNegative val="0"/>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[12]Dwellings!$E$9:$R$9</c:f>
              <c:numCache>
                <c:formatCode>General</c:formatCode>
                <c:ptCount val="14"/>
                <c:pt idx="0">
                  <c:v>8584556</c:v>
                </c:pt>
                <c:pt idx="2">
                  <c:v>9059606</c:v>
                </c:pt>
                <c:pt idx="3">
                  <c:v>9256706.9999995604</c:v>
                </c:pt>
                <c:pt idx="4">
                  <c:v>9287695.6120841391</c:v>
                </c:pt>
                <c:pt idx="5">
                  <c:v>10770793.000000101</c:v>
                </c:pt>
                <c:pt idx="7">
                  <c:v>11205705</c:v>
                </c:pt>
                <c:pt idx="8">
                  <c:v>11479000</c:v>
                </c:pt>
                <c:pt idx="9">
                  <c:v>12041000</c:v>
                </c:pt>
                <c:pt idx="10">
                  <c:v>12194000</c:v>
                </c:pt>
                <c:pt idx="11">
                  <c:v>12726000</c:v>
                </c:pt>
                <c:pt idx="12">
                  <c:v>12972000</c:v>
                </c:pt>
                <c:pt idx="13">
                  <c:v>12500610</c:v>
                </c:pt>
              </c:numCache>
            </c:numRef>
          </c:val>
          <c:extLst>
            <c:ext xmlns:c16="http://schemas.microsoft.com/office/drawing/2014/chart" uri="{C3380CC4-5D6E-409C-BE32-E72D297353CC}">
              <c16:uniqueId val="{00000000-B6A3-4420-8D2C-76FBAAB6544A}"/>
            </c:ext>
          </c:extLst>
        </c:ser>
        <c:ser>
          <c:idx val="0"/>
          <c:order val="1"/>
          <c:tx>
            <c:strRef>
              <c:f>[12]Dwellings!$D$10</c:f>
              <c:strCache>
                <c:ptCount val="1"/>
                <c:pt idx="0">
                  <c:v>HH in formal dwelling</c:v>
                </c:pt>
              </c:strCache>
            </c:strRef>
          </c:tx>
          <c:spPr>
            <a:solidFill>
              <a:srgbClr val="9999FF"/>
            </a:solidFill>
            <a:ln w="12700">
              <a:solidFill>
                <a:srgbClr val="000000"/>
              </a:solidFill>
              <a:prstDash val="solid"/>
            </a:ln>
          </c:spPr>
          <c:invertIfNegative val="0"/>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[12]Dwellings!$E$10:$R$10</c:f>
              <c:numCache>
                <c:formatCode>General</c:formatCode>
                <c:ptCount val="14"/>
                <c:pt idx="2">
                  <c:v>5794386</c:v>
                </c:pt>
                <c:pt idx="3">
                  <c:v>6832118.9999995902</c:v>
                </c:pt>
                <c:pt idx="4">
                  <c:v>6624272.6928029303</c:v>
                </c:pt>
                <c:pt idx="5">
                  <c:v>7957934.0000000903</c:v>
                </c:pt>
                <c:pt idx="7">
                  <c:v>7680422</c:v>
                </c:pt>
                <c:pt idx="8">
                  <c:v>8349000</c:v>
                </c:pt>
                <c:pt idx="9">
                  <c:v>8865000</c:v>
                </c:pt>
                <c:pt idx="10">
                  <c:v>8974000</c:v>
                </c:pt>
                <c:pt idx="11">
                  <c:v>8878000</c:v>
                </c:pt>
                <c:pt idx="12">
                  <c:v>9111000</c:v>
                </c:pt>
                <c:pt idx="13">
                  <c:v>8812930</c:v>
                </c:pt>
              </c:numCache>
            </c:numRef>
          </c:val>
          <c:extLst>
            <c:ext xmlns:c16="http://schemas.microsoft.com/office/drawing/2014/chart" uri="{C3380CC4-5D6E-409C-BE32-E72D297353CC}">
              <c16:uniqueId val="{00000001-B6A3-4420-8D2C-76FBAAB6544A}"/>
            </c:ext>
          </c:extLst>
        </c:ser>
        <c:dLbls>
          <c:showLegendKey val="0"/>
          <c:showVal val="0"/>
          <c:showCatName val="0"/>
          <c:showSerName val="0"/>
          <c:showPercent val="0"/>
          <c:showBubbleSize val="0"/>
        </c:dLbls>
        <c:gapWidth val="150"/>
        <c:axId val="1784787744"/>
        <c:axId val="1784782304"/>
      </c:barChart>
      <c:lineChart>
        <c:grouping val="standard"/>
        <c:varyColors val="0"/>
        <c:ser>
          <c:idx val="2"/>
          <c:order val="2"/>
          <c:tx>
            <c:strRef>
              <c:f>[12]Dwellings!$D$20</c:f>
              <c:strCache>
                <c:ptCount val="1"/>
                <c:pt idx="0">
                  <c:v>Subsidised Housing units completed / in progress</c:v>
                </c:pt>
              </c:strCache>
            </c:strRef>
          </c:tx>
          <c:spPr>
            <a:ln w="25400">
              <a:solidFill>
                <a:srgbClr val="FFFF00"/>
              </a:solidFill>
              <a:prstDash val="solid"/>
            </a:ln>
          </c:spPr>
          <c:marker>
            <c:symbol val="square"/>
            <c:size val="7"/>
            <c:spPr>
              <a:noFill/>
              <a:ln w="9525">
                <a:noFill/>
              </a:ln>
            </c:spPr>
          </c:marker>
          <c:cat>
            <c:numRef>
              <c:f>[12]Dwellings!$E$8:$R$8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[1]Dwellings!#REF!</c:f>
              <c:numCache>
                <c:formatCode>General</c:formatCode>
                <c:ptCount val="1"/>
                <c:pt idx="0">
                  <c:v>1</c:v>
                </c:pt>
              </c:numCache>
            </c:numRef>
          </c:val>
          <c:smooth val="1"/>
          <c:extLst>
            <c:ext xmlns:c16="http://schemas.microsoft.com/office/drawing/2014/chart" uri="{C3380CC4-5D6E-409C-BE32-E72D297353CC}">
              <c16:uniqueId val="{00000002-B6A3-4420-8D2C-76FBAAB6544A}"/>
            </c:ext>
          </c:extLst>
        </c:ser>
        <c:dLbls>
          <c:showLegendKey val="0"/>
          <c:showVal val="0"/>
          <c:showCatName val="0"/>
          <c:showSerName val="0"/>
          <c:showPercent val="0"/>
          <c:showBubbleSize val="0"/>
        </c:dLbls>
        <c:marker val="1"/>
        <c:smooth val="0"/>
        <c:axId val="1784778496"/>
        <c:axId val="1784784480"/>
      </c:lineChart>
      <c:catAx>
        <c:axId val="1784787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784782304"/>
        <c:crosses val="autoZero"/>
        <c:auto val="0"/>
        <c:lblAlgn val="ctr"/>
        <c:lblOffset val="100"/>
        <c:tickLblSkip val="1"/>
        <c:tickMarkSkip val="1"/>
        <c:noMultiLvlLbl val="0"/>
      </c:catAx>
      <c:valAx>
        <c:axId val="1784782304"/>
        <c:scaling>
          <c:orientation val="minMax"/>
        </c:scaling>
        <c:delete val="0"/>
        <c:axPos val="l"/>
        <c:majorGridlines>
          <c:spPr>
            <a:ln w="3175">
              <a:solidFill>
                <a:srgbClr val="000000"/>
              </a:solidFill>
              <a:prstDash val="solid"/>
            </a:ln>
          </c:spPr>
        </c:majorGridlines>
        <c:title>
          <c:tx>
            <c:rich>
              <a:bodyPr/>
              <a:lstStyle/>
              <a:p>
                <a:pPr>
                  <a:defRPr lang="en-US" sz="800" b="0"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784787744"/>
        <c:crosses val="autoZero"/>
        <c:crossBetween val="between"/>
      </c:valAx>
      <c:catAx>
        <c:axId val="1784778496"/>
        <c:scaling>
          <c:orientation val="minMax"/>
        </c:scaling>
        <c:delete val="1"/>
        <c:axPos val="b"/>
        <c:numFmt formatCode="General" sourceLinked="1"/>
        <c:majorTickMark val="out"/>
        <c:minorTickMark val="none"/>
        <c:tickLblPos val="none"/>
        <c:crossAx val="1784784480"/>
        <c:crosses val="autoZero"/>
        <c:auto val="0"/>
        <c:lblAlgn val="ctr"/>
        <c:lblOffset val="100"/>
        <c:noMultiLvlLbl val="0"/>
      </c:catAx>
      <c:valAx>
        <c:axId val="1784784480"/>
        <c:scaling>
          <c:orientation val="minMax"/>
        </c:scaling>
        <c:delete val="1"/>
        <c:axPos val="l"/>
        <c:numFmt formatCode="General" sourceLinked="1"/>
        <c:majorTickMark val="out"/>
        <c:minorTickMark val="none"/>
        <c:tickLblPos val="none"/>
        <c:crossAx val="178477849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89" r="0.750000000000001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  '!$F$8</c:f>
              <c:strCache>
                <c:ptCount val="1"/>
                <c:pt idx="0">
                  <c:v>1,1</c:v>
                </c:pt>
              </c:strCache>
            </c:strRef>
          </c:tx>
          <c:spPr>
            <a:ln w="3175">
              <a:solidFill>
                <a:srgbClr val="FF6600"/>
              </a:solidFill>
              <a:prstDash val="solid"/>
            </a:ln>
          </c:spPr>
          <c:marker>
            <c:symbol val="none"/>
          </c:marker>
          <c:cat>
            <c:strRef>
              <c:f>'GDP per Capita  '!$G$7:$AC$7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'GDP per Capita  '!$G$8:$AC$8</c:f>
              <c:numCache>
                <c:formatCode>0.0</c:formatCode>
                <c:ptCount val="23"/>
                <c:pt idx="0">
                  <c:v>1</c:v>
                </c:pt>
                <c:pt idx="1">
                  <c:v>2.1</c:v>
                </c:pt>
                <c:pt idx="2">
                  <c:v>0.5</c:v>
                </c:pt>
                <c:pt idx="3">
                  <c:v>-1.6</c:v>
                </c:pt>
                <c:pt idx="4">
                  <c:v>0.2</c:v>
                </c:pt>
                <c:pt idx="5">
                  <c:v>2.1</c:v>
                </c:pt>
                <c:pt idx="6">
                  <c:v>0.8</c:v>
                </c:pt>
                <c:pt idx="7">
                  <c:v>1.6</c:v>
                </c:pt>
                <c:pt idx="8">
                  <c:v>1.1000000000000001</c:v>
                </c:pt>
                <c:pt idx="9">
                  <c:v>2.8</c:v>
                </c:pt>
                <c:pt idx="10">
                  <c:v>3.6</c:v>
                </c:pt>
                <c:pt idx="11">
                  <c:v>4</c:v>
                </c:pt>
                <c:pt idx="12">
                  <c:v>3.9</c:v>
                </c:pt>
                <c:pt idx="13">
                  <c:v>1.9</c:v>
                </c:pt>
                <c:pt idx="14">
                  <c:v>-2.7</c:v>
                </c:pt>
                <c:pt idx="15">
                  <c:v>1.9</c:v>
                </c:pt>
                <c:pt idx="16">
                  <c:v>2.1</c:v>
                </c:pt>
                <c:pt idx="17" formatCode="_ * #\ ##0.0_ ;_ * \-#\ ##0.0_ ;_ * &quot;-&quot;??_ ;_ @_ ">
                  <c:v>1</c:v>
                </c:pt>
                <c:pt idx="18">
                  <c:v>1.2</c:v>
                </c:pt>
                <c:pt idx="19">
                  <c:v>0.6</c:v>
                </c:pt>
                <c:pt idx="20">
                  <c:v>-0.1</c:v>
                </c:pt>
                <c:pt idx="21">
                  <c:v>-0.8</c:v>
                </c:pt>
                <c:pt idx="22">
                  <c:v>-0.1</c:v>
                </c:pt>
              </c:numCache>
            </c:numRef>
          </c:val>
          <c:smooth val="0"/>
          <c:extLst>
            <c:ext xmlns:c16="http://schemas.microsoft.com/office/drawing/2014/chart" uri="{C3380CC4-5D6E-409C-BE32-E72D297353CC}">
              <c16:uniqueId val="{00000000-94C9-4959-BE8B-F129E76EBCCB}"/>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1" i="0" u="none" strike="noStrike" baseline="0">
                <a:solidFill>
                  <a:srgbClr val="000000"/>
                </a:solidFill>
                <a:latin typeface="Arial"/>
                <a:ea typeface="Arial"/>
                <a:cs typeface="Arial"/>
              </a:defRPr>
            </a:pPr>
            <a:r>
              <a:rPr lang="en-US"/>
              <a:t>Access to electricity</a:t>
            </a:r>
          </a:p>
        </c:rich>
      </c:tx>
      <c:overlay val="0"/>
      <c:spPr>
        <a:noFill/>
        <a:ln w="25400">
          <a:noFill/>
        </a:ln>
      </c:spPr>
    </c:title>
    <c:autoTitleDeleted val="0"/>
    <c:plotArea>
      <c:layout/>
      <c:lineChart>
        <c:grouping val="standard"/>
        <c:varyColors val="0"/>
        <c:ser>
          <c:idx val="0"/>
          <c:order val="0"/>
          <c:tx>
            <c:strRef>
              <c:f>[13]electricity!$C$9</c:f>
              <c:strCache>
                <c:ptCount val="1"/>
                <c:pt idx="0">
                  <c:v>Household with access to electricity for lighting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[13]electricity!$D$9:$P$9</c:f>
              <c:numCache>
                <c:formatCode>General</c:formatCode>
                <c:ptCount val="13"/>
                <c:pt idx="0">
                  <c:v>0.51900000000000002</c:v>
                </c:pt>
                <c:pt idx="2">
                  <c:v>0.57299999999999995</c:v>
                </c:pt>
                <c:pt idx="5">
                  <c:v>0.69499999999999995</c:v>
                </c:pt>
                <c:pt idx="8">
                  <c:v>0.76200000000000001</c:v>
                </c:pt>
                <c:pt idx="9">
                  <c:v>0.77800000000000002</c:v>
                </c:pt>
                <c:pt idx="10">
                  <c:v>0.80200000000000005</c:v>
                </c:pt>
                <c:pt idx="11">
                  <c:v>0.80200000000000005</c:v>
                </c:pt>
              </c:numCache>
            </c:numRef>
          </c:val>
          <c:smooth val="0"/>
          <c:extLst>
            <c:ext xmlns:c16="http://schemas.microsoft.com/office/drawing/2014/chart" uri="{C3380CC4-5D6E-409C-BE32-E72D297353CC}">
              <c16:uniqueId val="{00000000-A104-4DEF-81FD-D8B3328C159D}"/>
            </c:ext>
          </c:extLst>
        </c:ser>
        <c:ser>
          <c:idx val="1"/>
          <c:order val="1"/>
          <c:tx>
            <c:strRef>
              <c:f>[13]electricity!$C$11</c:f>
              <c:strCache>
                <c:ptCount val="1"/>
                <c:pt idx="0">
                  <c:v>Total number of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[13]electricity!$D$11:$P$11</c:f>
              <c:numCache>
                <c:formatCode>General</c:formatCode>
                <c:ptCount val="13"/>
              </c:numCache>
            </c:numRef>
          </c:val>
          <c:smooth val="0"/>
          <c:extLst>
            <c:ext xmlns:c16="http://schemas.microsoft.com/office/drawing/2014/chart" uri="{C3380CC4-5D6E-409C-BE32-E72D297353CC}">
              <c16:uniqueId val="{00000001-A104-4DEF-81FD-D8B3328C159D}"/>
            </c:ext>
          </c:extLst>
        </c:ser>
        <c:ser>
          <c:idx val="2"/>
          <c:order val="2"/>
          <c:tx>
            <c:strRef>
              <c:f>[13]electricity!$C$10</c:f>
              <c:strCache>
                <c:ptCount val="1"/>
                <c:pt idx="0">
                  <c:v>Proportion of Households with access to electricity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[13]electricity!$D$8:$P$8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[13]electricity!$D$10:$P$10</c:f>
              <c:numCache>
                <c:formatCode>General</c:formatCode>
                <c:ptCount val="13"/>
              </c:numCache>
            </c:numRef>
          </c:val>
          <c:smooth val="0"/>
          <c:extLst>
            <c:ext xmlns:c16="http://schemas.microsoft.com/office/drawing/2014/chart" uri="{C3380CC4-5D6E-409C-BE32-E72D297353CC}">
              <c16:uniqueId val="{00000002-A104-4DEF-81FD-D8B3328C159D}"/>
            </c:ext>
          </c:extLst>
        </c:ser>
        <c:dLbls>
          <c:showLegendKey val="0"/>
          <c:showVal val="0"/>
          <c:showCatName val="0"/>
          <c:showSerName val="0"/>
          <c:showPercent val="0"/>
          <c:showBubbleSize val="0"/>
        </c:dLbls>
        <c:marker val="1"/>
        <c:smooth val="0"/>
        <c:axId val="1784789920"/>
        <c:axId val="1784790464"/>
      </c:lineChart>
      <c:catAx>
        <c:axId val="1784789920"/>
        <c:scaling>
          <c:orientation val="minMax"/>
        </c:scaling>
        <c:delete val="0"/>
        <c:axPos val="t"/>
        <c:title>
          <c:tx>
            <c:rich>
              <a:bodyPr/>
              <a:lstStyle/>
              <a:p>
                <a:pPr>
                  <a:defRPr lang="en-US" sz="200" b="0" i="0" u="none" strike="noStrike" baseline="0">
                    <a:solidFill>
                      <a:srgbClr val="000000"/>
                    </a:solidFill>
                    <a:latin typeface="Arial"/>
                    <a:ea typeface="Arial"/>
                    <a:cs typeface="Arial"/>
                  </a:defRPr>
                </a:pPr>
                <a:r>
                  <a:rPr lang="en-US"/>
                  <a:t>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1784790464"/>
        <c:crosses val="max"/>
        <c:auto val="1"/>
        <c:lblAlgn val="ctr"/>
        <c:lblOffset val="100"/>
        <c:tickLblSkip val="1"/>
        <c:tickMarkSkip val="1"/>
        <c:noMultiLvlLbl val="0"/>
      </c:catAx>
      <c:valAx>
        <c:axId val="1784790464"/>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Number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178478992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50" b="0" i="0" u="none" strike="noStrike" baseline="0">
                <a:solidFill>
                  <a:srgbClr val="000000"/>
                </a:solidFill>
                <a:latin typeface="Arial"/>
                <a:ea typeface="Arial"/>
                <a:cs typeface="Arial"/>
              </a:defRPr>
            </a:pPr>
            <a:r>
              <a:rPr lang="en-US"/>
              <a:t>Electricity</a:t>
            </a:r>
          </a:p>
        </c:rich>
      </c:tx>
      <c:overlay val="0"/>
      <c:spPr>
        <a:noFill/>
        <a:ln w="25400">
          <a:noFill/>
        </a:ln>
      </c:spPr>
    </c:title>
    <c:autoTitleDeleted val="0"/>
    <c:plotArea>
      <c:layout/>
      <c:lineChart>
        <c:grouping val="standard"/>
        <c:varyColors val="0"/>
        <c:ser>
          <c:idx val="0"/>
          <c:order val="0"/>
          <c:tx>
            <c:strRef>
              <c:f>[12]Electricity!$D$60</c:f>
              <c:strCache>
                <c:ptCount val="1"/>
                <c:pt idx="0">
                  <c:v>Total number of households</c:v>
                </c:pt>
              </c:strCache>
            </c:strRef>
          </c:tx>
          <c:spPr>
            <a:ln w="12700">
              <a:solidFill>
                <a:srgbClr val="000080"/>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[12]Electricity!$E$60:$P$60</c:f>
              <c:numCache>
                <c:formatCode>General</c:formatCode>
                <c:ptCount val="12"/>
                <c:pt idx="0">
                  <c:v>8802000</c:v>
                </c:pt>
                <c:pt idx="1">
                  <c:v>9059571</c:v>
                </c:pt>
                <c:pt idx="2">
                  <c:v>9258000</c:v>
                </c:pt>
                <c:pt idx="3">
                  <c:v>9288000</c:v>
                </c:pt>
                <c:pt idx="4">
                  <c:v>11077100</c:v>
                </c:pt>
                <c:pt idx="5">
                  <c:v>11098642</c:v>
                </c:pt>
                <c:pt idx="6">
                  <c:v>11205705</c:v>
                </c:pt>
                <c:pt idx="7">
                  <c:v>11147900</c:v>
                </c:pt>
                <c:pt idx="8">
                  <c:v>11205706</c:v>
                </c:pt>
                <c:pt idx="9">
                  <c:v>11634817</c:v>
                </c:pt>
                <c:pt idx="10">
                  <c:v>12726000</c:v>
                </c:pt>
                <c:pt idx="11">
                  <c:v>12980520</c:v>
                </c:pt>
              </c:numCache>
            </c:numRef>
          </c:val>
          <c:smooth val="0"/>
          <c:extLst>
            <c:ext xmlns:c16="http://schemas.microsoft.com/office/drawing/2014/chart" uri="{C3380CC4-5D6E-409C-BE32-E72D297353CC}">
              <c16:uniqueId val="{00000000-EA76-4F51-AACB-70276CCD6E5A}"/>
            </c:ext>
          </c:extLst>
        </c:ser>
        <c:ser>
          <c:idx val="1"/>
          <c:order val="1"/>
          <c:tx>
            <c:strRef>
              <c:f>[12]Electricity!$D$61</c:f>
              <c:strCache>
                <c:ptCount val="1"/>
                <c:pt idx="0">
                  <c:v>HH with access to electricity</c:v>
                </c:pt>
              </c:strCache>
            </c:strRef>
          </c:tx>
          <c:spPr>
            <a:ln w="12700">
              <a:solidFill>
                <a:srgbClr val="FF00FF"/>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[12]Electricity!$E$61:$P$61</c:f>
              <c:numCache>
                <c:formatCode>General</c:formatCode>
                <c:ptCount val="12"/>
                <c:pt idx="0">
                  <c:v>4477400</c:v>
                </c:pt>
                <c:pt idx="1">
                  <c:v>4900694</c:v>
                </c:pt>
                <c:pt idx="2">
                  <c:v>5544968</c:v>
                </c:pt>
                <c:pt idx="3">
                  <c:v>5801242</c:v>
                </c:pt>
                <c:pt idx="4">
                  <c:v>6774207</c:v>
                </c:pt>
                <c:pt idx="5">
                  <c:v>6777997</c:v>
                </c:pt>
                <c:pt idx="6">
                  <c:v>7735748</c:v>
                </c:pt>
                <c:pt idx="7">
                  <c:v>8459895</c:v>
                </c:pt>
                <c:pt idx="8">
                  <c:v>8571043</c:v>
                </c:pt>
                <c:pt idx="9">
                  <c:v>8677400</c:v>
                </c:pt>
                <c:pt idx="10">
                  <c:v>9508000</c:v>
                </c:pt>
                <c:pt idx="11">
                  <c:v>9563987</c:v>
                </c:pt>
              </c:numCache>
            </c:numRef>
          </c:val>
          <c:smooth val="0"/>
          <c:extLst>
            <c:ext xmlns:c16="http://schemas.microsoft.com/office/drawing/2014/chart" uri="{C3380CC4-5D6E-409C-BE32-E72D297353CC}">
              <c16:uniqueId val="{00000001-EA76-4F51-AACB-70276CCD6E5A}"/>
            </c:ext>
          </c:extLst>
        </c:ser>
        <c:ser>
          <c:idx val="2"/>
          <c:order val="2"/>
          <c:tx>
            <c:strRef>
              <c:f>[12]Electricity!$D$63</c:f>
              <c:strCache>
                <c:ptCount val="1"/>
                <c:pt idx="0">
                  <c:v>New electrical connections</c:v>
                </c:pt>
              </c:strCache>
            </c:strRef>
          </c:tx>
          <c:spPr>
            <a:ln w="12700">
              <a:solidFill>
                <a:srgbClr val="FFFF00"/>
              </a:solidFill>
              <a:prstDash val="solid"/>
            </a:ln>
          </c:spPr>
          <c:marker>
            <c:symbol val="none"/>
          </c:marker>
          <c:cat>
            <c:numRef>
              <c:f>[12]Electricity!$E$59:$P$59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[12]Electricity!$E$63:$P$63</c:f>
              <c:numCache>
                <c:formatCode>General</c:formatCode>
                <c:ptCount val="12"/>
                <c:pt idx="1">
                  <c:v>932762</c:v>
                </c:pt>
                <c:pt idx="2">
                  <c:v>1432073</c:v>
                </c:pt>
                <c:pt idx="3">
                  <c:v>1859499</c:v>
                </c:pt>
                <c:pt idx="4">
                  <c:v>2302789</c:v>
                </c:pt>
                <c:pt idx="5">
                  <c:v>2699808</c:v>
                </c:pt>
                <c:pt idx="6">
                  <c:v>3036726</c:v>
                </c:pt>
                <c:pt idx="7">
                  <c:v>3375298</c:v>
                </c:pt>
                <c:pt idx="8">
                  <c:v>3654060</c:v>
                </c:pt>
                <c:pt idx="9">
                  <c:v>3900899</c:v>
                </c:pt>
                <c:pt idx="10">
                  <c:v>4124912</c:v>
                </c:pt>
                <c:pt idx="11">
                  <c:v>4283396</c:v>
                </c:pt>
              </c:numCache>
            </c:numRef>
          </c:val>
          <c:smooth val="0"/>
          <c:extLst>
            <c:ext xmlns:c16="http://schemas.microsoft.com/office/drawing/2014/chart" uri="{C3380CC4-5D6E-409C-BE32-E72D297353CC}">
              <c16:uniqueId val="{00000002-EA76-4F51-AACB-70276CCD6E5A}"/>
            </c:ext>
          </c:extLst>
        </c:ser>
        <c:dLbls>
          <c:showLegendKey val="0"/>
          <c:showVal val="0"/>
          <c:showCatName val="0"/>
          <c:showSerName val="0"/>
          <c:showPercent val="0"/>
          <c:showBubbleSize val="0"/>
        </c:dLbls>
        <c:smooth val="0"/>
        <c:axId val="1784791008"/>
        <c:axId val="1784782848"/>
      </c:lineChart>
      <c:catAx>
        <c:axId val="178479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1784782848"/>
        <c:crosses val="autoZero"/>
        <c:auto val="1"/>
        <c:lblAlgn val="ctr"/>
        <c:lblOffset val="100"/>
        <c:tickLblSkip val="1"/>
        <c:tickMarkSkip val="1"/>
        <c:noMultiLvlLbl val="0"/>
      </c:catAx>
      <c:valAx>
        <c:axId val="1784782848"/>
        <c:scaling>
          <c:orientation val="minMax"/>
        </c:scaling>
        <c:delete val="0"/>
        <c:axPos val="l"/>
        <c:majorGridlines>
          <c:spPr>
            <a:ln w="3175">
              <a:solidFill>
                <a:srgbClr val="000000"/>
              </a:solidFill>
              <a:prstDash val="solid"/>
            </a:ln>
          </c:spPr>
        </c:majorGridlines>
        <c:title>
          <c:tx>
            <c:rich>
              <a:bodyPr/>
              <a:lstStyle/>
              <a:p>
                <a:pPr>
                  <a:defRPr lang="en-US" sz="150" b="0" i="0" u="none" strike="noStrike" baseline="0">
                    <a:solidFill>
                      <a:srgbClr val="000000"/>
                    </a:solidFill>
                    <a:latin typeface="Arial"/>
                    <a:ea typeface="Arial"/>
                    <a:cs typeface="Arial"/>
                  </a:defRPr>
                </a:pPr>
                <a:r>
                  <a:rPr lang="en-US"/>
                  <a:t>nu</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178479100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85473685929231E-2"/>
          <c:y val="6.3187864228835808E-2"/>
          <c:w val="0.92418584146655069"/>
          <c:h val="0.69067342853329761"/>
        </c:manualLayout>
      </c:layout>
      <c:barChart>
        <c:barDir val="col"/>
        <c:grouping val="clustered"/>
        <c:varyColors val="0"/>
        <c:ser>
          <c:idx val="0"/>
          <c:order val="0"/>
          <c:tx>
            <c:strRef>
              <c:f>'Electricity '!$D$9</c:f>
              <c:strCache>
                <c:ptCount val="1"/>
                <c:pt idx="0">
                  <c:v>Total number of households</c:v>
                </c:pt>
              </c:strCache>
            </c:strRef>
          </c:tx>
          <c:spPr>
            <a:solidFill>
              <a:srgbClr val="FCD5B5"/>
            </a:solidFill>
            <a:ln w="12700">
              <a:noFill/>
              <a:prstDash val="solid"/>
            </a:ln>
          </c:spPr>
          <c:invertIfNegative val="0"/>
          <c:cat>
            <c:numRef>
              <c:extLst>
                <c:ext xmlns:c15="http://schemas.microsoft.com/office/drawing/2012/chart" uri="{02D57815-91ED-43cb-92C2-25804820EDAC}">
                  <c15:fullRef>
                    <c15:sqref>'Electricity '!$E$8:$U$8</c15:sqref>
                  </c15:fullRef>
                </c:ext>
              </c:extLst>
              <c:f>'Electricity '!$F$8:$U$8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extLst>
                <c:ext xmlns:c15="http://schemas.microsoft.com/office/drawing/2012/chart" uri="{02D57815-91ED-43cb-92C2-25804820EDAC}">
                  <c15:fullRef>
                    <c15:sqref>'Electricity '!$E$9:$U$9</c15:sqref>
                  </c15:fullRef>
                </c:ext>
              </c:extLst>
              <c:f>'Electricity '!$F$9:$U$9</c:f>
              <c:numCache>
                <c:formatCode>#,##0</c:formatCode>
                <c:ptCount val="16"/>
                <c:pt idx="0">
                  <c:v>11459337</c:v>
                </c:pt>
                <c:pt idx="1">
                  <c:v>11718329</c:v>
                </c:pt>
                <c:pt idx="2">
                  <c:v>11976990</c:v>
                </c:pt>
                <c:pt idx="3">
                  <c:v>12243215</c:v>
                </c:pt>
                <c:pt idx="4">
                  <c:v>12522491</c:v>
                </c:pt>
                <c:pt idx="5">
                  <c:v>12819285</c:v>
                </c:pt>
                <c:pt idx="6">
                  <c:v>13128396</c:v>
                </c:pt>
                <c:pt idx="7">
                  <c:v>13455659</c:v>
                </c:pt>
                <c:pt idx="8">
                  <c:v>13797320</c:v>
                </c:pt>
                <c:pt idx="9">
                  <c:v>14151736</c:v>
                </c:pt>
                <c:pt idx="10">
                  <c:v>14521185</c:v>
                </c:pt>
                <c:pt idx="11">
                  <c:v>14903733</c:v>
                </c:pt>
                <c:pt idx="12">
                  <c:v>15307483</c:v>
                </c:pt>
                <c:pt idx="13">
                  <c:v>15743677</c:v>
                </c:pt>
                <c:pt idx="14">
                  <c:v>16199107</c:v>
                </c:pt>
                <c:pt idx="15">
                  <c:v>16670853.6913475</c:v>
                </c:pt>
              </c:numCache>
            </c:numRef>
          </c:val>
          <c:extLst>
            <c:ext xmlns:c16="http://schemas.microsoft.com/office/drawing/2014/chart" uri="{C3380CC4-5D6E-409C-BE32-E72D297353CC}">
              <c16:uniqueId val="{00000000-D2F7-40C3-959E-185D9201FF42}"/>
            </c:ext>
          </c:extLst>
        </c:ser>
        <c:ser>
          <c:idx val="1"/>
          <c:order val="1"/>
          <c:tx>
            <c:strRef>
              <c:f>'Electricity '!$D$10</c:f>
              <c:strCache>
                <c:ptCount val="1"/>
                <c:pt idx="0">
                  <c:v>HH with access to electricity</c:v>
                </c:pt>
              </c:strCache>
            </c:strRef>
          </c:tx>
          <c:spPr>
            <a:solidFill>
              <a:srgbClr val="F8A662"/>
            </a:solidFill>
            <a:ln w="12700">
              <a:noFill/>
              <a:prstDash val="solid"/>
            </a:ln>
          </c:spPr>
          <c:invertIfNegative val="0"/>
          <c:cat>
            <c:numRef>
              <c:extLst>
                <c:ext xmlns:c15="http://schemas.microsoft.com/office/drawing/2012/chart" uri="{02D57815-91ED-43cb-92C2-25804820EDAC}">
                  <c15:fullRef>
                    <c15:sqref>'Electricity '!$E$8:$U$8</c15:sqref>
                  </c15:fullRef>
                </c:ext>
              </c:extLst>
              <c:f>'Electricity '!$F$8:$U$8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extLst>
                <c:ext xmlns:c15="http://schemas.microsoft.com/office/drawing/2012/chart" uri="{02D57815-91ED-43cb-92C2-25804820EDAC}">
                  <c15:fullRef>
                    <c15:sqref>'Electricity '!$E$10:$U$10</c15:sqref>
                  </c15:fullRef>
                </c:ext>
              </c:extLst>
              <c:f>'Electricity '!$F$10:$U$10</c:f>
              <c:numCache>
                <c:formatCode>#\ ###\ ##0</c:formatCode>
                <c:ptCount val="16"/>
                <c:pt idx="0">
                  <c:v>8958676</c:v>
                </c:pt>
                <c:pt idx="1">
                  <c:v>9430014</c:v>
                </c:pt>
                <c:pt idx="2">
                  <c:v>9667781</c:v>
                </c:pt>
                <c:pt idx="3">
                  <c:v>9843537</c:v>
                </c:pt>
                <c:pt idx="4">
                  <c:v>10233027</c:v>
                </c:pt>
                <c:pt idx="5">
                  <c:v>10446746</c:v>
                </c:pt>
                <c:pt idx="6">
                  <c:v>10840599</c:v>
                </c:pt>
                <c:pt idx="7">
                  <c:v>11140702</c:v>
                </c:pt>
                <c:pt idx="8">
                  <c:v>11529214</c:v>
                </c:pt>
                <c:pt idx="9">
                  <c:v>11965896</c:v>
                </c:pt>
                <c:pt idx="10">
                  <c:v>12346082.750905201</c:v>
                </c:pt>
                <c:pt idx="11">
                  <c:v>12790363.5485142</c:v>
                </c:pt>
                <c:pt idx="12">
                  <c:v>13060958.2207803</c:v>
                </c:pt>
                <c:pt idx="13">
                  <c:v>13207785.9578819</c:v>
                </c:pt>
                <c:pt idx="14">
                  <c:v>13665517.840620499</c:v>
                </c:pt>
                <c:pt idx="15">
                  <c:v>14105636.4483844</c:v>
                </c:pt>
              </c:numCache>
            </c:numRef>
          </c:val>
          <c:extLst>
            <c:ext xmlns:c16="http://schemas.microsoft.com/office/drawing/2014/chart" uri="{C3380CC4-5D6E-409C-BE32-E72D297353CC}">
              <c16:uniqueId val="{00000001-D2F7-40C3-959E-185D9201FF42}"/>
            </c:ext>
          </c:extLst>
        </c:ser>
        <c:ser>
          <c:idx val="2"/>
          <c:order val="2"/>
          <c:tx>
            <c:strRef>
              <c:f>'Electricity '!$D$11</c:f>
              <c:strCache>
                <c:ptCount val="1"/>
                <c:pt idx="0">
                  <c:v>%</c:v>
                </c:pt>
              </c:strCache>
            </c:strRef>
          </c:tx>
          <c:invertIfNegative val="0"/>
          <c:cat>
            <c:numRef>
              <c:extLst>
                <c:ext xmlns:c15="http://schemas.microsoft.com/office/drawing/2012/chart" uri="{02D57815-91ED-43cb-92C2-25804820EDAC}">
                  <c15:fullRef>
                    <c15:sqref>'Electricity '!$E$8:$U$8</c15:sqref>
                  </c15:fullRef>
                </c:ext>
              </c:extLst>
              <c:f>'Electricity '!$F$8:$U$8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extLst>
                <c:ext xmlns:c15="http://schemas.microsoft.com/office/drawing/2012/chart" uri="{02D57815-91ED-43cb-92C2-25804820EDAC}">
                  <c15:fullRef>
                    <c15:sqref>'Electricity '!$E$11:$P$11</c15:sqref>
                  </c15:fullRef>
                </c:ext>
              </c:extLst>
              <c:f>'Electricity '!$F$11:$P$11</c:f>
              <c:numCache>
                <c:formatCode>#\ ##0.0</c:formatCode>
                <c:ptCount val="11"/>
                <c:pt idx="0">
                  <c:v>78.177960906464307</c:v>
                </c:pt>
                <c:pt idx="1">
                  <c:v>80.472343795774975</c:v>
                </c:pt>
                <c:pt idx="2">
                  <c:v>80.719621540971474</c:v>
                </c:pt>
                <c:pt idx="3">
                  <c:v>80.399935801176397</c:v>
                </c:pt>
                <c:pt idx="4">
                  <c:v>81.717183905342793</c:v>
                </c:pt>
                <c:pt idx="5">
                  <c:v>81.492423329382262</c:v>
                </c:pt>
                <c:pt idx="6">
                  <c:v>82.573674651495892</c:v>
                </c:pt>
                <c:pt idx="7">
                  <c:v>82.795662404940558</c:v>
                </c:pt>
                <c:pt idx="8">
                  <c:v>83.561256823788966</c:v>
                </c:pt>
                <c:pt idx="9">
                  <c:v>84.554262459390145</c:v>
                </c:pt>
                <c:pt idx="10">
                  <c:v>85.021179407226072</c:v>
                </c:pt>
              </c:numCache>
            </c:numRef>
          </c:val>
          <c:extLst>
            <c:ext xmlns:c16="http://schemas.microsoft.com/office/drawing/2014/chart" uri="{C3380CC4-5D6E-409C-BE32-E72D297353CC}">
              <c16:uniqueId val="{00000002-D2F7-40C3-959E-185D9201FF42}"/>
            </c:ext>
          </c:extLst>
        </c:ser>
        <c:dLbls>
          <c:showLegendKey val="0"/>
          <c:showVal val="0"/>
          <c:showCatName val="0"/>
          <c:showSerName val="0"/>
          <c:showPercent val="0"/>
          <c:showBubbleSize val="0"/>
        </c:dLbls>
        <c:gapWidth val="150"/>
        <c:axId val="1784792096"/>
        <c:axId val="1784779040"/>
      </c:barChart>
      <c:catAx>
        <c:axId val="1784792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4779040"/>
        <c:crosses val="autoZero"/>
        <c:auto val="1"/>
        <c:lblAlgn val="ctr"/>
        <c:lblOffset val="100"/>
        <c:tickLblSkip val="1"/>
        <c:tickMarkSkip val="1"/>
        <c:noMultiLvlLbl val="0"/>
      </c:catAx>
      <c:valAx>
        <c:axId val="1784779040"/>
        <c:scaling>
          <c:orientation val="minMax"/>
          <c:min val="0"/>
        </c:scaling>
        <c:delete val="0"/>
        <c:axPos val="l"/>
        <c:majorGridlines>
          <c:spPr>
            <a:ln w="3175">
              <a:solidFill>
                <a:srgbClr val="969696"/>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1784792096"/>
        <c:crosses val="autoZero"/>
        <c:crossBetween val="between"/>
        <c:majorUnit val="2000500"/>
      </c:valAx>
      <c:spPr>
        <a:noFill/>
        <a:ln w="25400">
          <a:noFill/>
        </a:ln>
      </c:spPr>
    </c:plotArea>
    <c:legend>
      <c:legendPos val="b"/>
      <c:legendEntry>
        <c:idx val="2"/>
        <c:delete val="1"/>
      </c:legendEntry>
      <c:layout>
        <c:manualLayout>
          <c:xMode val="edge"/>
          <c:yMode val="edge"/>
          <c:x val="0.45329190274389503"/>
          <c:y val="0.87577027447840206"/>
          <c:w val="0.43583646012442118"/>
          <c:h val="6.8679249829807998E-2"/>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5914861787317"/>
          <c:y val="7.6135964532488137E-2"/>
          <c:w val="0.83851205145158381"/>
          <c:h val="0.5918498514746845"/>
        </c:manualLayout>
      </c:layout>
      <c:barChart>
        <c:barDir val="col"/>
        <c:grouping val="clustered"/>
        <c:varyColors val="0"/>
        <c:ser>
          <c:idx val="0"/>
          <c:order val="0"/>
          <c:tx>
            <c:strRef>
              <c:f>'Electricity '!$D$9</c:f>
              <c:strCache>
                <c:ptCount val="1"/>
                <c:pt idx="0">
                  <c:v>Total number of households</c:v>
                </c:pt>
              </c:strCache>
            </c:strRef>
          </c:tx>
          <c:spPr>
            <a:solidFill>
              <a:srgbClr val="993300"/>
            </a:solidFill>
            <a:ln w="12700">
              <a:noFill/>
              <a:prstDash val="solid"/>
            </a:ln>
          </c:spPr>
          <c:invertIfNegative val="0"/>
          <c:cat>
            <c:numRef>
              <c:f>'Electricity '!$E$8:$R$8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 '!$E$9:$R$9</c:f>
              <c:numCache>
                <c:formatCode>#,##0</c:formatCode>
                <c:ptCount val="14"/>
                <c:pt idx="0">
                  <c:v>11194350</c:v>
                </c:pt>
                <c:pt idx="1">
                  <c:v>11459337</c:v>
                </c:pt>
                <c:pt idx="2">
                  <c:v>11718329</c:v>
                </c:pt>
                <c:pt idx="3">
                  <c:v>11976990</c:v>
                </c:pt>
                <c:pt idx="4">
                  <c:v>12243215</c:v>
                </c:pt>
                <c:pt idx="5">
                  <c:v>12522491</c:v>
                </c:pt>
                <c:pt idx="6">
                  <c:v>12819285</c:v>
                </c:pt>
                <c:pt idx="7">
                  <c:v>13128396</c:v>
                </c:pt>
                <c:pt idx="8">
                  <c:v>13455659</c:v>
                </c:pt>
                <c:pt idx="9">
                  <c:v>13797320</c:v>
                </c:pt>
                <c:pt idx="10">
                  <c:v>14151736</c:v>
                </c:pt>
                <c:pt idx="11">
                  <c:v>14521185</c:v>
                </c:pt>
                <c:pt idx="12">
                  <c:v>14903733</c:v>
                </c:pt>
                <c:pt idx="13">
                  <c:v>15307483</c:v>
                </c:pt>
              </c:numCache>
            </c:numRef>
          </c:val>
          <c:extLst>
            <c:ext xmlns:c16="http://schemas.microsoft.com/office/drawing/2014/chart" uri="{C3380CC4-5D6E-409C-BE32-E72D297353CC}">
              <c16:uniqueId val="{00000000-9CD4-4C2A-8167-1B90297D2A65}"/>
            </c:ext>
          </c:extLst>
        </c:ser>
        <c:ser>
          <c:idx val="1"/>
          <c:order val="1"/>
          <c:tx>
            <c:strRef>
              <c:f>'Electricity '!$D$10</c:f>
              <c:strCache>
                <c:ptCount val="1"/>
                <c:pt idx="0">
                  <c:v>HH with access to electricity</c:v>
                </c:pt>
              </c:strCache>
            </c:strRef>
          </c:tx>
          <c:spPr>
            <a:solidFill>
              <a:srgbClr val="FF9900"/>
            </a:solidFill>
            <a:ln w="12700">
              <a:noFill/>
              <a:prstDash val="solid"/>
            </a:ln>
          </c:spPr>
          <c:invertIfNegative val="0"/>
          <c:cat>
            <c:numRef>
              <c:f>'Electricity '!$E$8:$R$8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 '!$E$10:$R$10</c:f>
              <c:numCache>
                <c:formatCode>#\ ###\ ##0</c:formatCode>
                <c:ptCount val="14"/>
                <c:pt idx="0">
                  <c:v>8573625</c:v>
                </c:pt>
                <c:pt idx="1">
                  <c:v>8958676</c:v>
                </c:pt>
                <c:pt idx="2">
                  <c:v>9430014</c:v>
                </c:pt>
                <c:pt idx="3">
                  <c:v>9667781</c:v>
                </c:pt>
                <c:pt idx="4">
                  <c:v>9843537</c:v>
                </c:pt>
                <c:pt idx="5">
                  <c:v>10233027</c:v>
                </c:pt>
                <c:pt idx="6">
                  <c:v>10446746</c:v>
                </c:pt>
                <c:pt idx="7">
                  <c:v>10840599</c:v>
                </c:pt>
                <c:pt idx="8">
                  <c:v>11140702</c:v>
                </c:pt>
                <c:pt idx="9">
                  <c:v>11529214</c:v>
                </c:pt>
                <c:pt idx="10">
                  <c:v>11965896</c:v>
                </c:pt>
                <c:pt idx="11">
                  <c:v>12346082.750905201</c:v>
                </c:pt>
                <c:pt idx="12">
                  <c:v>12790363.5485142</c:v>
                </c:pt>
                <c:pt idx="13">
                  <c:v>13060958.2207803</c:v>
                </c:pt>
              </c:numCache>
            </c:numRef>
          </c:val>
          <c:extLst>
            <c:ext xmlns:c16="http://schemas.microsoft.com/office/drawing/2014/chart" uri="{C3380CC4-5D6E-409C-BE32-E72D297353CC}">
              <c16:uniqueId val="{00000001-9CD4-4C2A-8167-1B90297D2A65}"/>
            </c:ext>
          </c:extLst>
        </c:ser>
        <c:ser>
          <c:idx val="2"/>
          <c:order val="2"/>
          <c:tx>
            <c:strRef>
              <c:f>'Electricity '!$D$11</c:f>
              <c:strCache>
                <c:ptCount val="1"/>
                <c:pt idx="0">
                  <c:v>%</c:v>
                </c:pt>
              </c:strCache>
            </c:strRef>
          </c:tx>
          <c:invertIfNegative val="0"/>
          <c:cat>
            <c:numRef>
              <c:f>'Electricity '!$E$8:$R$8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 '!$E$11:$R$11</c:f>
              <c:numCache>
                <c:formatCode>#\ ##0.0</c:formatCode>
                <c:ptCount val="14"/>
                <c:pt idx="0">
                  <c:v>76.588859558616633</c:v>
                </c:pt>
                <c:pt idx="1">
                  <c:v>78.177960906464307</c:v>
                </c:pt>
                <c:pt idx="2">
                  <c:v>80.472343795774975</c:v>
                </c:pt>
                <c:pt idx="3">
                  <c:v>80.719621540971474</c:v>
                </c:pt>
                <c:pt idx="4">
                  <c:v>80.399935801176397</c:v>
                </c:pt>
                <c:pt idx="5">
                  <c:v>81.717183905342793</c:v>
                </c:pt>
                <c:pt idx="6">
                  <c:v>81.492423329382262</c:v>
                </c:pt>
                <c:pt idx="7">
                  <c:v>82.573674651495892</c:v>
                </c:pt>
                <c:pt idx="8">
                  <c:v>82.795662404940558</c:v>
                </c:pt>
                <c:pt idx="9">
                  <c:v>83.561256823788966</c:v>
                </c:pt>
                <c:pt idx="10">
                  <c:v>84.554262459390145</c:v>
                </c:pt>
                <c:pt idx="11">
                  <c:v>85.021179407226072</c:v>
                </c:pt>
                <c:pt idx="12">
                  <c:v>85.819865053367508</c:v>
                </c:pt>
                <c:pt idx="13">
                  <c:v>85.324009314792633</c:v>
                </c:pt>
              </c:numCache>
            </c:numRef>
          </c:val>
          <c:extLst>
            <c:ext xmlns:c16="http://schemas.microsoft.com/office/drawing/2014/chart" uri="{C3380CC4-5D6E-409C-BE32-E72D297353CC}">
              <c16:uniqueId val="{00000002-9CD4-4C2A-8167-1B90297D2A65}"/>
            </c:ext>
          </c:extLst>
        </c:ser>
        <c:dLbls>
          <c:showLegendKey val="0"/>
          <c:showVal val="0"/>
          <c:showCatName val="0"/>
          <c:showSerName val="0"/>
          <c:showPercent val="0"/>
          <c:showBubbleSize val="0"/>
        </c:dLbls>
        <c:gapWidth val="150"/>
        <c:axId val="1784776864"/>
        <c:axId val="1784781760"/>
      </c:barChart>
      <c:catAx>
        <c:axId val="178477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784781760"/>
        <c:crosses val="autoZero"/>
        <c:auto val="1"/>
        <c:lblAlgn val="ctr"/>
        <c:lblOffset val="100"/>
        <c:tickLblSkip val="1"/>
        <c:tickMarkSkip val="1"/>
        <c:noMultiLvlLbl val="0"/>
      </c:catAx>
      <c:valAx>
        <c:axId val="1784781760"/>
        <c:scaling>
          <c:orientation val="minMax"/>
          <c:max val="13000000"/>
          <c:min val="0"/>
        </c:scaling>
        <c:delete val="0"/>
        <c:axPos val="l"/>
        <c:majorGridlines>
          <c:spPr>
            <a:ln w="3175">
              <a:solidFill>
                <a:srgbClr val="969696"/>
              </a:solidFill>
              <a:prstDash val="sysDash"/>
            </a:ln>
          </c:spPr>
        </c:majorGridlines>
        <c:title>
          <c:tx>
            <c:rich>
              <a:bodyPr/>
              <a:lstStyle/>
              <a:p>
                <a:pPr>
                  <a:defRPr/>
                </a:pPr>
                <a:r>
                  <a:rPr lang="en-US"/>
                  <a:t>number</a:t>
                </a:r>
              </a:p>
            </c:rich>
          </c:tx>
          <c:layout>
            <c:manualLayout>
              <c:xMode val="edge"/>
              <c:yMode val="edge"/>
              <c:x val="1.934699339053212E-2"/>
              <c:y val="0.3320166402124655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1784776864"/>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1.6347600190327102E-2"/>
          <c:y val="0.88932972311267411"/>
          <c:w val="0.67462778775460097"/>
          <c:h val="6.8679249829807998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Arial"/>
                <a:ea typeface="Arial"/>
                <a:cs typeface="Arial"/>
              </a:defRPr>
            </a:pPr>
            <a:r>
              <a:rPr lang="en-ZA"/>
              <a:t>Land restitution - claims settled</a:t>
            </a:r>
          </a:p>
        </c:rich>
      </c:tx>
      <c:overlay val="0"/>
      <c:spPr>
        <a:noFill/>
        <a:ln w="25400">
          <a:noFill/>
        </a:ln>
      </c:spPr>
    </c:title>
    <c:autoTitleDeleted val="0"/>
    <c:plotArea>
      <c:layout/>
      <c:lineChart>
        <c:grouping val="standard"/>
        <c:varyColors val="0"/>
        <c:ser>
          <c:idx val="0"/>
          <c:order val="0"/>
          <c:tx>
            <c:strRef>
              <c:f>'[14]Land restitution'!$D$13</c:f>
              <c:strCache>
                <c:ptCount val="1"/>
              </c:strCache>
            </c:strRef>
          </c:tx>
          <c:spPr>
            <a:ln w="25400">
              <a:solidFill>
                <a:srgbClr val="FF00FF"/>
              </a:solidFill>
              <a:prstDash val="solid"/>
            </a:ln>
          </c:spPr>
          <c:marker>
            <c:symbol val="none"/>
          </c:marker>
          <c:cat>
            <c:strRef>
              <c:f>'[14]Land restitution'!$E$12:$R$12</c:f>
              <c:strCache>
                <c:ptCount val="14"/>
                <c:pt idx="6">
                  <c:v>GRANTS IN RANDS </c:v>
                </c:pt>
              </c:strCache>
            </c:strRef>
          </c:cat>
          <c:val>
            <c:numRef>
              <c:f>'[14]Land restitution'!$E$13:$R$13</c:f>
              <c:numCache>
                <c:formatCode>General</c:formatCode>
                <c:ptCount val="1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2A5-4F28-8445-E751D46A24CD}"/>
            </c:ext>
          </c:extLst>
        </c:ser>
        <c:dLbls>
          <c:showLegendKey val="0"/>
          <c:showVal val="0"/>
          <c:showCatName val="0"/>
          <c:showSerName val="0"/>
          <c:showPercent val="0"/>
          <c:showBubbleSize val="0"/>
        </c:dLbls>
        <c:smooth val="0"/>
        <c:axId val="163053568"/>
        <c:axId val="163055104"/>
      </c:lineChart>
      <c:catAx>
        <c:axId val="16305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63055104"/>
        <c:crosses val="autoZero"/>
        <c:auto val="1"/>
        <c:lblAlgn val="ctr"/>
        <c:lblOffset val="100"/>
        <c:tickLblSkip val="1"/>
        <c:tickMarkSkip val="1"/>
        <c:noMultiLvlLbl val="0"/>
      </c:catAx>
      <c:valAx>
        <c:axId val="163055104"/>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Arial"/>
                    <a:ea typeface="Arial"/>
                    <a:cs typeface="Arial"/>
                  </a:defRPr>
                </a:pPr>
                <a:r>
                  <a:rPr lang="en-ZA"/>
                  <a:t>hectars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6305356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CUMULATIVE CLAIMS SETLTLED</a:t>
            </a:r>
          </a:p>
        </c:rich>
      </c:tx>
      <c:layout>
        <c:manualLayout>
          <c:xMode val="edge"/>
          <c:yMode val="edge"/>
          <c:x val="2.652556609337571E-2"/>
          <c:y val="4.2296482376700334E-2"/>
        </c:manualLayout>
      </c:layout>
      <c:overlay val="0"/>
      <c:spPr>
        <a:noFill/>
        <a:ln w="25400">
          <a:noFill/>
        </a:ln>
      </c:spPr>
    </c:title>
    <c:autoTitleDeleted val="0"/>
    <c:plotArea>
      <c:layout>
        <c:manualLayout>
          <c:layoutTarget val="inner"/>
          <c:xMode val="edge"/>
          <c:yMode val="edge"/>
          <c:x val="6.7092721533798652E-2"/>
          <c:y val="0.15281521344987659"/>
          <c:w val="0.92012875246352011"/>
          <c:h val="0.67560410156786965"/>
        </c:manualLayout>
      </c:layout>
      <c:lineChart>
        <c:grouping val="standard"/>
        <c:varyColors val="0"/>
        <c:ser>
          <c:idx val="0"/>
          <c:order val="0"/>
          <c:tx>
            <c:strRef>
              <c:f>'Land restitution'!$D$8</c:f>
              <c:strCache>
                <c:ptCount val="1"/>
                <c:pt idx="0">
                  <c:v>Cumulative Settled claims </c:v>
                </c:pt>
              </c:strCache>
            </c:strRef>
          </c:tx>
          <c:spPr>
            <a:ln w="25400">
              <a:solidFill>
                <a:srgbClr val="FF6600"/>
              </a:solidFill>
              <a:prstDash val="solid"/>
            </a:ln>
          </c:spPr>
          <c:marker>
            <c:symbol val="none"/>
          </c:marker>
          <c:cat>
            <c:strRef>
              <c:f>'Land restitution'!$E$7:$AD$7</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'Land restitution'!$E$8:$AD$8</c:f>
              <c:numCache>
                <c:formatCode>#\ ###\ ###</c:formatCode>
                <c:ptCount val="26"/>
                <c:pt idx="0" formatCode="#\ ###\ ##0">
                  <c:v>0</c:v>
                </c:pt>
                <c:pt idx="1">
                  <c:v>1</c:v>
                </c:pt>
                <c:pt idx="2">
                  <c:v>3</c:v>
                </c:pt>
                <c:pt idx="3">
                  <c:v>208</c:v>
                </c:pt>
                <c:pt idx="4">
                  <c:v>408</c:v>
                </c:pt>
                <c:pt idx="5">
                  <c:v>3916</c:v>
                </c:pt>
                <c:pt idx="6">
                  <c:v>12094</c:v>
                </c:pt>
                <c:pt idx="7">
                  <c:v>29877</c:v>
                </c:pt>
                <c:pt idx="8">
                  <c:v>36488</c:v>
                </c:pt>
                <c:pt idx="9">
                  <c:v>48825</c:v>
                </c:pt>
                <c:pt idx="10">
                  <c:v>59345</c:v>
                </c:pt>
                <c:pt idx="11">
                  <c:v>71645</c:v>
                </c:pt>
                <c:pt idx="12">
                  <c:v>74417</c:v>
                </c:pt>
                <c:pt idx="13">
                  <c:v>74747</c:v>
                </c:pt>
                <c:pt idx="14">
                  <c:v>75400</c:v>
                </c:pt>
                <c:pt idx="15">
                  <c:v>75844</c:v>
                </c:pt>
                <c:pt idx="16">
                  <c:v>76228</c:v>
                </c:pt>
                <c:pt idx="17">
                  <c:v>76705</c:v>
                </c:pt>
                <c:pt idx="18">
                  <c:v>77334</c:v>
                </c:pt>
                <c:pt idx="19">
                  <c:v>77622</c:v>
                </c:pt>
                <c:pt idx="20">
                  <c:v>78100</c:v>
                </c:pt>
                <c:pt idx="21">
                  <c:v>78750</c:v>
                </c:pt>
                <c:pt idx="22">
                  <c:v>79616</c:v>
                </c:pt>
                <c:pt idx="23">
                  <c:v>80664</c:v>
                </c:pt>
                <c:pt idx="24">
                  <c:v>81301</c:v>
                </c:pt>
                <c:pt idx="25">
                  <c:v>81792</c:v>
                </c:pt>
              </c:numCache>
            </c:numRef>
          </c:val>
          <c:smooth val="0"/>
          <c:extLst>
            <c:ext xmlns:c16="http://schemas.microsoft.com/office/drawing/2014/chart" uri="{C3380CC4-5D6E-409C-BE32-E72D297353CC}">
              <c16:uniqueId val="{00000000-8288-42A4-AB84-B1DB27AF0F3F}"/>
            </c:ext>
          </c:extLst>
        </c:ser>
        <c:dLbls>
          <c:showLegendKey val="0"/>
          <c:showVal val="0"/>
          <c:showCatName val="0"/>
          <c:showSerName val="0"/>
          <c:showPercent val="0"/>
          <c:showBubbleSize val="0"/>
        </c:dLbls>
        <c:smooth val="0"/>
        <c:axId val="163084160"/>
        <c:axId val="163085696"/>
      </c:lineChart>
      <c:catAx>
        <c:axId val="1630841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3085696"/>
        <c:crosses val="autoZero"/>
        <c:auto val="1"/>
        <c:lblAlgn val="ctr"/>
        <c:lblOffset val="100"/>
        <c:tickLblSkip val="1"/>
        <c:tickMarkSkip val="1"/>
        <c:noMultiLvlLbl val="0"/>
      </c:catAx>
      <c:valAx>
        <c:axId val="163085696"/>
        <c:scaling>
          <c:orientation val="minMax"/>
        </c:scaling>
        <c:delete val="0"/>
        <c:axPos val="l"/>
        <c:majorGridlines>
          <c:spPr>
            <a:ln w="3175">
              <a:solidFill>
                <a:srgbClr val="969696"/>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084160"/>
        <c:crosses val="autoZero"/>
        <c:crossBetween val="midCat"/>
        <c:majorUnit val="1050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Land Redistribution - Hectars delivered </a:t>
            </a:r>
          </a:p>
        </c:rich>
      </c:tx>
      <c:layout>
        <c:manualLayout>
          <c:xMode val="edge"/>
          <c:yMode val="edge"/>
          <c:x val="0.41644602757988924"/>
          <c:y val="3.3426297903238283E-2"/>
        </c:manualLayout>
      </c:layout>
      <c:overlay val="0"/>
      <c:spPr>
        <a:noFill/>
        <a:ln w="25400">
          <a:noFill/>
        </a:ln>
      </c:spPr>
    </c:title>
    <c:autoTitleDeleted val="0"/>
    <c:plotArea>
      <c:layout>
        <c:manualLayout>
          <c:layoutTarget val="inner"/>
          <c:xMode val="edge"/>
          <c:yMode val="edge"/>
          <c:x val="6.4285764110370264E-2"/>
          <c:y val="0.13832230176955287"/>
          <c:w val="0.92222293699074354"/>
          <c:h val="0.62131656860422058"/>
        </c:manualLayout>
      </c:layout>
      <c:lineChart>
        <c:grouping val="standard"/>
        <c:varyColors val="0"/>
        <c:ser>
          <c:idx val="0"/>
          <c:order val="0"/>
          <c:tx>
            <c:strRef>
              <c:f>'Land redistribution  '!$D$9</c:f>
              <c:strCache>
                <c:ptCount val="1"/>
                <c:pt idx="0">
                  <c:v>Distributed hectares per year</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'Land redistribution  '!$E$7:$AE$7</c15:sqref>
                  </c15:fullRef>
                </c:ext>
              </c:extLst>
              <c:f>'Land redistribution  '!$V$7:$AE$7</c:f>
              <c:strCache>
                <c:ptCount val="10"/>
                <c:pt idx="0">
                  <c:v>2010/11</c:v>
                </c:pt>
                <c:pt idx="1">
                  <c:v>2011/12</c:v>
                </c:pt>
                <c:pt idx="2">
                  <c:v>2012/13</c:v>
                </c:pt>
                <c:pt idx="3">
                  <c:v>2013/14</c:v>
                </c:pt>
                <c:pt idx="4">
                  <c:v>2014/15</c:v>
                </c:pt>
                <c:pt idx="5">
                  <c:v>2015/16</c:v>
                </c:pt>
                <c:pt idx="6">
                  <c:v>2016/17</c:v>
                </c:pt>
                <c:pt idx="7">
                  <c:v>2017/18</c:v>
                </c:pt>
                <c:pt idx="8">
                  <c:v>2018/19</c:v>
                </c:pt>
                <c:pt idx="9">
                  <c:v>2019/20</c:v>
                </c:pt>
              </c:strCache>
            </c:strRef>
          </c:cat>
          <c:val>
            <c:numRef>
              <c:extLst>
                <c:ext xmlns:c15="http://schemas.microsoft.com/office/drawing/2012/chart" uri="{02D57815-91ED-43cb-92C2-25804820EDAC}">
                  <c15:fullRef>
                    <c15:sqref>'Land redistribution  '!$E$9:$AE$9</c15:sqref>
                  </c15:fullRef>
                </c:ext>
              </c:extLst>
              <c:f>'Land redistribution  '!$V$9:$AE$9</c:f>
              <c:numCache>
                <c:formatCode>_ * #\ ##0_ ;_ * \-#\ ##0_ ;_ * "-"??_ ;_ @_ </c:formatCode>
                <c:ptCount val="10"/>
                <c:pt idx="0">
                  <c:v>331794.24449999997</c:v>
                </c:pt>
                <c:pt idx="1">
                  <c:v>394170.57079999999</c:v>
                </c:pt>
                <c:pt idx="2">
                  <c:v>157556</c:v>
                </c:pt>
                <c:pt idx="3">
                  <c:v>153586</c:v>
                </c:pt>
                <c:pt idx="4">
                  <c:v>210395.80410000001</c:v>
                </c:pt>
                <c:pt idx="5">
                  <c:v>140670.32939999999</c:v>
                </c:pt>
                <c:pt idx="6">
                  <c:v>94279.195100000012</c:v>
                </c:pt>
                <c:pt idx="7">
                  <c:v>92032.35149999999</c:v>
                </c:pt>
                <c:pt idx="8">
                  <c:v>85324.552299999996</c:v>
                </c:pt>
                <c:pt idx="9">
                  <c:v>92643</c:v>
                </c:pt>
              </c:numCache>
            </c:numRef>
          </c:val>
          <c:smooth val="1"/>
          <c:extLst>
            <c:ext xmlns:c16="http://schemas.microsoft.com/office/drawing/2014/chart" uri="{C3380CC4-5D6E-409C-BE32-E72D297353CC}">
              <c16:uniqueId val="{00000000-A695-4B08-ABA2-57A86D44A0E3}"/>
            </c:ext>
          </c:extLst>
        </c:ser>
        <c:dLbls>
          <c:showLegendKey val="0"/>
          <c:showVal val="0"/>
          <c:showCatName val="0"/>
          <c:showSerName val="0"/>
          <c:showPercent val="0"/>
          <c:showBubbleSize val="0"/>
        </c:dLbls>
        <c:smooth val="0"/>
        <c:axId val="-1174352720"/>
        <c:axId val="-1125905392"/>
      </c:lineChart>
      <c:catAx>
        <c:axId val="-117435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5905392"/>
        <c:crosses val="autoZero"/>
        <c:auto val="1"/>
        <c:lblAlgn val="ctr"/>
        <c:lblOffset val="100"/>
        <c:tickLblSkip val="1"/>
        <c:tickMarkSkip val="1"/>
        <c:noMultiLvlLbl val="0"/>
      </c:catAx>
      <c:valAx>
        <c:axId val="-1125905392"/>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43527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5764110370264E-2"/>
          <c:y val="7.259475531209765E-2"/>
          <c:w val="0.92222293699074354"/>
          <c:h val="0.68704435586276136"/>
        </c:manualLayout>
      </c:layout>
      <c:lineChart>
        <c:grouping val="standard"/>
        <c:varyColors val="0"/>
        <c:ser>
          <c:idx val="0"/>
          <c:order val="0"/>
          <c:tx>
            <c:strRef>
              <c:f>'Land redistribution  '!$D$9</c:f>
              <c:strCache>
                <c:ptCount val="1"/>
                <c:pt idx="0">
                  <c:v>Distributed hectares per year</c:v>
                </c:pt>
              </c:strCache>
            </c:strRef>
          </c:tx>
          <c:spPr>
            <a:ln w="15875">
              <a:solidFill>
                <a:srgbClr val="800000"/>
              </a:solidFill>
              <a:prstDash val="solid"/>
            </a:ln>
          </c:spPr>
          <c:marker>
            <c:symbol val="none"/>
          </c:marker>
          <c:cat>
            <c:strRef>
              <c:f>'Land redistribution  '!$E$7:$Z$7</c:f>
              <c:strCache>
                <c:ptCount val="22"/>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'Land redistribution  '!$E$9:$Z$9</c:f>
              <c:numCache>
                <c:formatCode>_ * #\ ##0_ ;_ * \-#\ ##0_ ;_ * "-"??_ ;_ @_ </c:formatCode>
                <c:ptCount val="22"/>
                <c:pt idx="0">
                  <c:v>8678.7134000000005</c:v>
                </c:pt>
                <c:pt idx="1">
                  <c:v>10126.203599999999</c:v>
                </c:pt>
                <c:pt idx="2">
                  <c:v>40675.686399999999</c:v>
                </c:pt>
                <c:pt idx="3">
                  <c:v>102317.66140000001</c:v>
                </c:pt>
                <c:pt idx="4">
                  <c:v>202246.32089999999</c:v>
                </c:pt>
                <c:pt idx="5">
                  <c:v>154863.21859999999</c:v>
                </c:pt>
                <c:pt idx="6">
                  <c:v>28157.256300000001</c:v>
                </c:pt>
                <c:pt idx="7">
                  <c:v>137334.6862</c:v>
                </c:pt>
                <c:pt idx="8">
                  <c:v>199593.12179999999</c:v>
                </c:pt>
                <c:pt idx="9">
                  <c:v>248855.07249999998</c:v>
                </c:pt>
                <c:pt idx="10">
                  <c:v>177018.8296</c:v>
                </c:pt>
                <c:pt idx="11">
                  <c:v>214773.49530000001</c:v>
                </c:pt>
                <c:pt idx="12">
                  <c:v>223648.40980000002</c:v>
                </c:pt>
                <c:pt idx="13">
                  <c:v>357671.15110000002</c:v>
                </c:pt>
                <c:pt idx="14">
                  <c:v>509879.61969999998</c:v>
                </c:pt>
                <c:pt idx="15">
                  <c:v>470477.95610000007</c:v>
                </c:pt>
                <c:pt idx="16">
                  <c:v>242706.535</c:v>
                </c:pt>
                <c:pt idx="17">
                  <c:v>331794.24449999997</c:v>
                </c:pt>
                <c:pt idx="18">
                  <c:v>394170.57079999999</c:v>
                </c:pt>
                <c:pt idx="19">
                  <c:v>157556</c:v>
                </c:pt>
                <c:pt idx="20">
                  <c:v>153586</c:v>
                </c:pt>
                <c:pt idx="21">
                  <c:v>210395.80410000001</c:v>
                </c:pt>
              </c:numCache>
            </c:numRef>
          </c:val>
          <c:smooth val="0"/>
          <c:extLst>
            <c:ext xmlns:c16="http://schemas.microsoft.com/office/drawing/2014/chart" uri="{C3380CC4-5D6E-409C-BE32-E72D297353CC}">
              <c16:uniqueId val="{00000000-F041-4CA7-994E-D60ABCE623ED}"/>
            </c:ext>
          </c:extLst>
        </c:ser>
        <c:dLbls>
          <c:showLegendKey val="0"/>
          <c:showVal val="0"/>
          <c:showCatName val="0"/>
          <c:showSerName val="0"/>
          <c:showPercent val="0"/>
          <c:showBubbleSize val="0"/>
        </c:dLbls>
        <c:smooth val="0"/>
        <c:axId val="-923174544"/>
        <c:axId val="-923173456"/>
      </c:lineChart>
      <c:catAx>
        <c:axId val="-92317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23173456"/>
        <c:crosses val="autoZero"/>
        <c:auto val="1"/>
        <c:lblAlgn val="ctr"/>
        <c:lblOffset val="100"/>
        <c:tickLblSkip val="1"/>
        <c:tickMarkSkip val="1"/>
        <c:noMultiLvlLbl val="0"/>
      </c:catAx>
      <c:valAx>
        <c:axId val="-923173456"/>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31745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 AT</a:t>
            </a:r>
            <a:r>
              <a:rPr lang="en-ZA" baseline="0"/>
              <a:t> BIRTH</a:t>
            </a:r>
            <a:endParaRPr lang="en-ZA"/>
          </a:p>
        </c:rich>
      </c:tx>
      <c:layout>
        <c:manualLayout>
          <c:xMode val="edge"/>
          <c:yMode val="edge"/>
          <c:x val="7.8320097447627135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58"/>
          <c:h val="0.70232945234322686"/>
        </c:manualLayout>
      </c:layout>
      <c:lineChart>
        <c:grouping val="standard"/>
        <c:varyColors val="0"/>
        <c:ser>
          <c:idx val="0"/>
          <c:order val="0"/>
          <c:tx>
            <c:strRef>
              <c:f>'Life Expectancy '!$D$9</c:f>
              <c:strCache>
                <c:ptCount val="1"/>
                <c:pt idx="0">
                  <c:v>LE male  StatsSA</c:v>
                </c:pt>
              </c:strCache>
            </c:strRef>
          </c:tx>
          <c:spPr>
            <a:ln w="25400">
              <a:solidFill>
                <a:srgbClr val="FF6600"/>
              </a:solidFill>
              <a:prstDash val="solid"/>
            </a:ln>
          </c:spPr>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'!$J$9:$V$9</c:f>
              <c:numCache>
                <c:formatCode>0.0</c:formatCode>
                <c:ptCount val="13"/>
                <c:pt idx="0">
                  <c:v>52.8</c:v>
                </c:pt>
                <c:pt idx="1">
                  <c:v>53.4</c:v>
                </c:pt>
                <c:pt idx="2">
                  <c:v>54.5</c:v>
                </c:pt>
                <c:pt idx="3">
                  <c:v>55.8</c:v>
                </c:pt>
                <c:pt idx="4">
                  <c:v>57.4</c:v>
                </c:pt>
                <c:pt idx="5">
                  <c:v>58.4</c:v>
                </c:pt>
                <c:pt idx="6">
                  <c:v>59</c:v>
                </c:pt>
                <c:pt idx="7">
                  <c:v>59.8</c:v>
                </c:pt>
                <c:pt idx="8">
                  <c:v>60.2</c:v>
                </c:pt>
                <c:pt idx="9">
                  <c:v>60.9</c:v>
                </c:pt>
                <c:pt idx="10">
                  <c:v>61.5</c:v>
                </c:pt>
                <c:pt idx="11">
                  <c:v>61.8</c:v>
                </c:pt>
                <c:pt idx="12">
                  <c:v>62.2</c:v>
                </c:pt>
              </c:numCache>
            </c:numRef>
          </c:val>
          <c:smooth val="0"/>
          <c:extLst>
            <c:ext xmlns:c16="http://schemas.microsoft.com/office/drawing/2014/chart" uri="{C3380CC4-5D6E-409C-BE32-E72D297353CC}">
              <c16:uniqueId val="{00000000-592A-4960-BD08-4480212E65B9}"/>
            </c:ext>
          </c:extLst>
        </c:ser>
        <c:ser>
          <c:idx val="1"/>
          <c:order val="1"/>
          <c:tx>
            <c:strRef>
              <c:f>'Life Expectancy '!$D$10</c:f>
              <c:strCache>
                <c:ptCount val="1"/>
                <c:pt idx="0">
                  <c:v>LE female  StatsSA</c:v>
                </c:pt>
              </c:strCache>
            </c:strRef>
          </c:tx>
          <c:spPr>
            <a:ln w="25400">
              <a:solidFill>
                <a:srgbClr val="BE4B48"/>
              </a:solidFill>
              <a:prstDash val="solid"/>
            </a:ln>
          </c:spPr>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'!$J$10:$V$10</c:f>
              <c:numCache>
                <c:formatCode>0.0</c:formatCode>
                <c:ptCount val="13"/>
                <c:pt idx="0">
                  <c:v>56.2</c:v>
                </c:pt>
                <c:pt idx="1">
                  <c:v>57</c:v>
                </c:pt>
                <c:pt idx="2">
                  <c:v>59.3</c:v>
                </c:pt>
                <c:pt idx="3">
                  <c:v>60.9</c:v>
                </c:pt>
                <c:pt idx="4">
                  <c:v>62.8</c:v>
                </c:pt>
                <c:pt idx="5">
                  <c:v>63.9</c:v>
                </c:pt>
                <c:pt idx="6">
                  <c:v>64.599999999999994</c:v>
                </c:pt>
                <c:pt idx="7">
                  <c:v>65.7</c:v>
                </c:pt>
                <c:pt idx="8">
                  <c:v>66</c:v>
                </c:pt>
                <c:pt idx="9">
                  <c:v>66.5</c:v>
                </c:pt>
                <c:pt idx="10">
                  <c:v>66.8</c:v>
                </c:pt>
                <c:pt idx="11">
                  <c:v>67.3</c:v>
                </c:pt>
                <c:pt idx="12">
                  <c:v>67.8</c:v>
                </c:pt>
              </c:numCache>
            </c:numRef>
          </c:val>
          <c:smooth val="0"/>
          <c:extLst>
            <c:ext xmlns:c16="http://schemas.microsoft.com/office/drawing/2014/chart" uri="{C3380CC4-5D6E-409C-BE32-E72D297353CC}">
              <c16:uniqueId val="{00000001-592A-4960-BD08-4480212E65B9}"/>
            </c:ext>
          </c:extLst>
        </c:ser>
        <c:ser>
          <c:idx val="2"/>
          <c:order val="2"/>
          <c:tx>
            <c:strRef>
              <c:f>'Life Expectancy '!$D$11</c:f>
              <c:strCache>
                <c:ptCount val="1"/>
                <c:pt idx="0">
                  <c:v>LE combined  StatsSA</c:v>
                </c:pt>
              </c:strCache>
            </c:strRef>
          </c:tx>
          <c:spPr>
            <a:ln w="25400">
              <a:solidFill>
                <a:srgbClr val="FFC600"/>
              </a:solidFill>
              <a:prstDash val="solid"/>
            </a:ln>
          </c:spPr>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'!$J$11:$V$11</c:f>
              <c:numCache>
                <c:formatCode>0.0</c:formatCode>
                <c:ptCount val="13"/>
                <c:pt idx="0">
                  <c:v>54.6</c:v>
                </c:pt>
                <c:pt idx="1">
                  <c:v>55.2</c:v>
                </c:pt>
                <c:pt idx="2">
                  <c:v>57</c:v>
                </c:pt>
                <c:pt idx="3">
                  <c:v>58.4</c:v>
                </c:pt>
                <c:pt idx="4">
                  <c:v>60.2</c:v>
                </c:pt>
                <c:pt idx="5">
                  <c:v>61.2</c:v>
                </c:pt>
                <c:pt idx="6">
                  <c:v>61.9</c:v>
                </c:pt>
                <c:pt idx="7">
                  <c:v>62.8</c:v>
                </c:pt>
                <c:pt idx="8">
                  <c:v>63.2</c:v>
                </c:pt>
                <c:pt idx="9">
                  <c:v>63.8</c:v>
                </c:pt>
                <c:pt idx="10">
                  <c:v>64.2</c:v>
                </c:pt>
                <c:pt idx="11">
                  <c:v>64.599999999999994</c:v>
                </c:pt>
                <c:pt idx="12">
                  <c:v>65</c:v>
                </c:pt>
              </c:numCache>
            </c:numRef>
          </c:val>
          <c:smooth val="0"/>
          <c:extLst>
            <c:ext xmlns:c16="http://schemas.microsoft.com/office/drawing/2014/chart" uri="{C3380CC4-5D6E-409C-BE32-E72D297353CC}">
              <c16:uniqueId val="{00000002-592A-4960-BD08-4480212E65B9}"/>
            </c:ext>
          </c:extLst>
        </c:ser>
        <c:ser>
          <c:idx val="3"/>
          <c:order val="3"/>
          <c:tx>
            <c:strRef>
              <c:f>'Life Expectancy '!$D$12</c:f>
              <c:strCache>
                <c:ptCount val="1"/>
                <c:pt idx="0">
                  <c:v>LE male RMS</c:v>
                </c:pt>
              </c:strCache>
            </c:strRef>
          </c:tx>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'!$J$12:$V$12</c:f>
              <c:numCache>
                <c:formatCode>0.0</c:formatCode>
                <c:ptCount val="13"/>
                <c:pt idx="3">
                  <c:v>54.6</c:v>
                </c:pt>
                <c:pt idx="4">
                  <c:v>56</c:v>
                </c:pt>
                <c:pt idx="5">
                  <c:v>58.5</c:v>
                </c:pt>
                <c:pt idx="6">
                  <c:v>59.1</c:v>
                </c:pt>
                <c:pt idx="7">
                  <c:v>59.5</c:v>
                </c:pt>
                <c:pt idx="8">
                  <c:v>60.1</c:v>
                </c:pt>
                <c:pt idx="9">
                  <c:v>60.9</c:v>
                </c:pt>
                <c:pt idx="10">
                  <c:v>61.6</c:v>
                </c:pt>
                <c:pt idx="11">
                  <c:v>61.9</c:v>
                </c:pt>
              </c:numCache>
            </c:numRef>
          </c:val>
          <c:smooth val="0"/>
          <c:extLst>
            <c:ext xmlns:c16="http://schemas.microsoft.com/office/drawing/2014/chart" uri="{C3380CC4-5D6E-409C-BE32-E72D297353CC}">
              <c16:uniqueId val="{00000003-592A-4960-BD08-4480212E65B9}"/>
            </c:ext>
          </c:extLst>
        </c:ser>
        <c:ser>
          <c:idx val="4"/>
          <c:order val="4"/>
          <c:tx>
            <c:strRef>
              <c:f>'Life Expectancy '!$D$13</c:f>
              <c:strCache>
                <c:ptCount val="1"/>
                <c:pt idx="0">
                  <c:v>LE female RMS</c:v>
                </c:pt>
              </c:strCache>
            </c:strRef>
          </c:tx>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'!$J$13:$V$13</c:f>
              <c:numCache>
                <c:formatCode>0.0</c:formatCode>
                <c:ptCount val="13"/>
                <c:pt idx="3">
                  <c:v>59.7</c:v>
                </c:pt>
                <c:pt idx="4">
                  <c:v>61.2</c:v>
                </c:pt>
                <c:pt idx="5">
                  <c:v>64</c:v>
                </c:pt>
                <c:pt idx="6">
                  <c:v>65.2</c:v>
                </c:pt>
                <c:pt idx="7">
                  <c:v>65.900000000000006</c:v>
                </c:pt>
                <c:pt idx="8">
                  <c:v>66.599999999999994</c:v>
                </c:pt>
                <c:pt idx="9">
                  <c:v>66.900000000000006</c:v>
                </c:pt>
                <c:pt idx="10">
                  <c:v>67.599999999999994</c:v>
                </c:pt>
                <c:pt idx="11">
                  <c:v>67.900000000000006</c:v>
                </c:pt>
              </c:numCache>
            </c:numRef>
          </c:val>
          <c:smooth val="0"/>
          <c:extLst>
            <c:ext xmlns:c16="http://schemas.microsoft.com/office/drawing/2014/chart" uri="{C3380CC4-5D6E-409C-BE32-E72D297353CC}">
              <c16:uniqueId val="{00000004-592A-4960-BD08-4480212E65B9}"/>
            </c:ext>
          </c:extLst>
        </c:ser>
        <c:ser>
          <c:idx val="5"/>
          <c:order val="5"/>
          <c:tx>
            <c:strRef>
              <c:f>'Life Expectancy '!$D$14</c:f>
              <c:strCache>
                <c:ptCount val="1"/>
                <c:pt idx="0">
                  <c:v>LE combined  RMS</c:v>
                </c:pt>
              </c:strCache>
            </c:strRef>
          </c:tx>
          <c:marker>
            <c:symbol val="none"/>
          </c:marker>
          <c:cat>
            <c:numRef>
              <c:f>'Life Expectancy '!$J$8:$V$8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'Life Expectancy '!$J$14:$V$14</c:f>
              <c:numCache>
                <c:formatCode>0.0</c:formatCode>
                <c:ptCount val="13"/>
                <c:pt idx="3">
                  <c:v>57.1</c:v>
                </c:pt>
                <c:pt idx="4">
                  <c:v>58.5</c:v>
                </c:pt>
                <c:pt idx="5">
                  <c:v>61.2</c:v>
                </c:pt>
                <c:pt idx="6">
                  <c:v>62.1</c:v>
                </c:pt>
                <c:pt idx="7">
                  <c:v>62.7</c:v>
                </c:pt>
                <c:pt idx="8">
                  <c:v>63.3</c:v>
                </c:pt>
                <c:pt idx="9">
                  <c:v>63.9</c:v>
                </c:pt>
                <c:pt idx="10">
                  <c:v>64.599999999999994</c:v>
                </c:pt>
                <c:pt idx="11">
                  <c:v>64.8</c:v>
                </c:pt>
              </c:numCache>
            </c:numRef>
          </c:val>
          <c:smooth val="0"/>
          <c:extLst>
            <c:ext xmlns:c16="http://schemas.microsoft.com/office/drawing/2014/chart" uri="{C3380CC4-5D6E-409C-BE32-E72D297353CC}">
              <c16:uniqueId val="{00000005-592A-4960-BD08-4480212E65B9}"/>
            </c:ext>
          </c:extLst>
        </c:ser>
        <c:dLbls>
          <c:showLegendKey val="0"/>
          <c:showVal val="0"/>
          <c:showCatName val="0"/>
          <c:showSerName val="0"/>
          <c:showPercent val="0"/>
          <c:showBubbleSize val="0"/>
        </c:dLbls>
        <c:smooth val="0"/>
        <c:axId val="80785408"/>
        <c:axId val="80786944"/>
      </c:lineChart>
      <c:catAx>
        <c:axId val="8078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786944"/>
        <c:crosses val="autoZero"/>
        <c:auto val="1"/>
        <c:lblAlgn val="ctr"/>
        <c:lblOffset val="100"/>
        <c:tickLblSkip val="1"/>
        <c:tickMarkSkip val="1"/>
        <c:noMultiLvlLbl val="0"/>
      </c:catAx>
      <c:valAx>
        <c:axId val="80786944"/>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58E-2"/>
              <c:y val="0.368771461706824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785408"/>
        <c:crosses val="autoZero"/>
        <c:crossBetween val="between"/>
      </c:valAx>
      <c:spPr>
        <a:solidFill>
          <a:srgbClr val="FFFFFF"/>
        </a:solidFill>
        <a:ln w="25400">
          <a:noFill/>
        </a:ln>
      </c:spPr>
    </c:plotArea>
    <c:legend>
      <c:legendPos val="r"/>
      <c:layout>
        <c:manualLayout>
          <c:xMode val="edge"/>
          <c:yMode val="edge"/>
          <c:x val="0.1187120190403789"/>
          <c:y val="0.88703774406617719"/>
          <c:w val="0.82314649736230661"/>
          <c:h val="0.11296225593382288"/>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0" verticalDpi="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95"/>
          <c:y val="6.2707630296213027E-2"/>
          <c:w val="0.87019725371208079"/>
          <c:h val="0.67151246719160107"/>
        </c:manualLayout>
      </c:layout>
      <c:lineChart>
        <c:grouping val="standard"/>
        <c:varyColors val="0"/>
        <c:ser>
          <c:idx val="0"/>
          <c:order val="0"/>
          <c:tx>
            <c:strRef>
              <c:f>'Life Expectancy '!$D$9</c:f>
              <c:strCache>
                <c:ptCount val="1"/>
                <c:pt idx="0">
                  <c:v>LE male  StatsSA</c:v>
                </c:pt>
              </c:strCache>
            </c:strRef>
          </c:tx>
          <c:spPr>
            <a:ln w="15875">
              <a:solidFill>
                <a:srgbClr val="808000"/>
              </a:solidFill>
              <a:prstDash val="solid"/>
            </a:ln>
          </c:spPr>
          <c:marker>
            <c:symbol val="none"/>
          </c:marker>
          <c:cat>
            <c:numRef>
              <c:f>'Life Expectancy '!$E$8:$V$8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'Life Expectancy '!$E$9:$V$9</c:f>
              <c:numCache>
                <c:formatCode>0.0</c:formatCode>
                <c:ptCount val="18"/>
                <c:pt idx="0">
                  <c:v>53.5</c:v>
                </c:pt>
                <c:pt idx="1">
                  <c:v>52.9</c:v>
                </c:pt>
                <c:pt idx="2">
                  <c:v>52.6</c:v>
                </c:pt>
                <c:pt idx="3">
                  <c:v>52.4</c:v>
                </c:pt>
                <c:pt idx="4">
                  <c:v>52.3</c:v>
                </c:pt>
                <c:pt idx="5">
                  <c:v>52.8</c:v>
                </c:pt>
                <c:pt idx="6">
                  <c:v>53.4</c:v>
                </c:pt>
                <c:pt idx="7">
                  <c:v>54.5</c:v>
                </c:pt>
                <c:pt idx="8">
                  <c:v>55.8</c:v>
                </c:pt>
                <c:pt idx="9">
                  <c:v>57.4</c:v>
                </c:pt>
                <c:pt idx="10">
                  <c:v>58.4</c:v>
                </c:pt>
                <c:pt idx="11">
                  <c:v>59</c:v>
                </c:pt>
                <c:pt idx="12">
                  <c:v>59.8</c:v>
                </c:pt>
                <c:pt idx="13">
                  <c:v>60.2</c:v>
                </c:pt>
                <c:pt idx="14">
                  <c:v>60.9</c:v>
                </c:pt>
                <c:pt idx="15">
                  <c:v>61.5</c:v>
                </c:pt>
                <c:pt idx="16">
                  <c:v>61.8</c:v>
                </c:pt>
                <c:pt idx="17">
                  <c:v>62.2</c:v>
                </c:pt>
              </c:numCache>
            </c:numRef>
          </c:val>
          <c:smooth val="0"/>
          <c:extLst>
            <c:ext xmlns:c16="http://schemas.microsoft.com/office/drawing/2014/chart" uri="{C3380CC4-5D6E-409C-BE32-E72D297353CC}">
              <c16:uniqueId val="{00000000-F77A-49C4-A1A8-C781729DC7E2}"/>
            </c:ext>
          </c:extLst>
        </c:ser>
        <c:ser>
          <c:idx val="1"/>
          <c:order val="1"/>
          <c:tx>
            <c:strRef>
              <c:f>'Life Expectancy '!$D$10</c:f>
              <c:strCache>
                <c:ptCount val="1"/>
                <c:pt idx="0">
                  <c:v>LE female  StatsSA</c:v>
                </c:pt>
              </c:strCache>
            </c:strRef>
          </c:tx>
          <c:spPr>
            <a:ln w="15875">
              <a:solidFill>
                <a:srgbClr val="FF6600"/>
              </a:solidFill>
              <a:prstDash val="solid"/>
            </a:ln>
          </c:spPr>
          <c:marker>
            <c:symbol val="none"/>
          </c:marker>
          <c:cat>
            <c:numRef>
              <c:f>'Life Expectancy '!$E$8:$V$8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'Life Expectancy '!$E$10:$V$10</c:f>
              <c:numCache>
                <c:formatCode>0.0</c:formatCode>
                <c:ptCount val="18"/>
                <c:pt idx="0">
                  <c:v>57.9</c:v>
                </c:pt>
                <c:pt idx="1">
                  <c:v>57.6</c:v>
                </c:pt>
                <c:pt idx="2">
                  <c:v>56.7</c:v>
                </c:pt>
                <c:pt idx="3">
                  <c:v>56</c:v>
                </c:pt>
                <c:pt idx="4">
                  <c:v>55.7</c:v>
                </c:pt>
                <c:pt idx="5">
                  <c:v>56.2</c:v>
                </c:pt>
                <c:pt idx="6">
                  <c:v>57</c:v>
                </c:pt>
                <c:pt idx="7">
                  <c:v>59.3</c:v>
                </c:pt>
                <c:pt idx="8">
                  <c:v>60.9</c:v>
                </c:pt>
                <c:pt idx="9">
                  <c:v>62.8</c:v>
                </c:pt>
                <c:pt idx="10">
                  <c:v>63.9</c:v>
                </c:pt>
                <c:pt idx="11">
                  <c:v>64.599999999999994</c:v>
                </c:pt>
                <c:pt idx="12">
                  <c:v>65.7</c:v>
                </c:pt>
                <c:pt idx="13">
                  <c:v>66</c:v>
                </c:pt>
                <c:pt idx="14">
                  <c:v>66.5</c:v>
                </c:pt>
                <c:pt idx="15">
                  <c:v>66.8</c:v>
                </c:pt>
                <c:pt idx="16">
                  <c:v>67.3</c:v>
                </c:pt>
                <c:pt idx="17">
                  <c:v>67.8</c:v>
                </c:pt>
              </c:numCache>
            </c:numRef>
          </c:val>
          <c:smooth val="0"/>
          <c:extLst>
            <c:ext xmlns:c16="http://schemas.microsoft.com/office/drawing/2014/chart" uri="{C3380CC4-5D6E-409C-BE32-E72D297353CC}">
              <c16:uniqueId val="{00000001-F77A-49C4-A1A8-C781729DC7E2}"/>
            </c:ext>
          </c:extLst>
        </c:ser>
        <c:ser>
          <c:idx val="2"/>
          <c:order val="2"/>
          <c:tx>
            <c:strRef>
              <c:f>'Life Expectancy '!$D$11</c:f>
              <c:strCache>
                <c:ptCount val="1"/>
                <c:pt idx="0">
                  <c:v>LE combined  StatsSA</c:v>
                </c:pt>
              </c:strCache>
            </c:strRef>
          </c:tx>
          <c:spPr>
            <a:ln w="15875">
              <a:solidFill>
                <a:srgbClr val="993300"/>
              </a:solidFill>
              <a:prstDash val="solid"/>
            </a:ln>
          </c:spPr>
          <c:marker>
            <c:symbol val="none"/>
          </c:marker>
          <c:cat>
            <c:numRef>
              <c:f>'Life Expectancy '!$E$8:$V$8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'Life Expectancy '!$E$11:$V$11</c:f>
              <c:numCache>
                <c:formatCode>0.0</c:formatCode>
                <c:ptCount val="18"/>
                <c:pt idx="0">
                  <c:v>55.8</c:v>
                </c:pt>
                <c:pt idx="1">
                  <c:v>55.4</c:v>
                </c:pt>
                <c:pt idx="2">
                  <c:v>54.7</c:v>
                </c:pt>
                <c:pt idx="3">
                  <c:v>54.2</c:v>
                </c:pt>
                <c:pt idx="4">
                  <c:v>54.1</c:v>
                </c:pt>
                <c:pt idx="5">
                  <c:v>54.6</c:v>
                </c:pt>
                <c:pt idx="6">
                  <c:v>55.2</c:v>
                </c:pt>
                <c:pt idx="7">
                  <c:v>57</c:v>
                </c:pt>
                <c:pt idx="8">
                  <c:v>58.4</c:v>
                </c:pt>
                <c:pt idx="9">
                  <c:v>60.2</c:v>
                </c:pt>
                <c:pt idx="10">
                  <c:v>61.2</c:v>
                </c:pt>
                <c:pt idx="11">
                  <c:v>61.9</c:v>
                </c:pt>
                <c:pt idx="12">
                  <c:v>62.8</c:v>
                </c:pt>
                <c:pt idx="13">
                  <c:v>63.2</c:v>
                </c:pt>
                <c:pt idx="14">
                  <c:v>63.8</c:v>
                </c:pt>
                <c:pt idx="15">
                  <c:v>64.2</c:v>
                </c:pt>
                <c:pt idx="16">
                  <c:v>64.599999999999994</c:v>
                </c:pt>
                <c:pt idx="17">
                  <c:v>65</c:v>
                </c:pt>
              </c:numCache>
            </c:numRef>
          </c:val>
          <c:smooth val="0"/>
          <c:extLst>
            <c:ext xmlns:c16="http://schemas.microsoft.com/office/drawing/2014/chart" uri="{C3380CC4-5D6E-409C-BE32-E72D297353CC}">
              <c16:uniqueId val="{00000002-F77A-49C4-A1A8-C781729DC7E2}"/>
            </c:ext>
          </c:extLst>
        </c:ser>
        <c:dLbls>
          <c:showLegendKey val="0"/>
          <c:showVal val="0"/>
          <c:showCatName val="0"/>
          <c:showSerName val="0"/>
          <c:showPercent val="0"/>
          <c:showBubbleSize val="0"/>
        </c:dLbls>
        <c:smooth val="0"/>
        <c:axId val="81438208"/>
        <c:axId val="81439744"/>
      </c:lineChart>
      <c:catAx>
        <c:axId val="8143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81439744"/>
        <c:crosses val="autoZero"/>
        <c:auto val="1"/>
        <c:lblAlgn val="ctr"/>
        <c:lblOffset val="100"/>
        <c:tickLblSkip val="1"/>
        <c:tickMarkSkip val="1"/>
        <c:noMultiLvlLbl val="0"/>
      </c:catAx>
      <c:valAx>
        <c:axId val="81439744"/>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58E-2"/>
              <c:y val="0.368771461706824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81438208"/>
        <c:crosses val="autoZero"/>
        <c:crossBetween val="between"/>
      </c:valAx>
      <c:spPr>
        <a:solidFill>
          <a:srgbClr val="FFFFFF"/>
        </a:solidFill>
        <a:ln w="25400">
          <a:noFill/>
        </a:ln>
      </c:spPr>
    </c:plotArea>
    <c:legend>
      <c:legendPos val="r"/>
      <c:layout>
        <c:manualLayout>
          <c:xMode val="edge"/>
          <c:yMode val="edge"/>
          <c:x val="4.9054683767365964E-2"/>
          <c:y val="0.91516709511568106"/>
          <c:w val="0.86539280107717065"/>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77" r="0.75000000000000577" t="1" header="0.5" footer="0.5"/>
    <c:pageSetup paperSize="9" orientation="landscape" horizontalDpi="0"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5.2741749118094934E-2"/>
          <c:y val="0.23612476470744187"/>
          <c:w val="0.90298077047153769"/>
          <c:h val="0.70087976539590002"/>
        </c:manualLayout>
      </c:layout>
      <c:lineChart>
        <c:grouping val="standard"/>
        <c:varyColors val="0"/>
        <c:ser>
          <c:idx val="0"/>
          <c:order val="0"/>
          <c:tx>
            <c:strRef>
              <c:f>'NFDI   '!$D$8</c:f>
              <c:strCache>
                <c:ptCount val="1"/>
                <c:pt idx="0">
                  <c:v>FDI</c:v>
                </c:pt>
              </c:strCache>
            </c:strRef>
          </c:tx>
          <c:marker>
            <c:symbol val="none"/>
          </c:marker>
          <c:cat>
            <c:strRef>
              <c:extLst>
                <c:ext xmlns:c15="http://schemas.microsoft.com/office/drawing/2012/chart" uri="{02D57815-91ED-43cb-92C2-25804820EDAC}">
                  <c15:fullRef>
                    <c15:sqref>'NFDI   '!$E$7:$AD$7</c15:sqref>
                  </c15:fullRef>
                </c:ext>
              </c:extLst>
              <c:f>'NFDI   '!$Q$7:$AD$7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extLst>
                <c:ext xmlns:c15="http://schemas.microsoft.com/office/drawing/2012/chart" uri="{02D57815-91ED-43cb-92C2-25804820EDAC}">
                  <c15:fullRef>
                    <c15:sqref>'NFDI   '!$E$8:$AD$8</c15:sqref>
                  </c15:fullRef>
                </c:ext>
              </c:extLst>
              <c:f>'NFDI   '!$Q$8:$AD$8</c:f>
              <c:numCache>
                <c:formatCode>#\ ##0.000</c:formatCode>
                <c:ptCount val="14"/>
                <c:pt idx="0" formatCode="#,##0.00">
                  <c:v>-38.948999999999998</c:v>
                </c:pt>
                <c:pt idx="1" formatCode="#,##0.00">
                  <c:v>25.167000000000002</c:v>
                </c:pt>
                <c:pt idx="2" formatCode="#,##0.00">
                  <c:v>101.967</c:v>
                </c:pt>
                <c:pt idx="3" formatCode="#,##0.00">
                  <c:v>53.813000000000002</c:v>
                </c:pt>
                <c:pt idx="4" formatCode="#,##0.00">
                  <c:v>27.170999999999999</c:v>
                </c:pt>
                <c:pt idx="5" formatCode="#,##0.00">
                  <c:v>32.673000000000002</c:v>
                </c:pt>
                <c:pt idx="6" formatCode="#,##0.00">
                  <c:v>12.9</c:v>
                </c:pt>
                <c:pt idx="7" formatCode="#,##0.00">
                  <c:v>15.942</c:v>
                </c:pt>
                <c:pt idx="8" formatCode="#,##0.00">
                  <c:v>-20.606999999999999</c:v>
                </c:pt>
                <c:pt idx="9" formatCode="#,##0.00">
                  <c:v>-51.216999999999999</c:v>
                </c:pt>
                <c:pt idx="10" formatCode="#,##0.00">
                  <c:v>-32.942</c:v>
                </c:pt>
                <c:pt idx="11" formatCode="#,##0.00">
                  <c:v>-71.453000000000003</c:v>
                </c:pt>
                <c:pt idx="12" formatCode="#,##0.00">
                  <c:v>18.18</c:v>
                </c:pt>
                <c:pt idx="13" formatCode="#,##0.00">
                  <c:v>21.76</c:v>
                </c:pt>
              </c:numCache>
            </c:numRef>
          </c:val>
          <c:smooth val="0"/>
          <c:extLst>
            <c:ext xmlns:c16="http://schemas.microsoft.com/office/drawing/2014/chart" uri="{C3380CC4-5D6E-409C-BE32-E72D297353CC}">
              <c16:uniqueId val="{00000000-EA08-4222-81B6-E3F6BE812568}"/>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25"/>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mortality'!$G$52</c:f>
              <c:strCache>
                <c:ptCount val="1"/>
                <c:pt idx="0">
                  <c:v>Infant mortality rate (IMR)</c:v>
                </c:pt>
              </c:strCache>
            </c:strRef>
          </c:tx>
          <c:spPr>
            <a:ln w="15875">
              <a:solidFill>
                <a:schemeClr val="accent6">
                  <a:lumMod val="75000"/>
                </a:schemeClr>
              </a:solidFill>
            </a:ln>
          </c:spPr>
          <c:marker>
            <c:symbol val="none"/>
          </c:marker>
          <c:cat>
            <c:numRef>
              <c:extLst>
                <c:ext xmlns:c15="http://schemas.microsoft.com/office/drawing/2012/chart" uri="{02D57815-91ED-43cb-92C2-25804820EDAC}">
                  <c15:fullRef>
                    <c15:sqref>'Infant &amp; Child mortality'!$H$51:$Y$51</c15:sqref>
                  </c15:fullRef>
                </c:ext>
              </c:extLst>
              <c:f>'Infant &amp; Child mortality'!$M$51:$Y$51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xmlns:c15="http://schemas.microsoft.com/office/drawing/2012/chart" uri="{02D57815-91ED-43cb-92C2-25804820EDAC}">
                  <c15:fullRef>
                    <c15:sqref>'Infant &amp; Child mortality'!$H$52:$Y$52</c15:sqref>
                  </c15:fullRef>
                </c:ext>
              </c:extLst>
              <c:f>'Infant &amp; Child mortality'!$M$52:$Y$52</c:f>
              <c:numCache>
                <c:formatCode>General</c:formatCode>
                <c:ptCount val="13"/>
                <c:pt idx="0">
                  <c:v>49.5</c:v>
                </c:pt>
                <c:pt idx="1">
                  <c:v>47.4</c:v>
                </c:pt>
                <c:pt idx="2">
                  <c:v>44</c:v>
                </c:pt>
                <c:pt idx="3">
                  <c:v>38.200000000000003</c:v>
                </c:pt>
                <c:pt idx="4">
                  <c:v>36.9</c:v>
                </c:pt>
                <c:pt idx="5">
                  <c:v>34</c:v>
                </c:pt>
                <c:pt idx="6">
                  <c:v>31.7</c:v>
                </c:pt>
                <c:pt idx="7">
                  <c:v>30.3</c:v>
                </c:pt>
                <c:pt idx="8">
                  <c:v>29</c:v>
                </c:pt>
                <c:pt idx="9">
                  <c:v>27.9</c:v>
                </c:pt>
                <c:pt idx="10">
                  <c:v>26.9</c:v>
                </c:pt>
                <c:pt idx="11">
                  <c:v>26</c:v>
                </c:pt>
                <c:pt idx="12">
                  <c:v>22.1</c:v>
                </c:pt>
              </c:numCache>
            </c:numRef>
          </c:val>
          <c:smooth val="0"/>
          <c:extLst>
            <c:ext xmlns:c16="http://schemas.microsoft.com/office/drawing/2014/chart" uri="{C3380CC4-5D6E-409C-BE32-E72D297353CC}">
              <c16:uniqueId val="{00000000-603C-4B24-B623-7E159BBA44A8}"/>
            </c:ext>
          </c:extLst>
        </c:ser>
        <c:ser>
          <c:idx val="1"/>
          <c:order val="1"/>
          <c:tx>
            <c:strRef>
              <c:f>'Infant &amp; Child mortality'!$G$53</c:f>
              <c:strCache>
                <c:ptCount val="1"/>
                <c:pt idx="0">
                  <c:v>Under 5 mortality rate (U5MR)</c:v>
                </c:pt>
              </c:strCache>
            </c:strRef>
          </c:tx>
          <c:spPr>
            <a:ln w="15875"/>
          </c:spPr>
          <c:marker>
            <c:symbol val="none"/>
          </c:marker>
          <c:cat>
            <c:numRef>
              <c:extLst>
                <c:ext xmlns:c15="http://schemas.microsoft.com/office/drawing/2012/chart" uri="{02D57815-91ED-43cb-92C2-25804820EDAC}">
                  <c15:fullRef>
                    <c15:sqref>'Infant &amp; Child mortality'!$H$51:$Y$51</c15:sqref>
                  </c15:fullRef>
                </c:ext>
              </c:extLst>
              <c:f>'Infant &amp; Child mortality'!$M$51:$Y$51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xmlns:c15="http://schemas.microsoft.com/office/drawing/2012/chart" uri="{02D57815-91ED-43cb-92C2-25804820EDAC}">
                  <c15:fullRef>
                    <c15:sqref>'Infant &amp; Child mortality'!$H$53:$Y$53</c15:sqref>
                  </c15:fullRef>
                </c:ext>
              </c:extLst>
              <c:f>'Infant &amp; Child mortality'!$M$53:$Y$53</c:f>
              <c:numCache>
                <c:formatCode>General</c:formatCode>
                <c:ptCount val="13"/>
                <c:pt idx="0">
                  <c:v>68</c:v>
                </c:pt>
                <c:pt idx="1">
                  <c:v>64</c:v>
                </c:pt>
                <c:pt idx="2">
                  <c:v>57.1</c:v>
                </c:pt>
                <c:pt idx="3">
                  <c:v>53.5</c:v>
                </c:pt>
                <c:pt idx="4">
                  <c:v>48.8</c:v>
                </c:pt>
                <c:pt idx="5">
                  <c:v>44.1</c:v>
                </c:pt>
                <c:pt idx="6">
                  <c:v>41</c:v>
                </c:pt>
                <c:pt idx="7">
                  <c:v>39.799999999999997</c:v>
                </c:pt>
                <c:pt idx="8">
                  <c:v>39.200000000000003</c:v>
                </c:pt>
                <c:pt idx="9">
                  <c:v>38.700000000000003</c:v>
                </c:pt>
                <c:pt idx="10">
                  <c:v>38.200000000000003</c:v>
                </c:pt>
                <c:pt idx="11">
                  <c:v>37.9</c:v>
                </c:pt>
                <c:pt idx="12">
                  <c:v>28.5</c:v>
                </c:pt>
              </c:numCache>
            </c:numRef>
          </c:val>
          <c:smooth val="0"/>
          <c:extLst>
            <c:ext xmlns:c16="http://schemas.microsoft.com/office/drawing/2014/chart" uri="{C3380CC4-5D6E-409C-BE32-E72D297353CC}">
              <c16:uniqueId val="{00000001-603C-4B24-B623-7E159BBA44A8}"/>
            </c:ext>
          </c:extLst>
        </c:ser>
        <c:dLbls>
          <c:showLegendKey val="0"/>
          <c:showVal val="0"/>
          <c:showCatName val="0"/>
          <c:showSerName val="0"/>
          <c:showPercent val="0"/>
          <c:showBubbleSize val="0"/>
        </c:dLbls>
        <c:smooth val="0"/>
        <c:axId val="80720256"/>
        <c:axId val="80721792"/>
      </c:lineChart>
      <c:catAx>
        <c:axId val="80720256"/>
        <c:scaling>
          <c:orientation val="minMax"/>
        </c:scaling>
        <c:delete val="0"/>
        <c:axPos val="b"/>
        <c:numFmt formatCode="General" sourceLinked="1"/>
        <c:majorTickMark val="none"/>
        <c:minorTickMark val="none"/>
        <c:tickLblPos val="nextTo"/>
        <c:spPr>
          <a:ln>
            <a:solidFill>
              <a:schemeClr val="tx1"/>
            </a:solidFill>
          </a:ln>
        </c:spPr>
        <c:crossAx val="80721792"/>
        <c:crosses val="autoZero"/>
        <c:auto val="1"/>
        <c:lblAlgn val="ctr"/>
        <c:lblOffset val="100"/>
        <c:noMultiLvlLbl val="0"/>
      </c:catAx>
      <c:valAx>
        <c:axId val="80721792"/>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General" sourceLinked="1"/>
        <c:majorTickMark val="none"/>
        <c:minorTickMark val="none"/>
        <c:tickLblPos val="nextTo"/>
        <c:spPr>
          <a:ln>
            <a:solidFill>
              <a:schemeClr val="tx1"/>
            </a:solidFill>
          </a:ln>
        </c:spPr>
        <c:crossAx val="80720256"/>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714E-2"/>
        </c:manualLayout>
      </c:layout>
      <c:overlay val="0"/>
      <c:spPr>
        <a:noFill/>
        <a:ln w="25400">
          <a:noFill/>
        </a:ln>
      </c:spPr>
    </c:title>
    <c:autoTitleDeleted val="0"/>
    <c:plotArea>
      <c:layout>
        <c:manualLayout>
          <c:layoutTarget val="inner"/>
          <c:xMode val="edge"/>
          <c:yMode val="edge"/>
          <c:x val="6.6492882117385313E-2"/>
          <c:y val="0.22033936295049308"/>
          <c:w val="0.91069172860771785"/>
          <c:h val="0.71387761335867583"/>
        </c:manualLayout>
      </c:layout>
      <c:lineChart>
        <c:grouping val="standard"/>
        <c:varyColors val="0"/>
        <c:ser>
          <c:idx val="0"/>
          <c:order val="0"/>
          <c:tx>
            <c:strRef>
              <c:f>'Severe Acute Malnutrition'!$D$9</c:f>
              <c:strCache>
                <c:ptCount val="1"/>
                <c:pt idx="0">
                  <c:v>Severe acute malnutrition under five years</c:v>
                </c:pt>
              </c:strCache>
            </c:strRef>
          </c:tx>
          <c:spPr>
            <a:ln w="25400">
              <a:solidFill>
                <a:srgbClr val="FF6600"/>
              </a:solidFill>
              <a:prstDash val="solid"/>
            </a:ln>
          </c:spPr>
          <c:marker>
            <c:symbol val="none"/>
          </c:marker>
          <c:cat>
            <c:numRef>
              <c:f>'Severe Acute Malnutrition'!$G$8:$Y$8</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'Severe Acute Malnutrition'!$G$9:$Y$9</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_ * #\ ##0_ ;_ * \-#\ ##0_ ;_ * &quot;-&quot;??_ ;_ @_ ">
                  <c:v>11194</c:v>
                </c:pt>
              </c:numCache>
            </c:numRef>
          </c:val>
          <c:smooth val="0"/>
          <c:extLst>
            <c:ext xmlns:c16="http://schemas.microsoft.com/office/drawing/2014/chart" uri="{C3380CC4-5D6E-409C-BE32-E72D297353CC}">
              <c16:uniqueId val="{00000000-AC37-4810-9B89-70F05E792F0E}"/>
            </c:ext>
          </c:extLst>
        </c:ser>
        <c:dLbls>
          <c:showLegendKey val="0"/>
          <c:showVal val="0"/>
          <c:showCatName val="0"/>
          <c:showSerName val="0"/>
          <c:showPercent val="0"/>
          <c:showBubbleSize val="0"/>
        </c:dLbls>
        <c:smooth val="0"/>
        <c:axId val="81086720"/>
        <c:axId val="81100800"/>
      </c:lineChart>
      <c:catAx>
        <c:axId val="8108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100800"/>
        <c:crosses val="autoZero"/>
        <c:auto val="1"/>
        <c:lblAlgn val="ctr"/>
        <c:lblOffset val="100"/>
        <c:tickLblSkip val="1"/>
        <c:tickMarkSkip val="1"/>
        <c:noMultiLvlLbl val="0"/>
      </c:catAx>
      <c:valAx>
        <c:axId val="81100800"/>
        <c:scaling>
          <c:orientation val="minMax"/>
          <c:max val="28500"/>
          <c:min val="1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85"/>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086720"/>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
          <c:y val="6.9768031332532204E-2"/>
          <c:w val="0.86830166438775991"/>
          <c:h val="0.79181527542702035"/>
        </c:manualLayout>
      </c:layout>
      <c:lineChart>
        <c:grouping val="standard"/>
        <c:varyColors val="0"/>
        <c:ser>
          <c:idx val="0"/>
          <c:order val="0"/>
          <c:tx>
            <c:strRef>
              <c:f>'Severe Acute Malnutrition'!$F$131:$W$131</c:f>
              <c:strCache>
                <c:ptCount val="18"/>
                <c:pt idx="0">
                  <c:v>number</c:v>
                </c:pt>
                <c:pt idx="1">
                  <c:v>66 813</c:v>
                </c:pt>
                <c:pt idx="2">
                  <c:v>70 276</c:v>
                </c:pt>
                <c:pt idx="3">
                  <c:v>61 710</c:v>
                </c:pt>
                <c:pt idx="4">
                  <c:v>39 684</c:v>
                </c:pt>
                <c:pt idx="5">
                  <c:v>32 242</c:v>
                </c:pt>
                <c:pt idx="6">
                  <c:v>29 005</c:v>
                </c:pt>
                <c:pt idx="7">
                  <c:v>27 062</c:v>
                </c:pt>
                <c:pt idx="8">
                  <c:v>27 042</c:v>
                </c:pt>
                <c:pt idx="9">
                  <c:v>27 988</c:v>
                </c:pt>
                <c:pt idx="10">
                  <c:v>24 955</c:v>
                </c:pt>
                <c:pt idx="11">
                  <c:v>23 428</c:v>
                </c:pt>
                <c:pt idx="12">
                  <c:v>20 729</c:v>
                </c:pt>
                <c:pt idx="13">
                  <c:v>22 265</c:v>
                </c:pt>
                <c:pt idx="14">
                  <c:v>25 235</c:v>
                </c:pt>
                <c:pt idx="15">
                  <c:v>23 540</c:v>
                </c:pt>
                <c:pt idx="16">
                  <c:v>21 123</c:v>
                </c:pt>
                <c:pt idx="17">
                  <c:v>12 539</c:v>
                </c:pt>
              </c:strCache>
            </c:strRef>
          </c:tx>
          <c:marker>
            <c:symbol val="none"/>
          </c:marker>
          <c:cat>
            <c:numRef>
              <c:f>'Severe Acute Malnutrition'!$G$130:$X$130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'Severe Acute Malnutrition'!$X$131</c:f>
              <c:numCache>
                <c:formatCode>0.00</c:formatCode>
                <c:ptCount val="1"/>
                <c:pt idx="0">
                  <c:v>0</c:v>
                </c:pt>
              </c:numCache>
            </c:numRef>
          </c:val>
          <c:smooth val="0"/>
          <c:extLst>
            <c:ext xmlns:c16="http://schemas.microsoft.com/office/drawing/2014/chart" uri="{C3380CC4-5D6E-409C-BE32-E72D297353CC}">
              <c16:uniqueId val="{00000000-BD40-4C62-A1B6-B9AD3FE74F54}"/>
            </c:ext>
          </c:extLst>
        </c:ser>
        <c:dLbls>
          <c:showLegendKey val="0"/>
          <c:showVal val="0"/>
          <c:showCatName val="0"/>
          <c:showSerName val="0"/>
          <c:showPercent val="0"/>
          <c:showBubbleSize val="0"/>
        </c:dLbls>
        <c:smooth val="0"/>
        <c:axId val="81117184"/>
        <c:axId val="81118720"/>
      </c:lineChart>
      <c:catAx>
        <c:axId val="8111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81118720"/>
        <c:crosses val="autoZero"/>
        <c:auto val="1"/>
        <c:lblAlgn val="ctr"/>
        <c:lblOffset val="100"/>
        <c:tickLblSkip val="1"/>
        <c:tickMarkSkip val="1"/>
        <c:noMultiLvlLbl val="0"/>
      </c:catAx>
      <c:valAx>
        <c:axId val="81118720"/>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85"/>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81117184"/>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111" r="0.75000000000000111"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'Severe Acute Malnutrition'!$F$9</c:f>
              <c:strCache>
                <c:ptCount val="1"/>
                <c:pt idx="0">
                  <c:v>number</c:v>
                </c:pt>
              </c:strCache>
            </c:strRef>
          </c:tx>
          <c:spPr>
            <a:solidFill>
              <a:schemeClr val="accent2"/>
            </a:solidFill>
            <a:ln>
              <a:noFill/>
            </a:ln>
            <a:effectLst/>
          </c:spPr>
          <c:invertIfNegative val="0"/>
          <c:cat>
            <c:numRef>
              <c:f>'Severe Acute Malnutrition'!$H$8:$Y$8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'Severe Acute Malnutrition'!$H$9:$Y$9</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_ * #\ ##0_ ;_ * \-#\ ##0_ ;_ * &quot;-&quot;??_ ;_ @_ ">
                  <c:v>11194</c:v>
                </c:pt>
              </c:numCache>
            </c:numRef>
          </c:val>
          <c:extLst>
            <c:ext xmlns:c16="http://schemas.microsoft.com/office/drawing/2014/chart" uri="{C3380CC4-5D6E-409C-BE32-E72D297353CC}">
              <c16:uniqueId val="{00000000-0B54-44B9-9BC5-6EB6F74AF9EB}"/>
            </c:ext>
          </c:extLst>
        </c:ser>
        <c:dLbls>
          <c:showLegendKey val="0"/>
          <c:showVal val="0"/>
          <c:showCatName val="0"/>
          <c:showSerName val="0"/>
          <c:showPercent val="0"/>
          <c:showBubbleSize val="0"/>
        </c:dLbls>
        <c:gapWidth val="219"/>
        <c:overlap val="-27"/>
        <c:axId val="81425536"/>
        <c:axId val="81427072"/>
      </c:barChart>
      <c:catAx>
        <c:axId val="8142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27072"/>
        <c:crosses val="autoZero"/>
        <c:auto val="1"/>
        <c:lblAlgn val="ctr"/>
        <c:lblOffset val="100"/>
        <c:noMultiLvlLbl val="0"/>
      </c:catAx>
      <c:valAx>
        <c:axId val="81427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2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'Severe Acute Malnutrition'!$F$131</c:f>
              <c:strCache>
                <c:ptCount val="1"/>
                <c:pt idx="0">
                  <c:v>number</c:v>
                </c:pt>
              </c:strCache>
            </c:strRef>
          </c:tx>
          <c:spPr>
            <a:solidFill>
              <a:schemeClr val="accent1"/>
            </a:solidFill>
            <a:ln>
              <a:noFill/>
            </a:ln>
            <a:effectLst/>
          </c:spPr>
          <c:invertIfNegative val="0"/>
          <c:cat>
            <c:numRef>
              <c:extLst>
                <c:ext xmlns:c15="http://schemas.microsoft.com/office/drawing/2012/chart" uri="{02D57815-91ED-43cb-92C2-25804820EDAC}">
                  <c15:fullRef>
                    <c15:sqref>'Severe Acute Malnutrition'!$G$130:$X$130</c15:sqref>
                  </c15:fullRef>
                </c:ext>
              </c:extLst>
              <c:f>'Severe Acute Malnutrition'!$K$130:$X$130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'Severe Acute Malnutrition'!$G$131:$X$131</c15:sqref>
                  </c15:fullRef>
                </c:ext>
              </c:extLst>
              <c:f>'Severe Acute Malnutrition'!$K$131:$X$131</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89D8-409A-9B24-02CC34F96C14}"/>
            </c:ext>
          </c:extLst>
        </c:ser>
        <c:dLbls>
          <c:showLegendKey val="0"/>
          <c:showVal val="0"/>
          <c:showCatName val="0"/>
          <c:showSerName val="0"/>
          <c:showPercent val="0"/>
          <c:showBubbleSize val="0"/>
        </c:dLbls>
        <c:gapWidth val="219"/>
        <c:overlap val="-27"/>
        <c:axId val="81492224"/>
        <c:axId val="81506304"/>
      </c:barChart>
      <c:catAx>
        <c:axId val="8149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06304"/>
        <c:crosses val="autoZero"/>
        <c:auto val="1"/>
        <c:lblAlgn val="ctr"/>
        <c:lblOffset val="100"/>
        <c:noMultiLvlLbl val="0"/>
      </c:catAx>
      <c:valAx>
        <c:axId val="81506304"/>
        <c:scaling>
          <c:orientation val="minMax"/>
          <c:max val="40000"/>
          <c:min val="2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9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771E-2"/>
          <c:y val="3.2051064039530272E-2"/>
        </c:manualLayout>
      </c:layout>
      <c:overlay val="0"/>
      <c:spPr>
        <a:noFill/>
        <a:ln w="25400">
          <a:noFill/>
        </a:ln>
      </c:spPr>
    </c:title>
    <c:autoTitleDeleted val="0"/>
    <c:plotArea>
      <c:layout>
        <c:manualLayout>
          <c:layoutTarget val="inner"/>
          <c:xMode val="edge"/>
          <c:yMode val="edge"/>
          <c:x val="5.6009599746403925E-2"/>
          <c:y val="0.1194240025173965"/>
          <c:w val="0.92138423728334262"/>
          <c:h val="0.77820056212319666"/>
        </c:manualLayout>
      </c:layout>
      <c:lineChart>
        <c:grouping val="standard"/>
        <c:varyColors val="0"/>
        <c:ser>
          <c:idx val="1"/>
          <c:order val="0"/>
          <c:tx>
            <c:strRef>
              <c:f>Immunization!$D$9</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Immunization!$N$8:$Z$8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Immunization!$N$9:$Z$9</c:f>
              <c:numCache>
                <c:formatCode>0.0%</c:formatCode>
                <c:ptCount val="13"/>
                <c:pt idx="0">
                  <c:v>0.73499999999999999</c:v>
                </c:pt>
                <c:pt idx="1">
                  <c:v>0.75</c:v>
                </c:pt>
                <c:pt idx="2">
                  <c:v>0.77100000000000002</c:v>
                </c:pt>
                <c:pt idx="3">
                  <c:v>0.71199999999999997</c:v>
                </c:pt>
                <c:pt idx="4">
                  <c:v>0.752</c:v>
                </c:pt>
                <c:pt idx="5">
                  <c:v>0.77300000000000002</c:v>
                </c:pt>
                <c:pt idx="6">
                  <c:v>0.77800000000000002</c:v>
                </c:pt>
                <c:pt idx="7">
                  <c:v>0.81100000000000005</c:v>
                </c:pt>
                <c:pt idx="8">
                  <c:v>0.82699999999999996</c:v>
                </c:pt>
                <c:pt idx="9">
                  <c:v>0.71299999999999997</c:v>
                </c:pt>
                <c:pt idx="10">
                  <c:v>0.746</c:v>
                </c:pt>
                <c:pt idx="11">
                  <c:v>0.81799999999999995</c:v>
                </c:pt>
                <c:pt idx="12">
                  <c:v>0.83199999999999996</c:v>
                </c:pt>
              </c:numCache>
            </c:numRef>
          </c:val>
          <c:smooth val="0"/>
          <c:extLst>
            <c:ext xmlns:c16="http://schemas.microsoft.com/office/drawing/2014/chart" uri="{C3380CC4-5D6E-409C-BE32-E72D297353CC}">
              <c16:uniqueId val="{00000000-71DE-4222-90E9-01CC3B697AAC}"/>
            </c:ext>
          </c:extLst>
        </c:ser>
        <c:dLbls>
          <c:showLegendKey val="0"/>
          <c:showVal val="0"/>
          <c:showCatName val="0"/>
          <c:showSerName val="0"/>
          <c:showPercent val="0"/>
          <c:showBubbleSize val="0"/>
        </c:dLbls>
        <c:marker val="1"/>
        <c:smooth val="0"/>
        <c:axId val="81825152"/>
        <c:axId val="81831424"/>
      </c:lineChart>
      <c:catAx>
        <c:axId val="8182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831424"/>
        <c:crosses val="autoZero"/>
        <c:auto val="1"/>
        <c:lblAlgn val="ctr"/>
        <c:lblOffset val="100"/>
        <c:tickLblSkip val="1"/>
        <c:tickMarkSkip val="1"/>
        <c:noMultiLvlLbl val="0"/>
      </c:catAx>
      <c:valAx>
        <c:axId val="81831424"/>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825152"/>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Maternal Deaths / 100 000 live births</a:t>
            </a:r>
          </a:p>
        </c:rich>
      </c:tx>
      <c:overlay val="0"/>
      <c:spPr>
        <a:noFill/>
        <a:ln>
          <a:noFill/>
        </a:ln>
        <a:effectLst/>
      </c:spPr>
    </c:title>
    <c:autoTitleDeleted val="0"/>
    <c:plotArea>
      <c:layout>
        <c:manualLayout>
          <c:layoutTarget val="inner"/>
          <c:xMode val="edge"/>
          <c:yMode val="edge"/>
          <c:x val="3.6971400373318482E-2"/>
          <c:y val="0.15850427350427362"/>
          <c:w val="0.95212941706537435"/>
          <c:h val="0.64460091527020702"/>
        </c:manualLayout>
      </c:layout>
      <c:lineChart>
        <c:grouping val="standard"/>
        <c:varyColors val="0"/>
        <c:ser>
          <c:idx val="0"/>
          <c:order val="0"/>
          <c:tx>
            <c:strRef>
              <c:f>'Maternal Mortality'!$C$10</c:f>
              <c:strCache>
                <c:ptCount val="1"/>
                <c:pt idx="0">
                  <c:v>StatsSA</c:v>
                </c:pt>
              </c:strCache>
            </c:strRef>
          </c:tx>
          <c:spPr>
            <a:ln w="28575" cap="rnd">
              <a:solidFill>
                <a:schemeClr val="accent4">
                  <a:lumMod val="75000"/>
                </a:schemeClr>
              </a:solidFill>
              <a:round/>
            </a:ln>
            <a:effectLst/>
          </c:spPr>
          <c:marker>
            <c:symbol val="none"/>
          </c:marker>
          <c:cat>
            <c:numRef>
              <c:f>'Maternal Mortality'!$N$9:$Y$9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'Maternal Mortality'!$N$10:$Y$10</c:f>
              <c:numCache>
                <c:formatCode>0</c:formatCode>
                <c:ptCount val="12"/>
                <c:pt idx="0">
                  <c:v>277</c:v>
                </c:pt>
                <c:pt idx="1">
                  <c:v>271</c:v>
                </c:pt>
                <c:pt idx="2">
                  <c:v>283</c:v>
                </c:pt>
                <c:pt idx="3">
                  <c:v>248</c:v>
                </c:pt>
                <c:pt idx="4">
                  <c:v>184</c:v>
                </c:pt>
                <c:pt idx="5">
                  <c:v>155</c:v>
                </c:pt>
                <c:pt idx="6">
                  <c:v>143</c:v>
                </c:pt>
                <c:pt idx="7">
                  <c:v>157</c:v>
                </c:pt>
                <c:pt idx="8">
                  <c:v>141</c:v>
                </c:pt>
                <c:pt idx="9">
                  <c:v>105</c:v>
                </c:pt>
              </c:numCache>
            </c:numRef>
          </c:val>
          <c:smooth val="0"/>
          <c:extLst>
            <c:ext xmlns:c16="http://schemas.microsoft.com/office/drawing/2014/chart" uri="{C3380CC4-5D6E-409C-BE32-E72D297353CC}">
              <c16:uniqueId val="{00000000-2132-486B-B438-5C6AFD80EAE2}"/>
            </c:ext>
          </c:extLst>
        </c:ser>
        <c:ser>
          <c:idx val="2"/>
          <c:order val="1"/>
          <c:tx>
            <c:strRef>
              <c:f>'Martenal mortality'!#REF!</c:f>
              <c:strCache>
                <c:ptCount val="1"/>
                <c:pt idx="0">
                  <c:v>#REF!</c:v>
                </c:pt>
              </c:strCache>
              <c:extLst xmlns:c15="http://schemas.microsoft.com/office/drawing/2012/chart"/>
            </c:strRef>
          </c:tx>
          <c:spPr>
            <a:ln w="28575" cap="rnd">
              <a:solidFill>
                <a:schemeClr val="accent3"/>
              </a:solidFill>
              <a:round/>
            </a:ln>
            <a:effectLst/>
          </c:spPr>
          <c:marker>
            <c:symbol val="none"/>
          </c:marker>
          <c:cat>
            <c:numRef>
              <c:f>'Maternal Mortality'!$N$9:$Y$9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'Martenal mortality'!#REF!</c:f>
              <c:extLst xmlns:c15="http://schemas.microsoft.com/office/drawing/2012/chart"/>
            </c:numRef>
          </c:val>
          <c:smooth val="0"/>
          <c:extLst xmlns:c15="http://schemas.microsoft.com/office/drawing/2012/chart">
            <c:ext xmlns:c16="http://schemas.microsoft.com/office/drawing/2014/chart" uri="{C3380CC4-5D6E-409C-BE32-E72D297353CC}">
              <c16:uniqueId val="{00000001-2132-486B-B438-5C6AFD80EAE2}"/>
            </c:ext>
          </c:extLst>
        </c:ser>
        <c:ser>
          <c:idx val="3"/>
          <c:order val="2"/>
          <c:tx>
            <c:strRef>
              <c:f>'Maternal Mortality'!$C$12</c:f>
              <c:strCache>
                <c:ptCount val="1"/>
                <c:pt idx="0">
                  <c:v>RMS</c:v>
                </c:pt>
              </c:strCache>
            </c:strRef>
          </c:tx>
          <c:spPr>
            <a:ln w="28575" cap="rnd">
              <a:solidFill>
                <a:schemeClr val="accent4"/>
              </a:solidFill>
              <a:round/>
            </a:ln>
            <a:effectLst/>
          </c:spPr>
          <c:marker>
            <c:symbol val="none"/>
          </c:marker>
          <c:cat>
            <c:numRef>
              <c:f>'Maternal Mortality'!$N$9:$Y$9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'Maternal Mortality'!$N$12:$Y$12</c:f>
              <c:numCache>
                <c:formatCode>0</c:formatCode>
                <c:ptCount val="12"/>
                <c:pt idx="1">
                  <c:v>280</c:v>
                </c:pt>
                <c:pt idx="2">
                  <c:v>304</c:v>
                </c:pt>
                <c:pt idx="3">
                  <c:v>269</c:v>
                </c:pt>
                <c:pt idx="4">
                  <c:v>198</c:v>
                </c:pt>
                <c:pt idx="5">
                  <c:v>164</c:v>
                </c:pt>
                <c:pt idx="6">
                  <c:v>153</c:v>
                </c:pt>
                <c:pt idx="7">
                  <c:v>166</c:v>
                </c:pt>
                <c:pt idx="8">
                  <c:v>153</c:v>
                </c:pt>
                <c:pt idx="9">
                  <c:v>134</c:v>
                </c:pt>
                <c:pt idx="10">
                  <c:v>134.97</c:v>
                </c:pt>
                <c:pt idx="11">
                  <c:v>122.9</c:v>
                </c:pt>
              </c:numCache>
            </c:numRef>
          </c:val>
          <c:smooth val="0"/>
          <c:extLst>
            <c:ext xmlns:c16="http://schemas.microsoft.com/office/drawing/2014/chart" uri="{C3380CC4-5D6E-409C-BE32-E72D297353CC}">
              <c16:uniqueId val="{00000002-2132-486B-B438-5C6AFD80EAE2}"/>
            </c:ext>
          </c:extLst>
        </c:ser>
        <c:dLbls>
          <c:showLegendKey val="0"/>
          <c:showVal val="0"/>
          <c:showCatName val="0"/>
          <c:showSerName val="0"/>
          <c:showPercent val="0"/>
          <c:showBubbleSize val="0"/>
        </c:dLbls>
        <c:smooth val="0"/>
        <c:axId val="83734528"/>
        <c:axId val="83736064"/>
        <c:extLst/>
      </c:lineChart>
      <c:catAx>
        <c:axId val="837345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36064"/>
        <c:crossesAt val="0"/>
        <c:auto val="1"/>
        <c:lblAlgn val="ctr"/>
        <c:lblOffset val="100"/>
        <c:noMultiLvlLbl val="0"/>
      </c:catAx>
      <c:valAx>
        <c:axId val="83736064"/>
        <c:scaling>
          <c:orientation val="minMax"/>
          <c:min val="0"/>
        </c:scaling>
        <c:delete val="0"/>
        <c:axPos val="l"/>
        <c:majorGridlines>
          <c:spPr>
            <a:ln w="9525" cap="flat" cmpd="sng" algn="ctr">
              <a:solidFill>
                <a:srgbClr val="969696"/>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34528"/>
        <c:crosses val="autoZero"/>
        <c:crossBetween val="between"/>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9945525619085"/>
          <c:y val="0.11224143714429632"/>
          <c:w val="0.83439015416471474"/>
          <c:h val="0.72101533543055085"/>
        </c:manualLayout>
      </c:layout>
      <c:lineChart>
        <c:grouping val="standard"/>
        <c:varyColors val="0"/>
        <c:ser>
          <c:idx val="0"/>
          <c:order val="0"/>
          <c:tx>
            <c:strRef>
              <c:f>'HIV Prevalance '!$D$12</c:f>
              <c:strCache>
                <c:ptCount val="1"/>
                <c:pt idx="0">
                  <c:v>Total Population </c:v>
                </c:pt>
              </c:strCache>
            </c:strRef>
          </c:tx>
          <c:spPr>
            <a:ln w="25400">
              <a:solidFill>
                <a:srgbClr val="FF6600"/>
              </a:solidFill>
            </a:ln>
          </c:spPr>
          <c:marker>
            <c:symbol val="none"/>
          </c:marker>
          <c:cat>
            <c:numRef>
              <c:f>'HIV Prevalance '!$F$8:$X$8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'HIV Prevalance '!$F$12:$X$12</c:f>
              <c:numCache>
                <c:formatCode>0.0</c:formatCode>
                <c:ptCount val="19"/>
                <c:pt idx="0">
                  <c:v>8.2173387289003443</c:v>
                </c:pt>
                <c:pt idx="1">
                  <c:v>8.7010987716346939</c:v>
                </c:pt>
                <c:pt idx="2">
                  <c:v>9.0900296049336724</c:v>
                </c:pt>
                <c:pt idx="3">
                  <c:v>9.3957328084118377</c:v>
                </c:pt>
                <c:pt idx="4">
                  <c:v>9.6524797094872419</c:v>
                </c:pt>
                <c:pt idx="5">
                  <c:v>9.8742178188258691</c:v>
                </c:pt>
                <c:pt idx="6">
                  <c:v>10.094624350727569</c:v>
                </c:pt>
                <c:pt idx="7">
                  <c:v>10.374316791081782</c:v>
                </c:pt>
                <c:pt idx="8">
                  <c:v>10.649324909855853</c:v>
                </c:pt>
                <c:pt idx="9">
                  <c:v>10.95650251663824</c:v>
                </c:pt>
                <c:pt idx="10">
                  <c:v>11.267298928452522</c:v>
                </c:pt>
                <c:pt idx="11">
                  <c:v>11.535289914641256</c:v>
                </c:pt>
                <c:pt idx="12">
                  <c:v>11.80105169808755</c:v>
                </c:pt>
                <c:pt idx="13">
                  <c:v>12.048347598485508</c:v>
                </c:pt>
                <c:pt idx="14">
                  <c:v>12.243910710615765</c:v>
                </c:pt>
                <c:pt idx="15">
                  <c:v>12.442742108542994</c:v>
                </c:pt>
                <c:pt idx="16">
                  <c:v>12.637635347899344</c:v>
                </c:pt>
                <c:pt idx="17">
                  <c:v>12.830218011310135</c:v>
                </c:pt>
                <c:pt idx="18">
                  <c:v>13.014651821494851</c:v>
                </c:pt>
              </c:numCache>
            </c:numRef>
          </c:val>
          <c:smooth val="0"/>
          <c:extLst>
            <c:ext xmlns:c16="http://schemas.microsoft.com/office/drawing/2014/chart" uri="{C3380CC4-5D6E-409C-BE32-E72D297353CC}">
              <c16:uniqueId val="{00000000-1A49-40B4-8169-C7D4706FDDCE}"/>
            </c:ext>
          </c:extLst>
        </c:ser>
        <c:ser>
          <c:idx val="1"/>
          <c:order val="1"/>
          <c:tx>
            <c:strRef>
              <c:f>'HIV Prevalance '!$D$9</c:f>
              <c:strCache>
                <c:ptCount val="1"/>
                <c:pt idx="0">
                  <c:v>Youth 15-24</c:v>
                </c:pt>
              </c:strCache>
            </c:strRef>
          </c:tx>
          <c:marker>
            <c:symbol val="none"/>
          </c:marker>
          <c:cat>
            <c:numRef>
              <c:f>'HIV Prevalance '!$F$8:$X$8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'HIV Prevalance '!$F$9:$X$9</c:f>
              <c:numCache>
                <c:formatCode>0.0</c:formatCode>
                <c:ptCount val="19"/>
                <c:pt idx="0">
                  <c:v>6.39</c:v>
                </c:pt>
                <c:pt idx="1">
                  <c:v>6.39</c:v>
                </c:pt>
                <c:pt idx="2">
                  <c:v>6.35</c:v>
                </c:pt>
                <c:pt idx="3">
                  <c:v>6.28</c:v>
                </c:pt>
                <c:pt idx="4">
                  <c:v>6.19</c:v>
                </c:pt>
                <c:pt idx="5">
                  <c:v>6.1</c:v>
                </c:pt>
                <c:pt idx="6">
                  <c:v>6.04</c:v>
                </c:pt>
                <c:pt idx="7">
                  <c:v>6.04</c:v>
                </c:pt>
                <c:pt idx="8">
                  <c:v>6.03</c:v>
                </c:pt>
                <c:pt idx="9">
                  <c:v>6</c:v>
                </c:pt>
                <c:pt idx="10">
                  <c:v>6.01</c:v>
                </c:pt>
                <c:pt idx="11">
                  <c:v>5.96</c:v>
                </c:pt>
                <c:pt idx="12">
                  <c:v>5.87</c:v>
                </c:pt>
                <c:pt idx="13">
                  <c:v>5.8</c:v>
                </c:pt>
                <c:pt idx="14">
                  <c:v>5.65</c:v>
                </c:pt>
                <c:pt idx="15">
                  <c:v>5.55</c:v>
                </c:pt>
                <c:pt idx="16">
                  <c:v>5.47</c:v>
                </c:pt>
                <c:pt idx="17">
                  <c:v>5.4</c:v>
                </c:pt>
                <c:pt idx="18">
                  <c:v>5.34</c:v>
                </c:pt>
              </c:numCache>
            </c:numRef>
          </c:val>
          <c:smooth val="0"/>
          <c:extLst>
            <c:ext xmlns:c16="http://schemas.microsoft.com/office/drawing/2014/chart" uri="{C3380CC4-5D6E-409C-BE32-E72D297353CC}">
              <c16:uniqueId val="{00000001-1A49-40B4-8169-C7D4706FDDCE}"/>
            </c:ext>
          </c:extLst>
        </c:ser>
        <c:ser>
          <c:idx val="3"/>
          <c:order val="3"/>
          <c:tx>
            <c:strRef>
              <c:f>'HIV Prevalance '!$D$10</c:f>
              <c:strCache>
                <c:ptCount val="1"/>
                <c:pt idx="0">
                  <c:v>Adult women 15-49</c:v>
                </c:pt>
              </c:strCache>
            </c:strRef>
          </c:tx>
          <c:marker>
            <c:symbol val="none"/>
          </c:marker>
          <c:cat>
            <c:numRef>
              <c:f>'HIV Prevalance '!$F$8:$X$8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'HIV Prevalance '!$F$10:$X$10</c:f>
              <c:numCache>
                <c:formatCode>0.0</c:formatCode>
                <c:ptCount val="19"/>
                <c:pt idx="0">
                  <c:v>15.39282250545979</c:v>
                </c:pt>
                <c:pt idx="1">
                  <c:v>16.12481981096926</c:v>
                </c:pt>
                <c:pt idx="2">
                  <c:v>16.687309456628228</c:v>
                </c:pt>
                <c:pt idx="3">
                  <c:v>17.123474977001585</c:v>
                </c:pt>
                <c:pt idx="4">
                  <c:v>17.499111709001173</c:v>
                </c:pt>
                <c:pt idx="5">
                  <c:v>17.835965678117184</c:v>
                </c:pt>
                <c:pt idx="6">
                  <c:v>18.184993795216958</c:v>
                </c:pt>
                <c:pt idx="7">
                  <c:v>18.712597536390881</c:v>
                </c:pt>
                <c:pt idx="8">
                  <c:v>19.25495923259782</c:v>
                </c:pt>
                <c:pt idx="9">
                  <c:v>19.834155612902869</c:v>
                </c:pt>
                <c:pt idx="10">
                  <c:v>20.430709594056207</c:v>
                </c:pt>
                <c:pt idx="11">
                  <c:v>20.941656244235425</c:v>
                </c:pt>
                <c:pt idx="12">
                  <c:v>21.413162019495104</c:v>
                </c:pt>
                <c:pt idx="13">
                  <c:v>21.834549041537731</c:v>
                </c:pt>
                <c:pt idx="14">
                  <c:v>22.119719935069256</c:v>
                </c:pt>
                <c:pt idx="15">
                  <c:v>22.39602066160279</c:v>
                </c:pt>
                <c:pt idx="16">
                  <c:v>22.64164989684868</c:v>
                </c:pt>
                <c:pt idx="17">
                  <c:v>22.826585990056262</c:v>
                </c:pt>
                <c:pt idx="18">
                  <c:v>22.954838138334619</c:v>
                </c:pt>
              </c:numCache>
            </c:numRef>
          </c:val>
          <c:smooth val="0"/>
          <c:extLst>
            <c:ext xmlns:c16="http://schemas.microsoft.com/office/drawing/2014/chart" uri="{C3380CC4-5D6E-409C-BE32-E72D297353CC}">
              <c16:uniqueId val="{00000002-1A49-40B4-8169-C7D4706FDDCE}"/>
            </c:ext>
          </c:extLst>
        </c:ser>
        <c:dLbls>
          <c:showLegendKey val="0"/>
          <c:showVal val="0"/>
          <c:showCatName val="0"/>
          <c:showSerName val="0"/>
          <c:showPercent val="0"/>
          <c:showBubbleSize val="0"/>
        </c:dLbls>
        <c:smooth val="0"/>
        <c:axId val="1786713168"/>
        <c:axId val="1786709904"/>
        <c:extLst>
          <c:ext xmlns:c15="http://schemas.microsoft.com/office/drawing/2012/chart" uri="{02D57815-91ED-43cb-92C2-25804820EDAC}">
            <c15:filteredLineSeries>
              <c15:ser>
                <c:idx val="2"/>
                <c:order val="2"/>
                <c:tx>
                  <c:strRef>
                    <c:extLst>
                      <c:ext uri="{02D57815-91ED-43cb-92C2-25804820EDAC}">
                        <c15:formulaRef>
                          <c15:sqref>'HIV Prevalance '!#REF!</c15:sqref>
                        </c15:formulaRef>
                      </c:ext>
                    </c:extLst>
                    <c:strCache>
                      <c:ptCount val="1"/>
                      <c:pt idx="0">
                        <c:v>#REF!</c:v>
                      </c:pt>
                    </c:strCache>
                  </c:strRef>
                </c:tx>
                <c:marker>
                  <c:symbol val="none"/>
                </c:marker>
                <c:cat>
                  <c:numRef>
                    <c:extLst>
                      <c:ext uri="{02D57815-91ED-43cb-92C2-25804820EDAC}">
                        <c15:formulaRef>
                          <c15:sqref>'HIV Prevalance '!$F$8:$X$8</c15:sqref>
                        </c15:formulaRef>
                      </c:ext>
                    </c:extLst>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extLst>
                      <c:ext uri="{02D57815-91ED-43cb-92C2-25804820EDAC}">
                        <c15:formulaRef>
                          <c15:sqref>'HIV Prevalance '!#REF!</c15:sqref>
                        </c15:formulaRef>
                      </c:ext>
                    </c:extLst>
                    <c:numCache>
                      <c:formatCode>General</c:formatCode>
                      <c:ptCount val="1"/>
                      <c:pt idx="0">
                        <c:v>1</c:v>
                      </c:pt>
                    </c:numCache>
                  </c:numRef>
                </c:val>
                <c:smooth val="0"/>
                <c:extLst>
                  <c:ext xmlns:c16="http://schemas.microsoft.com/office/drawing/2014/chart" uri="{C3380CC4-5D6E-409C-BE32-E72D297353CC}">
                    <c16:uniqueId val="{00000003-1A49-40B4-8169-C7D4706FDDCE}"/>
                  </c:ext>
                </c:extLst>
              </c15:ser>
            </c15:filteredLineSeries>
          </c:ext>
        </c:extLst>
      </c:lineChart>
      <c:catAx>
        <c:axId val="1786713168"/>
        <c:scaling>
          <c:orientation val="minMax"/>
        </c:scaling>
        <c:delete val="0"/>
        <c:axPos val="b"/>
        <c:numFmt formatCode="General" sourceLinked="1"/>
        <c:majorTickMark val="none"/>
        <c:minorTickMark val="none"/>
        <c:tickLblPos val="nextTo"/>
        <c:spPr>
          <a:ln>
            <a:solidFill>
              <a:schemeClr val="tx1"/>
            </a:solidFill>
          </a:ln>
        </c:spPr>
        <c:crossAx val="1786709904"/>
        <c:crosses val="autoZero"/>
        <c:auto val="1"/>
        <c:lblAlgn val="ctr"/>
        <c:lblOffset val="100"/>
        <c:noMultiLvlLbl val="0"/>
      </c:catAx>
      <c:valAx>
        <c:axId val="1786709904"/>
        <c:scaling>
          <c:orientation val="minMax"/>
          <c:min val="4"/>
        </c:scaling>
        <c:delete val="0"/>
        <c:axPos val="l"/>
        <c:majorGridlines>
          <c:spPr>
            <a:ln>
              <a:prstDash val="sysDash"/>
            </a:ln>
          </c:spPr>
        </c:majorGridlines>
        <c:title>
          <c:tx>
            <c:rich>
              <a:bodyPr/>
              <a:lstStyle/>
              <a:p>
                <a:pPr>
                  <a:defRPr/>
                </a:pPr>
                <a:r>
                  <a:rPr lang="en-US"/>
                  <a:t>prevalence</a:t>
                </a:r>
              </a:p>
            </c:rich>
          </c:tx>
          <c:layout>
            <c:manualLayout>
              <c:xMode val="edge"/>
              <c:yMode val="edge"/>
              <c:x val="3.8562168690923909E-2"/>
              <c:y val="0.30500994346488713"/>
            </c:manualLayout>
          </c:layout>
          <c:overlay val="0"/>
        </c:title>
        <c:numFmt formatCode="0.0" sourceLinked="1"/>
        <c:majorTickMark val="none"/>
        <c:minorTickMark val="none"/>
        <c:tickLblPos val="nextTo"/>
        <c:spPr>
          <a:ln>
            <a:solidFill>
              <a:schemeClr val="tx1"/>
            </a:solidFill>
          </a:ln>
        </c:spPr>
        <c:crossAx val="1786713168"/>
        <c:crosses val="autoZero"/>
        <c:crossBetween val="between"/>
      </c:valAx>
    </c:plotArea>
    <c:legend>
      <c:legendPos val="b"/>
      <c:overlay val="0"/>
    </c:legend>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875676083620535E-2"/>
          <c:y val="6.0125268867262029E-2"/>
          <c:w val="0.94055243893235385"/>
          <c:h val="0.80935818511113178"/>
        </c:manualLayout>
      </c:layout>
      <c:lineChart>
        <c:grouping val="standard"/>
        <c:varyColors val="0"/>
        <c:ser>
          <c:idx val="9"/>
          <c:order val="0"/>
          <c:tx>
            <c:strRef>
              <c:f>'HIV Prevalance '!$D$14</c:f>
              <c:strCache>
                <c:ptCount val="1"/>
                <c:pt idx="0">
                  <c:v>HIV Incidence</c:v>
                </c:pt>
              </c:strCache>
            </c:strRef>
          </c:tx>
          <c:spPr>
            <a:ln w="28575" cap="rnd">
              <a:solidFill>
                <a:schemeClr val="accent4">
                  <a:lumMod val="60000"/>
                </a:schemeClr>
              </a:solidFill>
              <a:round/>
            </a:ln>
            <a:effectLst/>
          </c:spPr>
          <c:marker>
            <c:symbol val="none"/>
          </c:marker>
          <c:cat>
            <c:numRef>
              <c:f>'HIV Prevalance '!$F$8:$W$8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'HIV Prevalance '!$F$14:$W$14</c:f>
              <c:numCache>
                <c:formatCode>0.0</c:formatCode>
                <c:ptCount val="18"/>
              </c:numCache>
            </c:numRef>
          </c:val>
          <c:smooth val="0"/>
          <c:extLst>
            <c:ext xmlns:c16="http://schemas.microsoft.com/office/drawing/2014/chart" uri="{C3380CC4-5D6E-409C-BE32-E72D297353CC}">
              <c16:uniqueId val="{00000000-8E77-4541-9BE8-8A5FD743ABB5}"/>
            </c:ext>
          </c:extLst>
        </c:ser>
        <c:dLbls>
          <c:showLegendKey val="0"/>
          <c:showVal val="0"/>
          <c:showCatName val="0"/>
          <c:showSerName val="0"/>
          <c:showPercent val="0"/>
          <c:showBubbleSize val="0"/>
        </c:dLbls>
        <c:smooth val="0"/>
        <c:axId val="2086602896"/>
        <c:axId val="2086606224"/>
      </c:lineChart>
      <c:catAx>
        <c:axId val="208660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06224"/>
        <c:crosses val="autoZero"/>
        <c:auto val="1"/>
        <c:lblAlgn val="ctr"/>
        <c:lblOffset val="100"/>
        <c:noMultiLvlLbl val="0"/>
      </c:catAx>
      <c:valAx>
        <c:axId val="208660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0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1446381147883716"/>
          <c:y val="0.16131776631369352"/>
          <c:w val="0.8556863586838046"/>
          <c:h val="0.69552960046660861"/>
        </c:manualLayout>
      </c:layout>
      <c:lineChart>
        <c:grouping val="standard"/>
        <c:varyColors val="0"/>
        <c:ser>
          <c:idx val="0"/>
          <c:order val="0"/>
          <c:tx>
            <c:strRef>
              <c:f>'ART new TROA'!$D$9</c:f>
              <c:strCache>
                <c:ptCount val="1"/>
                <c:pt idx="0">
                  <c:v>Total remaining on ART (Adult) * (December)</c:v>
                </c:pt>
              </c:strCache>
            </c:strRef>
          </c:tx>
          <c:spPr>
            <a:ln w="25400">
              <a:solidFill>
                <a:srgbClr val="FF6600"/>
              </a:solidFill>
            </a:ln>
          </c:spPr>
          <c:marker>
            <c:symbol val="none"/>
          </c:marker>
          <c:cat>
            <c:numRef>
              <c:f>'ART new TROA'!$E$8:$S$8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'ART new TROA'!$E$9:$S$9</c:f>
              <c:numCache>
                <c:formatCode>#,##0</c:formatCode>
                <c:ptCount val="15"/>
                <c:pt idx="0">
                  <c:v>5157</c:v>
                </c:pt>
                <c:pt idx="1">
                  <c:v>36103</c:v>
                </c:pt>
                <c:pt idx="2">
                  <c:v>79821</c:v>
                </c:pt>
                <c:pt idx="3">
                  <c:v>154855</c:v>
                </c:pt>
                <c:pt idx="4">
                  <c:v>480031</c:v>
                </c:pt>
                <c:pt idx="5">
                  <c:v>741540</c:v>
                </c:pt>
                <c:pt idx="6">
                  <c:v>1337630</c:v>
                </c:pt>
                <c:pt idx="7">
                  <c:v>2029509</c:v>
                </c:pt>
                <c:pt idx="8">
                  <c:v>2472591</c:v>
                </c:pt>
                <c:pt idx="9">
                  <c:v>2760890</c:v>
                </c:pt>
                <c:pt idx="10">
                  <c:v>3064920</c:v>
                </c:pt>
                <c:pt idx="11">
                  <c:v>3549268</c:v>
                </c:pt>
                <c:pt idx="12">
                  <c:v>3923464</c:v>
                </c:pt>
                <c:pt idx="13">
                  <c:v>4338833</c:v>
                </c:pt>
                <c:pt idx="14">
                  <c:v>4770460</c:v>
                </c:pt>
              </c:numCache>
            </c:numRef>
          </c:val>
          <c:smooth val="0"/>
          <c:extLst>
            <c:ext xmlns:c16="http://schemas.microsoft.com/office/drawing/2014/chart" uri="{C3380CC4-5D6E-409C-BE32-E72D297353CC}">
              <c16:uniqueId val="{00000000-4072-400D-AD82-A010B32FBB6D}"/>
            </c:ext>
          </c:extLst>
        </c:ser>
        <c:ser>
          <c:idx val="1"/>
          <c:order val="1"/>
          <c:tx>
            <c:strRef>
              <c:f>'ART new TROA'!$D$11</c:f>
              <c:strCache>
                <c:ptCount val="1"/>
                <c:pt idx="0">
                  <c:v>*Remaing on ART (All)</c:v>
                </c:pt>
              </c:strCache>
            </c:strRef>
          </c:tx>
          <c:spPr>
            <a:ln w="25400">
              <a:solidFill>
                <a:srgbClr val="BE4B48"/>
              </a:solidFill>
            </a:ln>
          </c:spPr>
          <c:marker>
            <c:symbol val="none"/>
          </c:marker>
          <c:cat>
            <c:numRef>
              <c:f>'ART new TROA'!$E$8:$S$8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'ART new TROA'!$E$11:$S$11</c:f>
              <c:numCache>
                <c:formatCode>#,##0</c:formatCode>
                <c:ptCount val="15"/>
                <c:pt idx="0">
                  <c:v>5524</c:v>
                </c:pt>
                <c:pt idx="1">
                  <c:v>38123</c:v>
                </c:pt>
                <c:pt idx="2">
                  <c:v>84716</c:v>
                </c:pt>
                <c:pt idx="3">
                  <c:v>162895</c:v>
                </c:pt>
                <c:pt idx="4">
                  <c:v>517128</c:v>
                </c:pt>
                <c:pt idx="5">
                  <c:v>798463</c:v>
                </c:pt>
                <c:pt idx="6">
                  <c:v>1437980</c:v>
                </c:pt>
                <c:pt idx="7">
                  <c:v>2168613</c:v>
                </c:pt>
                <c:pt idx="8">
                  <c:v>2629448</c:v>
                </c:pt>
                <c:pt idx="9">
                  <c:v>2920597</c:v>
                </c:pt>
                <c:pt idx="10">
                  <c:v>3211784</c:v>
                </c:pt>
                <c:pt idx="11">
                  <c:v>3716120</c:v>
                </c:pt>
                <c:pt idx="12">
                  <c:v>4086228</c:v>
                </c:pt>
                <c:pt idx="13">
                  <c:v>4496137</c:v>
                </c:pt>
                <c:pt idx="14">
                  <c:v>4922520</c:v>
                </c:pt>
              </c:numCache>
            </c:numRef>
          </c:val>
          <c:smooth val="0"/>
          <c:extLst>
            <c:ext xmlns:c16="http://schemas.microsoft.com/office/drawing/2014/chart" uri="{C3380CC4-5D6E-409C-BE32-E72D297353CC}">
              <c16:uniqueId val="{00000001-4072-400D-AD82-A010B32FBB6D}"/>
            </c:ext>
          </c:extLst>
        </c:ser>
        <c:ser>
          <c:idx val="2"/>
          <c:order val="2"/>
          <c:tx>
            <c:strRef>
              <c:f>'ART new TROA'!$D$10</c:f>
              <c:strCache>
                <c:ptCount val="1"/>
                <c:pt idx="0">
                  <c:v>Total remaining on ART (Child) (December)</c:v>
                </c:pt>
              </c:strCache>
            </c:strRef>
          </c:tx>
          <c:spPr>
            <a:ln w="25400">
              <a:solidFill>
                <a:schemeClr val="accent2">
                  <a:lumMod val="50000"/>
                </a:schemeClr>
              </a:solidFill>
            </a:ln>
          </c:spPr>
          <c:marker>
            <c:symbol val="none"/>
          </c:marker>
          <c:cat>
            <c:numRef>
              <c:f>'ART new TROA'!$E$8:$S$8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'ART new TROA'!$E$10:$S$10</c:f>
              <c:numCache>
                <c:formatCode>#,##0</c:formatCode>
                <c:ptCount val="15"/>
                <c:pt idx="0">
                  <c:v>367</c:v>
                </c:pt>
                <c:pt idx="1">
                  <c:v>2020</c:v>
                </c:pt>
                <c:pt idx="2">
                  <c:v>4895</c:v>
                </c:pt>
                <c:pt idx="3">
                  <c:v>8040</c:v>
                </c:pt>
                <c:pt idx="4">
                  <c:v>37097</c:v>
                </c:pt>
                <c:pt idx="5">
                  <c:v>56923</c:v>
                </c:pt>
                <c:pt idx="6">
                  <c:v>100350</c:v>
                </c:pt>
                <c:pt idx="7">
                  <c:v>139104</c:v>
                </c:pt>
                <c:pt idx="8">
                  <c:v>156857</c:v>
                </c:pt>
                <c:pt idx="9">
                  <c:v>159707</c:v>
                </c:pt>
                <c:pt idx="10">
                  <c:v>146864</c:v>
                </c:pt>
                <c:pt idx="11">
                  <c:v>166852</c:v>
                </c:pt>
                <c:pt idx="12">
                  <c:v>162764</c:v>
                </c:pt>
                <c:pt idx="13">
                  <c:v>157304</c:v>
                </c:pt>
                <c:pt idx="14">
                  <c:v>152060</c:v>
                </c:pt>
              </c:numCache>
            </c:numRef>
          </c:val>
          <c:smooth val="0"/>
          <c:extLst>
            <c:ext xmlns:c16="http://schemas.microsoft.com/office/drawing/2014/chart" uri="{C3380CC4-5D6E-409C-BE32-E72D297353CC}">
              <c16:uniqueId val="{00000002-4072-400D-AD82-A010B32FBB6D}"/>
            </c:ext>
          </c:extLst>
        </c:ser>
        <c:dLbls>
          <c:showLegendKey val="0"/>
          <c:showVal val="0"/>
          <c:showCatName val="0"/>
          <c:showSerName val="0"/>
          <c:showPercent val="0"/>
          <c:showBubbleSize val="0"/>
        </c:dLbls>
        <c:smooth val="0"/>
        <c:axId val="86960000"/>
        <c:axId val="86961536"/>
      </c:lineChart>
      <c:catAx>
        <c:axId val="86960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961536"/>
        <c:crosses val="autoZero"/>
        <c:auto val="1"/>
        <c:lblAlgn val="ctr"/>
        <c:lblOffset val="100"/>
        <c:tickLblSkip val="1"/>
        <c:tickMarkSkip val="1"/>
        <c:noMultiLvlLbl val="0"/>
      </c:catAx>
      <c:valAx>
        <c:axId val="869615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960000"/>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91198600174978128"/>
          <c:w val="0.94180678288576358"/>
          <c:h val="8.80139982502187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c:f>
              <c:strCache>
                <c:ptCount val="1"/>
                <c:pt idx="0">
                  <c:v>FDI</c:v>
                </c:pt>
              </c:strCache>
            </c:strRef>
          </c:tx>
          <c:spPr>
            <a:ln w="3175">
              <a:solidFill>
                <a:srgbClr val="FF6600"/>
              </a:solidFill>
              <a:prstDash val="solid"/>
            </a:ln>
          </c:spPr>
          <c:marker>
            <c:symbol val="none"/>
          </c:marker>
          <c:cat>
            <c:strRef>
              <c:f>'NFDI   '!$E$7:$Y$7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strCache>
            </c:strRef>
          </c:cat>
          <c:val>
            <c:numRef>
              <c:f>'NFDI   '!$E$8:$Y$8</c:f>
              <c:numCache>
                <c:formatCode>#\ ##0.000</c:formatCode>
                <c:ptCount val="21"/>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numCache>
            </c:numRef>
          </c:val>
          <c:smooth val="0"/>
          <c:extLst>
            <c:ext xmlns:c16="http://schemas.microsoft.com/office/drawing/2014/chart" uri="{C3380CC4-5D6E-409C-BE32-E72D297353CC}">
              <c16:uniqueId val="{00000000-3290-4F88-AECE-C04DF1153263}"/>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425"/>
          <c:y val="4.0172078561879071E-2"/>
          <c:w val="0.67970754376290587"/>
          <c:h val="0.66621366754725142"/>
        </c:manualLayout>
      </c:layout>
      <c:lineChart>
        <c:grouping val="standard"/>
        <c:varyColors val="0"/>
        <c:ser>
          <c:idx val="0"/>
          <c:order val="0"/>
          <c:tx>
            <c:strRef>
              <c:f>'ART new TROA'!$D$9</c:f>
              <c:strCache>
                <c:ptCount val="1"/>
                <c:pt idx="0">
                  <c:v>Total remaining on ART (Adult) * (December)</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5157</c:v>
                </c:pt>
                <c:pt idx="1">
                  <c:v>36103</c:v>
                </c:pt>
                <c:pt idx="2">
                  <c:v>79821</c:v>
                </c:pt>
                <c:pt idx="3">
                  <c:v>154855</c:v>
                </c:pt>
                <c:pt idx="4">
                  <c:v>480031</c:v>
                </c:pt>
                <c:pt idx="5">
                  <c:v>741540</c:v>
                </c:pt>
                <c:pt idx="6">
                  <c:v>1337630</c:v>
                </c:pt>
                <c:pt idx="7">
                  <c:v>2029509</c:v>
                </c:pt>
                <c:pt idx="8">
                  <c:v>2472591</c:v>
                </c:pt>
                <c:pt idx="9">
                  <c:v>2760890</c:v>
                </c:pt>
                <c:pt idx="10">
                  <c:v>3064920</c:v>
                </c:pt>
                <c:pt idx="11">
                  <c:v>3549268</c:v>
                </c:pt>
                <c:pt idx="12">
                  <c:v>3923464</c:v>
                </c:pt>
              </c:numCache>
            </c:numRef>
          </c:val>
          <c:smooth val="0"/>
          <c:extLst>
            <c:ext xmlns:c16="http://schemas.microsoft.com/office/drawing/2014/chart" uri="{C3380CC4-5D6E-409C-BE32-E72D297353CC}">
              <c16:uniqueId val="{00000000-C62C-4C75-B3BF-F7E655E7EBE5}"/>
            </c:ext>
          </c:extLst>
        </c:ser>
        <c:ser>
          <c:idx val="1"/>
          <c:order val="1"/>
          <c:tx>
            <c:strRef>
              <c:f>'ART new TROA'!$D$11</c:f>
              <c:strCache>
                <c:ptCount val="1"/>
                <c:pt idx="0">
                  <c:v>*Remaing on ART (All)</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5524</c:v>
                </c:pt>
                <c:pt idx="1">
                  <c:v>38123</c:v>
                </c:pt>
                <c:pt idx="2">
                  <c:v>84716</c:v>
                </c:pt>
                <c:pt idx="3">
                  <c:v>162895</c:v>
                </c:pt>
                <c:pt idx="4">
                  <c:v>517128</c:v>
                </c:pt>
                <c:pt idx="5">
                  <c:v>798463</c:v>
                </c:pt>
                <c:pt idx="6">
                  <c:v>1437980</c:v>
                </c:pt>
                <c:pt idx="7">
                  <c:v>2168613</c:v>
                </c:pt>
                <c:pt idx="8">
                  <c:v>2629448</c:v>
                </c:pt>
                <c:pt idx="9">
                  <c:v>2920597</c:v>
                </c:pt>
                <c:pt idx="10">
                  <c:v>3211784</c:v>
                </c:pt>
                <c:pt idx="11">
                  <c:v>3716120</c:v>
                </c:pt>
                <c:pt idx="12">
                  <c:v>4086228</c:v>
                </c:pt>
              </c:numCache>
            </c:numRef>
          </c:val>
          <c:smooth val="0"/>
          <c:extLst>
            <c:ext xmlns:c16="http://schemas.microsoft.com/office/drawing/2014/chart" uri="{C3380CC4-5D6E-409C-BE32-E72D297353CC}">
              <c16:uniqueId val="{00000001-C62C-4C75-B3BF-F7E655E7EBE5}"/>
            </c:ext>
          </c:extLst>
        </c:ser>
        <c:dLbls>
          <c:showLegendKey val="0"/>
          <c:showVal val="0"/>
          <c:showCatName val="0"/>
          <c:showSerName val="0"/>
          <c:showPercent val="0"/>
          <c:showBubbleSize val="0"/>
        </c:dLbls>
        <c:smooth val="0"/>
        <c:axId val="86471808"/>
        <c:axId val="86473344"/>
      </c:lineChart>
      <c:catAx>
        <c:axId val="8647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86473344"/>
        <c:crosses val="autoZero"/>
        <c:auto val="1"/>
        <c:lblAlgn val="ctr"/>
        <c:lblOffset val="100"/>
        <c:tickLblSkip val="1"/>
        <c:tickMarkSkip val="1"/>
        <c:noMultiLvlLbl val="0"/>
      </c:catAx>
      <c:valAx>
        <c:axId val="86473344"/>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86471808"/>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9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99" r="0.75000000000000799"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TB!$D$9</c:f>
              <c:strCache>
                <c:ptCount val="1"/>
                <c:pt idx="0">
                  <c:v>TB case notification</c:v>
                </c:pt>
              </c:strCache>
            </c:strRef>
          </c:tx>
          <c:spPr>
            <a:ln w="25400">
              <a:solidFill>
                <a:srgbClr val="993300"/>
              </a:solidFill>
              <a:prstDash val="solid"/>
            </a:ln>
          </c:spPr>
          <c:marker>
            <c:symbol val="none"/>
          </c:marker>
          <c:cat>
            <c:strRef>
              <c:f>TB!$F$8:$AA$8</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pt idx="20">
                  <c:v>2015</c:v>
                </c:pt>
                <c:pt idx="21">
                  <c:v>2016</c:v>
                </c:pt>
              </c:strCache>
            </c:strRef>
          </c:cat>
          <c:val>
            <c:numRef>
              <c:f>TB!$F$9:$AA$9</c:f>
              <c:numCache>
                <c:formatCode>#\ ###\ ##0</c:formatCode>
                <c:ptCount val="22"/>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318193</c:v>
                </c:pt>
                <c:pt idx="20">
                  <c:v>235778</c:v>
                </c:pt>
                <c:pt idx="21">
                  <c:v>266105</c:v>
                </c:pt>
              </c:numCache>
            </c:numRef>
          </c:val>
          <c:smooth val="0"/>
          <c:extLst>
            <c:ext xmlns:c16="http://schemas.microsoft.com/office/drawing/2014/chart" uri="{C3380CC4-5D6E-409C-BE32-E72D297353CC}">
              <c16:uniqueId val="{00000000-6C8E-48FC-A1A3-7BB75A005A18}"/>
            </c:ext>
          </c:extLst>
        </c:ser>
        <c:dLbls>
          <c:showLegendKey val="0"/>
          <c:showVal val="0"/>
          <c:showCatName val="0"/>
          <c:showSerName val="0"/>
          <c:showPercent val="0"/>
          <c:showBubbleSize val="0"/>
        </c:dLbls>
        <c:smooth val="0"/>
        <c:axId val="92568960"/>
        <c:axId val="92591232"/>
      </c:lineChart>
      <c:catAx>
        <c:axId val="925689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2591232"/>
        <c:crosses val="autoZero"/>
        <c:auto val="1"/>
        <c:lblAlgn val="ctr"/>
        <c:lblOffset val="100"/>
        <c:tickLblSkip val="1"/>
        <c:tickMarkSkip val="1"/>
        <c:noMultiLvlLbl val="0"/>
      </c:catAx>
      <c:valAx>
        <c:axId val="9259123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809E-2"/>
              <c:y val="0.4601782299336531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68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46881852963195"/>
          <c:y val="0.12361487065045822"/>
          <c:w val="0.78805672388777459"/>
          <c:h val="0.74796806089775858"/>
        </c:manualLayout>
      </c:layout>
      <c:lineChart>
        <c:grouping val="standard"/>
        <c:varyColors val="0"/>
        <c:ser>
          <c:idx val="0"/>
          <c:order val="0"/>
          <c:tx>
            <c:strRef>
              <c:f>TB!$D$9</c:f>
              <c:strCache>
                <c:ptCount val="1"/>
                <c:pt idx="0">
                  <c:v>TB case notification</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TB!$R$8:$AD$8</c15:sqref>
                  </c15:fullRef>
                </c:ext>
              </c:extLst>
              <c:f>TB!$S$8:$AD$8</c:f>
              <c:strCache>
                <c:ptCount val="12"/>
                <c:pt idx="0">
                  <c:v>2008</c:v>
                </c:pt>
                <c:pt idx="1">
                  <c:v>2009</c:v>
                </c:pt>
                <c:pt idx="2">
                  <c:v>2010</c:v>
                </c:pt>
                <c:pt idx="3">
                  <c:v>2011</c:v>
                </c:pt>
                <c:pt idx="4">
                  <c:v>2012</c:v>
                </c:pt>
                <c:pt idx="5">
                  <c:v>2013 </c:v>
                </c:pt>
                <c:pt idx="6">
                  <c:v>2014 </c:v>
                </c:pt>
                <c:pt idx="7">
                  <c:v>2015</c:v>
                </c:pt>
                <c:pt idx="8">
                  <c:v>2016</c:v>
                </c:pt>
                <c:pt idx="9">
                  <c:v>2017</c:v>
                </c:pt>
                <c:pt idx="10">
                  <c:v>2018</c:v>
                </c:pt>
                <c:pt idx="11">
                  <c:v>2019</c:v>
                </c:pt>
              </c:strCache>
            </c:strRef>
          </c:cat>
          <c:val>
            <c:numRef>
              <c:extLst>
                <c:ext xmlns:c15="http://schemas.microsoft.com/office/drawing/2012/chart" uri="{02D57815-91ED-43cb-92C2-25804820EDAC}">
                  <c15:fullRef>
                    <c15:sqref>TB!$R$9:$AD$9</c15:sqref>
                  </c15:fullRef>
                </c:ext>
              </c:extLst>
              <c:f>TB!$S$9:$AD$9</c:f>
              <c:numCache>
                <c:formatCode>#\ ###\ ##0</c:formatCode>
                <c:ptCount val="12"/>
                <c:pt idx="0">
                  <c:v>388882</c:v>
                </c:pt>
                <c:pt idx="1">
                  <c:v>406082</c:v>
                </c:pt>
                <c:pt idx="2">
                  <c:v>401048</c:v>
                </c:pt>
                <c:pt idx="3">
                  <c:v>389974</c:v>
                </c:pt>
                <c:pt idx="4">
                  <c:v>349582</c:v>
                </c:pt>
                <c:pt idx="5">
                  <c:v>328896</c:v>
                </c:pt>
                <c:pt idx="6">
                  <c:v>318193</c:v>
                </c:pt>
                <c:pt idx="7">
                  <c:v>235778</c:v>
                </c:pt>
                <c:pt idx="8">
                  <c:v>266105</c:v>
                </c:pt>
                <c:pt idx="9">
                  <c:v>227224</c:v>
                </c:pt>
                <c:pt idx="10">
                  <c:v>235652</c:v>
                </c:pt>
                <c:pt idx="11">
                  <c:v>168157</c:v>
                </c:pt>
              </c:numCache>
            </c:numRef>
          </c:val>
          <c:smooth val="0"/>
          <c:extLst>
            <c:ext xmlns:c16="http://schemas.microsoft.com/office/drawing/2014/chart" uri="{C3380CC4-5D6E-409C-BE32-E72D297353CC}">
              <c16:uniqueId val="{00000000-8ABA-4C15-8C02-57CF24CCC0A1}"/>
            </c:ext>
          </c:extLst>
        </c:ser>
        <c:dLbls>
          <c:showLegendKey val="0"/>
          <c:showVal val="0"/>
          <c:showCatName val="0"/>
          <c:showSerName val="0"/>
          <c:showPercent val="0"/>
          <c:showBubbleSize val="0"/>
        </c:dLbls>
        <c:smooth val="0"/>
        <c:axId val="88053248"/>
        <c:axId val="88054784"/>
      </c:lineChart>
      <c:catAx>
        <c:axId val="880532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88054784"/>
        <c:crosses val="autoZero"/>
        <c:auto val="1"/>
        <c:lblAlgn val="ctr"/>
        <c:lblOffset val="100"/>
        <c:tickLblSkip val="1"/>
        <c:tickMarkSkip val="1"/>
        <c:noMultiLvlLbl val="0"/>
      </c:catAx>
      <c:valAx>
        <c:axId val="880547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809E-2"/>
              <c:y val="0.4601782299336531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0532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35"/>
          <c:y val="0.14599222565533762"/>
          <c:w val="0.86024508827994661"/>
          <c:h val="0.67679557460381001"/>
        </c:manualLayout>
      </c:layout>
      <c:barChart>
        <c:barDir val="col"/>
        <c:grouping val="clustered"/>
        <c:varyColors val="0"/>
        <c:ser>
          <c:idx val="0"/>
          <c:order val="0"/>
          <c:tx>
            <c:strRef>
              <c:f>TB!$D$10</c:f>
              <c:strCache>
                <c:ptCount val="1"/>
                <c:pt idx="0">
                  <c:v>Treatment Success rate (%)</c:v>
                </c:pt>
              </c:strCache>
            </c:strRef>
          </c:tx>
          <c:spPr>
            <a:solidFill>
              <a:srgbClr val="FCD5B5"/>
            </a:solidFill>
            <a:ln w="25400">
              <a:noFill/>
            </a:ln>
          </c:spPr>
          <c:invertIfNegative val="0"/>
          <c:cat>
            <c:strRef>
              <c:extLst>
                <c:ext xmlns:c15="http://schemas.microsoft.com/office/drawing/2012/chart" uri="{02D57815-91ED-43cb-92C2-25804820EDAC}">
                  <c15:fullRef>
                    <c15:sqref>TB!$E$8:$AD$8</c15:sqref>
                  </c15:fullRef>
                </c:ext>
              </c:extLst>
              <c:f>TB!$R$8:$AD$8</c:f>
              <c:strCache>
                <c:ptCount val="13"/>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strCache>
            </c:strRef>
          </c:cat>
          <c:val>
            <c:numRef>
              <c:extLst>
                <c:ext xmlns:c15="http://schemas.microsoft.com/office/drawing/2012/chart" uri="{02D57815-91ED-43cb-92C2-25804820EDAC}">
                  <c15:fullRef>
                    <c15:sqref>TB!$E$10:$AD$10</c15:sqref>
                  </c15:fullRef>
                </c:ext>
              </c:extLst>
              <c:f>TB!$R$10:$AD$10</c:f>
              <c:numCache>
                <c:formatCode>#</c:formatCode>
                <c:ptCount val="13"/>
                <c:pt idx="0">
                  <c:v>74</c:v>
                </c:pt>
                <c:pt idx="1">
                  <c:v>76</c:v>
                </c:pt>
                <c:pt idx="2">
                  <c:v>77</c:v>
                </c:pt>
                <c:pt idx="3">
                  <c:v>79</c:v>
                </c:pt>
                <c:pt idx="4">
                  <c:v>80</c:v>
                </c:pt>
                <c:pt idx="5">
                  <c:v>81</c:v>
                </c:pt>
                <c:pt idx="6">
                  <c:v>82</c:v>
                </c:pt>
                <c:pt idx="7">
                  <c:v>77.900000000000006</c:v>
                </c:pt>
                <c:pt idx="8">
                  <c:v>77.5</c:v>
                </c:pt>
                <c:pt idx="9">
                  <c:v>82.2</c:v>
                </c:pt>
                <c:pt idx="10">
                  <c:v>81.7</c:v>
                </c:pt>
                <c:pt idx="11">
                  <c:v>76</c:v>
                </c:pt>
                <c:pt idx="12">
                  <c:v>79.400000000000006</c:v>
                </c:pt>
              </c:numCache>
            </c:numRef>
          </c:val>
          <c:extLst>
            <c:ext xmlns:c16="http://schemas.microsoft.com/office/drawing/2014/chart" uri="{C3380CC4-5D6E-409C-BE32-E72D297353CC}">
              <c16:uniqueId val="{00000000-0F66-4728-9D53-035513776CD1}"/>
            </c:ext>
          </c:extLst>
        </c:ser>
        <c:ser>
          <c:idx val="1"/>
          <c:order val="1"/>
          <c:tx>
            <c:strRef>
              <c:f>TB!$D$11</c:f>
              <c:strCache>
                <c:ptCount val="1"/>
                <c:pt idx="0">
                  <c:v>Loss to Follow-up rate</c:v>
                </c:pt>
              </c:strCache>
            </c:strRef>
          </c:tx>
          <c:spPr>
            <a:solidFill>
              <a:srgbClr val="F8A662"/>
            </a:solidFill>
            <a:ln w="25400">
              <a:noFill/>
            </a:ln>
          </c:spPr>
          <c:invertIfNegative val="0"/>
          <c:cat>
            <c:strRef>
              <c:extLst>
                <c:ext xmlns:c15="http://schemas.microsoft.com/office/drawing/2012/chart" uri="{02D57815-91ED-43cb-92C2-25804820EDAC}">
                  <c15:fullRef>
                    <c15:sqref>TB!$E$8:$AD$8</c15:sqref>
                  </c15:fullRef>
                </c:ext>
              </c:extLst>
              <c:f>TB!$R$8:$AD$8</c:f>
              <c:strCache>
                <c:ptCount val="13"/>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strCache>
            </c:strRef>
          </c:cat>
          <c:val>
            <c:numRef>
              <c:extLst>
                <c:ext xmlns:c15="http://schemas.microsoft.com/office/drawing/2012/chart" uri="{02D57815-91ED-43cb-92C2-25804820EDAC}">
                  <c15:fullRef>
                    <c15:sqref>TB!$E$11:$AD$11</c15:sqref>
                  </c15:fullRef>
                </c:ext>
              </c:extLst>
              <c:f>TB!$R$11:$AD$11</c:f>
              <c:numCache>
                <c:formatCode>#</c:formatCode>
                <c:ptCount val="13"/>
                <c:pt idx="0">
                  <c:v>9</c:v>
                </c:pt>
                <c:pt idx="1">
                  <c:v>8</c:v>
                </c:pt>
                <c:pt idx="2">
                  <c:v>7</c:v>
                </c:pt>
                <c:pt idx="3">
                  <c:v>7</c:v>
                </c:pt>
                <c:pt idx="4">
                  <c:v>6</c:v>
                </c:pt>
                <c:pt idx="5">
                  <c:v>6</c:v>
                </c:pt>
                <c:pt idx="6">
                  <c:v>5.8</c:v>
                </c:pt>
                <c:pt idx="7">
                  <c:v>6.3</c:v>
                </c:pt>
                <c:pt idx="8">
                  <c:v>6</c:v>
                </c:pt>
                <c:pt idx="9">
                  <c:v>6.5</c:v>
                </c:pt>
                <c:pt idx="10">
                  <c:v>6.9</c:v>
                </c:pt>
                <c:pt idx="11">
                  <c:v>8</c:v>
                </c:pt>
                <c:pt idx="12">
                  <c:v>10.3</c:v>
                </c:pt>
              </c:numCache>
            </c:numRef>
          </c:val>
          <c:extLst>
            <c:ext xmlns:c16="http://schemas.microsoft.com/office/drawing/2014/chart" uri="{C3380CC4-5D6E-409C-BE32-E72D297353CC}">
              <c16:uniqueId val="{00000001-0F66-4728-9D53-035513776CD1}"/>
            </c:ext>
          </c:extLst>
        </c:ser>
        <c:ser>
          <c:idx val="2"/>
          <c:order val="2"/>
          <c:tx>
            <c:strRef>
              <c:f>TB!$D$12</c:f>
              <c:strCache>
                <c:ptCount val="1"/>
                <c:pt idx="0">
                  <c:v>Death rate</c:v>
                </c:pt>
              </c:strCache>
            </c:strRef>
          </c:tx>
          <c:spPr>
            <a:solidFill>
              <a:srgbClr val="E46C0A"/>
            </a:solidFill>
            <a:ln w="25400">
              <a:noFill/>
            </a:ln>
          </c:spPr>
          <c:invertIfNegative val="0"/>
          <c:cat>
            <c:strRef>
              <c:extLst>
                <c:ext xmlns:c15="http://schemas.microsoft.com/office/drawing/2012/chart" uri="{02D57815-91ED-43cb-92C2-25804820EDAC}">
                  <c15:fullRef>
                    <c15:sqref>TB!$E$8:$AD$8</c15:sqref>
                  </c15:fullRef>
                </c:ext>
              </c:extLst>
              <c:f>TB!$R$8:$AD$8</c:f>
              <c:strCache>
                <c:ptCount val="13"/>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strCache>
            </c:strRef>
          </c:cat>
          <c:val>
            <c:numRef>
              <c:extLst>
                <c:ext xmlns:c15="http://schemas.microsoft.com/office/drawing/2012/chart" uri="{02D57815-91ED-43cb-92C2-25804820EDAC}">
                  <c15:fullRef>
                    <c15:sqref>TB!$E$12:$AD$12</c15:sqref>
                  </c15:fullRef>
                </c:ext>
              </c:extLst>
              <c:f>TB!$R$12:$AD$12</c:f>
              <c:numCache>
                <c:formatCode>#</c:formatCode>
                <c:ptCount val="13"/>
                <c:pt idx="7">
                  <c:v>7.4</c:v>
                </c:pt>
                <c:pt idx="8">
                  <c:v>6.7</c:v>
                </c:pt>
                <c:pt idx="9">
                  <c:v>6.7</c:v>
                </c:pt>
                <c:pt idx="10">
                  <c:v>6.6</c:v>
                </c:pt>
                <c:pt idx="11">
                  <c:v>7</c:v>
                </c:pt>
                <c:pt idx="12">
                  <c:v>7</c:v>
                </c:pt>
              </c:numCache>
            </c:numRef>
          </c:val>
          <c:extLst>
            <c:ext xmlns:c16="http://schemas.microsoft.com/office/drawing/2014/chart" uri="{C3380CC4-5D6E-409C-BE32-E72D297353CC}">
              <c16:uniqueId val="{00000002-0F66-4728-9D53-035513776CD1}"/>
            </c:ext>
          </c:extLst>
        </c:ser>
        <c:dLbls>
          <c:showLegendKey val="0"/>
          <c:showVal val="0"/>
          <c:showCatName val="0"/>
          <c:showSerName val="0"/>
          <c:showPercent val="0"/>
          <c:showBubbleSize val="0"/>
        </c:dLbls>
        <c:gapWidth val="150"/>
        <c:axId val="95121408"/>
        <c:axId val="95122944"/>
      </c:barChart>
      <c:catAx>
        <c:axId val="9512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5122944"/>
        <c:crosses val="autoZero"/>
        <c:auto val="1"/>
        <c:lblAlgn val="ctr"/>
        <c:lblOffset val="100"/>
        <c:tickLblSkip val="1"/>
        <c:tickMarkSkip val="1"/>
        <c:noMultiLvlLbl val="0"/>
      </c:catAx>
      <c:valAx>
        <c:axId val="951229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121408"/>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744"/>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TB!$D$9</c:f>
              <c:strCache>
                <c:ptCount val="1"/>
                <c:pt idx="0">
                  <c:v>TB case notification</c:v>
                </c:pt>
              </c:strCache>
            </c:strRef>
          </c:tx>
          <c:spPr>
            <a:ln w="28575" cap="rnd">
              <a:solidFill>
                <a:schemeClr val="accent2">
                  <a:lumMod val="60000"/>
                  <a:lumOff val="40000"/>
                </a:schemeClr>
              </a:solidFill>
              <a:round/>
            </a:ln>
            <a:effectLst/>
          </c:spPr>
          <c:marker>
            <c:symbol val="none"/>
          </c:marker>
          <c:cat>
            <c:strRef>
              <c:f>TB!$R$8:$AD$8</c:f>
              <c:strCache>
                <c:ptCount val="13"/>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strCache>
            </c:strRef>
          </c:cat>
          <c:val>
            <c:numRef>
              <c:f>TB!$R$9:$AD$9</c:f>
              <c:numCache>
                <c:formatCode>#\ ###\ ##0</c:formatCode>
                <c:ptCount val="13"/>
                <c:pt idx="0">
                  <c:v>353879</c:v>
                </c:pt>
                <c:pt idx="1">
                  <c:v>388882</c:v>
                </c:pt>
                <c:pt idx="2">
                  <c:v>406082</c:v>
                </c:pt>
                <c:pt idx="3">
                  <c:v>401048</c:v>
                </c:pt>
                <c:pt idx="4">
                  <c:v>389974</c:v>
                </c:pt>
                <c:pt idx="5">
                  <c:v>349582</c:v>
                </c:pt>
                <c:pt idx="6">
                  <c:v>328896</c:v>
                </c:pt>
                <c:pt idx="7">
                  <c:v>318193</c:v>
                </c:pt>
                <c:pt idx="8">
                  <c:v>235778</c:v>
                </c:pt>
                <c:pt idx="9">
                  <c:v>266105</c:v>
                </c:pt>
                <c:pt idx="10">
                  <c:v>227224</c:v>
                </c:pt>
                <c:pt idx="11">
                  <c:v>235652</c:v>
                </c:pt>
                <c:pt idx="12">
                  <c:v>168157</c:v>
                </c:pt>
              </c:numCache>
            </c:numRef>
          </c:val>
          <c:smooth val="0"/>
          <c:extLst>
            <c:ext xmlns:c16="http://schemas.microsoft.com/office/drawing/2014/chart" uri="{C3380CC4-5D6E-409C-BE32-E72D297353CC}">
              <c16:uniqueId val="{00000000-6669-4DD1-9B58-7FE46F0DEC21}"/>
            </c:ext>
          </c:extLst>
        </c:ser>
        <c:dLbls>
          <c:showLegendKey val="0"/>
          <c:showVal val="0"/>
          <c:showCatName val="0"/>
          <c:showSerName val="0"/>
          <c:showPercent val="0"/>
          <c:showBubbleSize val="0"/>
        </c:dLbls>
        <c:smooth val="0"/>
        <c:axId val="1957186495"/>
        <c:axId val="1951743807"/>
      </c:lineChart>
      <c:catAx>
        <c:axId val="19571864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1743807"/>
        <c:crosses val="autoZero"/>
        <c:auto val="1"/>
        <c:lblAlgn val="ctr"/>
        <c:lblOffset val="100"/>
        <c:noMultiLvlLbl val="0"/>
      </c:catAx>
      <c:valAx>
        <c:axId val="1951743807"/>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186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19"/>
          <c:w val="0.81899248233961974"/>
          <c:h val="0.62834224598930477"/>
        </c:manualLayout>
      </c:layout>
      <c:lineChart>
        <c:grouping val="standard"/>
        <c:varyColors val="0"/>
        <c:ser>
          <c:idx val="1"/>
          <c:order val="0"/>
          <c:tx>
            <c:strRef>
              <c:f>Malaria!$D$8</c:f>
              <c:strCache>
                <c:ptCount val="1"/>
                <c:pt idx="0">
                  <c:v>Cases</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Malaria!$E$7:$AB$7</c15:sqref>
                  </c15:fullRef>
                </c:ext>
              </c:extLst>
              <c:f>Malaria!$P$7:$AB$7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xmlns:c15="http://schemas.microsoft.com/office/drawing/2012/chart" uri="{02D57815-91ED-43cb-92C2-25804820EDAC}">
                  <c15:fullRef>
                    <c15:sqref>Malaria!$E$8:$AB$8</c15:sqref>
                  </c15:fullRef>
                </c:ext>
              </c:extLst>
              <c:f>Malaria!$P$8:$AB$8</c:f>
              <c:numCache>
                <c:formatCode>#\ ###\ ##0</c:formatCode>
                <c:ptCount val="13"/>
                <c:pt idx="0">
                  <c:v>5210</c:v>
                </c:pt>
                <c:pt idx="1">
                  <c:v>7727</c:v>
                </c:pt>
                <c:pt idx="2">
                  <c:v>5586</c:v>
                </c:pt>
                <c:pt idx="3">
                  <c:v>8066</c:v>
                </c:pt>
                <c:pt idx="4">
                  <c:v>9866</c:v>
                </c:pt>
                <c:pt idx="5">
                  <c:v>6646</c:v>
                </c:pt>
                <c:pt idx="6">
                  <c:v>8851</c:v>
                </c:pt>
                <c:pt idx="7">
                  <c:v>13988</c:v>
                </c:pt>
                <c:pt idx="8">
                  <c:v>11276</c:v>
                </c:pt>
                <c:pt idx="9">
                  <c:v>5846</c:v>
                </c:pt>
                <c:pt idx="10">
                  <c:v>30450</c:v>
                </c:pt>
                <c:pt idx="11">
                  <c:v>18638</c:v>
                </c:pt>
                <c:pt idx="12">
                  <c:v>13833</c:v>
                </c:pt>
              </c:numCache>
            </c:numRef>
          </c:val>
          <c:smooth val="1"/>
          <c:extLst>
            <c:ext xmlns:c16="http://schemas.microsoft.com/office/drawing/2014/chart" uri="{C3380CC4-5D6E-409C-BE32-E72D297353CC}">
              <c16:uniqueId val="{00000000-37EC-4A99-8D82-F429F9D3CC38}"/>
            </c:ext>
          </c:extLst>
        </c:ser>
        <c:dLbls>
          <c:showLegendKey val="0"/>
          <c:showVal val="0"/>
          <c:showCatName val="0"/>
          <c:showSerName val="0"/>
          <c:showPercent val="0"/>
          <c:showBubbleSize val="0"/>
        </c:dLbls>
        <c:marker val="1"/>
        <c:smooth val="0"/>
        <c:axId val="95197440"/>
        <c:axId val="95207424"/>
      </c:lineChart>
      <c:lineChart>
        <c:grouping val="standard"/>
        <c:varyColors val="0"/>
        <c:ser>
          <c:idx val="0"/>
          <c:order val="1"/>
          <c:tx>
            <c:strRef>
              <c:f>Malaria!$D$9</c:f>
              <c:strCache>
                <c:ptCount val="1"/>
                <c:pt idx="0">
                  <c:v>Deaths</c:v>
                </c:pt>
              </c:strCache>
            </c:strRef>
          </c:tx>
          <c:spPr>
            <a:ln w="25400">
              <a:solidFill>
                <a:srgbClr val="BE4B48"/>
              </a:solidFill>
              <a:prstDash val="solid"/>
            </a:ln>
          </c:spPr>
          <c:marker>
            <c:symbol val="none"/>
          </c:marker>
          <c:cat>
            <c:numRef>
              <c:extLst>
                <c:ext xmlns:c15="http://schemas.microsoft.com/office/drawing/2012/chart" uri="{02D57815-91ED-43cb-92C2-25804820EDAC}">
                  <c15:fullRef>
                    <c15:sqref>Malaria!$E$7:$AB$7</c15:sqref>
                  </c15:fullRef>
                </c:ext>
              </c:extLst>
              <c:f>Malaria!$P$7:$AB$7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xmlns:c15="http://schemas.microsoft.com/office/drawing/2012/chart" uri="{02D57815-91ED-43cb-92C2-25804820EDAC}">
                  <c15:fullRef>
                    <c15:sqref>Malaria!$E$9:$AB$9</c15:sqref>
                  </c15:fullRef>
                </c:ext>
              </c:extLst>
              <c:f>Malaria!$P$9:$AB$9</c:f>
              <c:numCache>
                <c:formatCode>General</c:formatCode>
                <c:ptCount val="13"/>
                <c:pt idx="0">
                  <c:v>48</c:v>
                </c:pt>
                <c:pt idx="1">
                  <c:v>44</c:v>
                </c:pt>
                <c:pt idx="2">
                  <c:v>43</c:v>
                </c:pt>
                <c:pt idx="3">
                  <c:v>87</c:v>
                </c:pt>
                <c:pt idx="4">
                  <c:v>89</c:v>
                </c:pt>
                <c:pt idx="5">
                  <c:v>72</c:v>
                </c:pt>
                <c:pt idx="6">
                  <c:v>104</c:v>
                </c:pt>
                <c:pt idx="7">
                  <c:v>174</c:v>
                </c:pt>
                <c:pt idx="8">
                  <c:v>141</c:v>
                </c:pt>
                <c:pt idx="9">
                  <c:v>54</c:v>
                </c:pt>
                <c:pt idx="10">
                  <c:v>331</c:v>
                </c:pt>
                <c:pt idx="11">
                  <c:v>120</c:v>
                </c:pt>
                <c:pt idx="12">
                  <c:v>79</c:v>
                </c:pt>
              </c:numCache>
            </c:numRef>
          </c:val>
          <c:smooth val="1"/>
          <c:extLst>
            <c:ext xmlns:c16="http://schemas.microsoft.com/office/drawing/2014/chart" uri="{C3380CC4-5D6E-409C-BE32-E72D297353CC}">
              <c16:uniqueId val="{00000001-37EC-4A99-8D82-F429F9D3CC38}"/>
            </c:ext>
          </c:extLst>
        </c:ser>
        <c:dLbls>
          <c:showLegendKey val="0"/>
          <c:showVal val="0"/>
          <c:showCatName val="0"/>
          <c:showSerName val="0"/>
          <c:showPercent val="0"/>
          <c:showBubbleSize val="0"/>
        </c:dLbls>
        <c:marker val="1"/>
        <c:smooth val="0"/>
        <c:axId val="95209344"/>
        <c:axId val="95210880"/>
      </c:lineChart>
      <c:catAx>
        <c:axId val="95197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207424"/>
        <c:crosses val="autoZero"/>
        <c:auto val="0"/>
        <c:lblAlgn val="ctr"/>
        <c:lblOffset val="100"/>
        <c:tickLblSkip val="1"/>
        <c:tickMarkSkip val="1"/>
        <c:noMultiLvlLbl val="0"/>
      </c:catAx>
      <c:valAx>
        <c:axId val="9520742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43"/>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197440"/>
        <c:crosses val="autoZero"/>
        <c:crossBetween val="midCat"/>
      </c:valAx>
      <c:catAx>
        <c:axId val="95209344"/>
        <c:scaling>
          <c:orientation val="minMax"/>
        </c:scaling>
        <c:delete val="1"/>
        <c:axPos val="b"/>
        <c:numFmt formatCode="General" sourceLinked="1"/>
        <c:majorTickMark val="out"/>
        <c:minorTickMark val="none"/>
        <c:tickLblPos val="none"/>
        <c:crossAx val="95210880"/>
        <c:crosses val="autoZero"/>
        <c:auto val="0"/>
        <c:lblAlgn val="ctr"/>
        <c:lblOffset val="100"/>
        <c:noMultiLvlLbl val="0"/>
      </c:catAx>
      <c:valAx>
        <c:axId val="952108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209344"/>
        <c:crosses val="max"/>
        <c:crossBetween val="midCat"/>
      </c:valAx>
      <c:spPr>
        <a:solidFill>
          <a:srgbClr val="FFFFFF"/>
        </a:solidFill>
        <a:ln w="3175">
          <a:solidFill>
            <a:srgbClr val="000000"/>
          </a:solidFill>
          <a:prstDash val="solid"/>
        </a:ln>
      </c:spPr>
    </c:plotArea>
    <c:legend>
      <c:legendPos val="r"/>
      <c:layout>
        <c:manualLayout>
          <c:xMode val="edge"/>
          <c:yMode val="edge"/>
          <c:x val="0.42334394014656684"/>
          <c:y val="0.91176470588234437"/>
          <c:w val="0.18298745076428938"/>
          <c:h val="7.4866310160428648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77" r="0.75000000000000577" t="1" header="0.5" footer="0.5"/>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 '!$D$8</c:f>
              <c:strCache>
                <c:ptCount val="1"/>
                <c:pt idx="0">
                  <c:v>0-4 year olds</c:v>
                </c:pt>
              </c:strCache>
            </c:strRef>
          </c:tx>
          <c:spPr>
            <a:solidFill>
              <a:srgbClr val="FCD5B5"/>
            </a:solidFill>
            <a:ln w="25400">
              <a:noFill/>
              <a:prstDash val="solid"/>
            </a:ln>
          </c:spPr>
          <c:invertIfNegative val="0"/>
          <c:cat>
            <c:numRef>
              <c:f>'ECD '!$F$7:$U$7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'ECD '!$F$8:$U$8</c:f>
              <c:numCache>
                <c:formatCode>0.0</c:formatCode>
                <c:ptCount val="16"/>
                <c:pt idx="0">
                  <c:v>7.3</c:v>
                </c:pt>
                <c:pt idx="1">
                  <c:v>11.6</c:v>
                </c:pt>
                <c:pt idx="2">
                  <c:v>11.5</c:v>
                </c:pt>
                <c:pt idx="3">
                  <c:v>14.3</c:v>
                </c:pt>
                <c:pt idx="4">
                  <c:v>16</c:v>
                </c:pt>
                <c:pt idx="5">
                  <c:v>16.100000000000001</c:v>
                </c:pt>
                <c:pt idx="6">
                  <c:v>16.7</c:v>
                </c:pt>
                <c:pt idx="7">
                  <c:v>29.8</c:v>
                </c:pt>
                <c:pt idx="8">
                  <c:v>32.200000000000003</c:v>
                </c:pt>
                <c:pt idx="9">
                  <c:v>34.5</c:v>
                </c:pt>
                <c:pt idx="10">
                  <c:v>36.5</c:v>
                </c:pt>
                <c:pt idx="11">
                  <c:v>44.7</c:v>
                </c:pt>
                <c:pt idx="12">
                  <c:v>48.3</c:v>
                </c:pt>
                <c:pt idx="13">
                  <c:v>45.7</c:v>
                </c:pt>
                <c:pt idx="14">
                  <c:v>40.4</c:v>
                </c:pt>
                <c:pt idx="15">
                  <c:v>42.2</c:v>
                </c:pt>
              </c:numCache>
            </c:numRef>
          </c:val>
          <c:extLst>
            <c:ext xmlns:c16="http://schemas.microsoft.com/office/drawing/2014/chart" uri="{C3380CC4-5D6E-409C-BE32-E72D297353CC}">
              <c16:uniqueId val="{00000000-F070-42E8-820C-105E0B26FB00}"/>
            </c:ext>
          </c:extLst>
        </c:ser>
        <c:ser>
          <c:idx val="1"/>
          <c:order val="1"/>
          <c:tx>
            <c:strRef>
              <c:f>'ECD '!$D$9</c:f>
              <c:strCache>
                <c:ptCount val="1"/>
                <c:pt idx="0">
                  <c:v>3-5 year olds</c:v>
                </c:pt>
              </c:strCache>
            </c:strRef>
          </c:tx>
          <c:spPr>
            <a:solidFill>
              <a:srgbClr val="F8A662"/>
            </a:solidFill>
            <a:ln w="25400">
              <a:noFill/>
              <a:prstDash val="solid"/>
            </a:ln>
          </c:spPr>
          <c:invertIfNegative val="0"/>
          <c:cat>
            <c:numRef>
              <c:f>'ECD '!$F$7:$U$7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'ECD '!$F$9:$Q$9</c:f>
              <c:numCache>
                <c:formatCode>0.0</c:formatCode>
                <c:ptCount val="12"/>
                <c:pt idx="7">
                  <c:v>60</c:v>
                </c:pt>
                <c:pt idx="8">
                  <c:v>64</c:v>
                </c:pt>
                <c:pt idx="9">
                  <c:v>66</c:v>
                </c:pt>
                <c:pt idx="10">
                  <c:v>67.387887449672405</c:v>
                </c:pt>
                <c:pt idx="11">
                  <c:v>71.275629761606439</c:v>
                </c:pt>
              </c:numCache>
            </c:numRef>
          </c:val>
          <c:extLst>
            <c:ext xmlns:c16="http://schemas.microsoft.com/office/drawing/2014/chart" uri="{C3380CC4-5D6E-409C-BE32-E72D297353CC}">
              <c16:uniqueId val="{00000001-F070-42E8-820C-105E0B26FB00}"/>
            </c:ext>
          </c:extLst>
        </c:ser>
        <c:ser>
          <c:idx val="2"/>
          <c:order val="2"/>
          <c:tx>
            <c:strRef>
              <c:f>'ECD '!$D$10</c:f>
              <c:strCache>
                <c:ptCount val="1"/>
                <c:pt idx="0">
                  <c:v>5 year olds</c:v>
                </c:pt>
              </c:strCache>
            </c:strRef>
          </c:tx>
          <c:spPr>
            <a:solidFill>
              <a:srgbClr val="E46C0A"/>
            </a:solidFill>
            <a:ln>
              <a:noFill/>
            </a:ln>
          </c:spPr>
          <c:invertIfNegative val="0"/>
          <c:cat>
            <c:numRef>
              <c:f>'ECD '!$F$7:$U$7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'ECD '!$F$10:$U$10</c:f>
              <c:numCache>
                <c:formatCode>0.0</c:formatCode>
                <c:ptCount val="16"/>
                <c:pt idx="0">
                  <c:v>39.299999999999997</c:v>
                </c:pt>
                <c:pt idx="1">
                  <c:v>48.1</c:v>
                </c:pt>
                <c:pt idx="2">
                  <c:v>51.9</c:v>
                </c:pt>
                <c:pt idx="3">
                  <c:v>59.3</c:v>
                </c:pt>
                <c:pt idx="4">
                  <c:v>61.6</c:v>
                </c:pt>
                <c:pt idx="5">
                  <c:v>60.2</c:v>
                </c:pt>
                <c:pt idx="6">
                  <c:v>63.2</c:v>
                </c:pt>
                <c:pt idx="7">
                  <c:v>78.3</c:v>
                </c:pt>
                <c:pt idx="8">
                  <c:v>83.4</c:v>
                </c:pt>
                <c:pt idx="9">
                  <c:v>84.8</c:v>
                </c:pt>
                <c:pt idx="10">
                  <c:v>84.6</c:v>
                </c:pt>
                <c:pt idx="11">
                  <c:v>85.3</c:v>
                </c:pt>
                <c:pt idx="12">
                  <c:v>87.2</c:v>
                </c:pt>
                <c:pt idx="13">
                  <c:v>85.8</c:v>
                </c:pt>
                <c:pt idx="14">
                  <c:v>88.1</c:v>
                </c:pt>
                <c:pt idx="15">
                  <c:v>88</c:v>
                </c:pt>
              </c:numCache>
            </c:numRef>
          </c:val>
          <c:extLst>
            <c:ext xmlns:c16="http://schemas.microsoft.com/office/drawing/2014/chart" uri="{C3380CC4-5D6E-409C-BE32-E72D297353CC}">
              <c16:uniqueId val="{00000002-F070-42E8-820C-105E0B26FB00}"/>
            </c:ext>
          </c:extLst>
        </c:ser>
        <c:ser>
          <c:idx val="3"/>
          <c:order val="3"/>
          <c:tx>
            <c:strRef>
              <c:f>'ECD '!$D$11</c:f>
              <c:strCache>
                <c:ptCount val="1"/>
                <c:pt idx="0">
                  <c:v>6 year olds </c:v>
                </c:pt>
              </c:strCache>
            </c:strRef>
          </c:tx>
          <c:invertIfNegative val="0"/>
          <c:cat>
            <c:numRef>
              <c:f>'ECD '!$F$7:$U$7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'ECD '!$F$11:$U$11</c:f>
              <c:numCache>
                <c:formatCode>General</c:formatCode>
                <c:ptCount val="16"/>
                <c:pt idx="7" formatCode="0.0">
                  <c:v>94.791239000000004</c:v>
                </c:pt>
                <c:pt idx="8" formatCode="0.0">
                  <c:v>96.097873000000007</c:v>
                </c:pt>
                <c:pt idx="9" formatCode="0.0">
                  <c:v>95.457340000000002</c:v>
                </c:pt>
                <c:pt idx="10" formatCode="0.0">
                  <c:v>95.849581000000001</c:v>
                </c:pt>
                <c:pt idx="11" formatCode="0.0">
                  <c:v>95.459684999999993</c:v>
                </c:pt>
                <c:pt idx="12" formatCode="0.0">
                  <c:v>95.888360000000006</c:v>
                </c:pt>
                <c:pt idx="13" formatCode="0.0">
                  <c:v>98.2</c:v>
                </c:pt>
                <c:pt idx="14" formatCode="0.0">
                  <c:v>97.3</c:v>
                </c:pt>
                <c:pt idx="15" formatCode="0.0">
                  <c:v>96.6</c:v>
                </c:pt>
              </c:numCache>
            </c:numRef>
          </c:val>
          <c:extLst>
            <c:ext xmlns:c16="http://schemas.microsoft.com/office/drawing/2014/chart" uri="{C3380CC4-5D6E-409C-BE32-E72D297353CC}">
              <c16:uniqueId val="{00000003-F070-42E8-820C-105E0B26FB00}"/>
            </c:ext>
          </c:extLst>
        </c:ser>
        <c:ser>
          <c:idx val="4"/>
          <c:order val="4"/>
          <c:tx>
            <c:strRef>
              <c:f>'ECD '!$D$13</c:f>
              <c:strCache>
                <c:ptCount val="1"/>
                <c:pt idx="0">
                  <c:v>Grade 1 who attended Grade R</c:v>
                </c:pt>
              </c:strCache>
            </c:strRef>
          </c:tx>
          <c:invertIfNegative val="0"/>
          <c:cat>
            <c:numRef>
              <c:f>'ECD '!$F$7:$U$7</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'ECD '!$F$13:$U$13</c:f>
              <c:numCache>
                <c:formatCode>0.0</c:formatCode>
                <c:ptCount val="16"/>
                <c:pt idx="7">
                  <c:v>97.1</c:v>
                </c:pt>
                <c:pt idx="8">
                  <c:v>94.8</c:v>
                </c:pt>
                <c:pt idx="9">
                  <c:v>95</c:v>
                </c:pt>
                <c:pt idx="10">
                  <c:v>92.2</c:v>
                </c:pt>
                <c:pt idx="11">
                  <c:v>94.9</c:v>
                </c:pt>
                <c:pt idx="12">
                  <c:v>94.8</c:v>
                </c:pt>
                <c:pt idx="13">
                  <c:v>94.8</c:v>
                </c:pt>
                <c:pt idx="14">
                  <c:v>93.9</c:v>
                </c:pt>
                <c:pt idx="15">
                  <c:v>94.4</c:v>
                </c:pt>
              </c:numCache>
            </c:numRef>
          </c:val>
          <c:extLst>
            <c:ext xmlns:c16="http://schemas.microsoft.com/office/drawing/2014/chart" uri="{C3380CC4-5D6E-409C-BE32-E72D297353CC}">
              <c16:uniqueId val="{00000004-F070-42E8-820C-105E0B26FB00}"/>
            </c:ext>
          </c:extLst>
        </c:ser>
        <c:dLbls>
          <c:showLegendKey val="0"/>
          <c:showVal val="0"/>
          <c:showCatName val="0"/>
          <c:showSerName val="0"/>
          <c:showPercent val="0"/>
          <c:showBubbleSize val="0"/>
        </c:dLbls>
        <c:gapWidth val="150"/>
        <c:axId val="-890480608"/>
        <c:axId val="-890480064"/>
      </c:barChart>
      <c:catAx>
        <c:axId val="-89048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0480064"/>
        <c:crosses val="autoZero"/>
        <c:auto val="1"/>
        <c:lblAlgn val="ctr"/>
        <c:lblOffset val="100"/>
        <c:tickLblSkip val="1"/>
        <c:tickMarkSkip val="1"/>
        <c:noMultiLvlLbl val="0"/>
      </c:catAx>
      <c:valAx>
        <c:axId val="-890480064"/>
        <c:scaling>
          <c:orientation val="minMax"/>
          <c:max val="100"/>
          <c:min val="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0480608"/>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60763699498678081"/>
          <c:h val="0.14595778014606756"/>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 '!$D$8</c:f>
              <c:strCache>
                <c:ptCount val="1"/>
                <c:pt idx="0">
                  <c:v>0-4 year olds</c:v>
                </c:pt>
              </c:strCache>
            </c:strRef>
          </c:tx>
          <c:spPr>
            <a:ln w="25400">
              <a:solidFill>
                <a:srgbClr val="808000"/>
              </a:solidFill>
              <a:prstDash val="solid"/>
            </a:ln>
          </c:spPr>
          <c:invertIfNegative val="0"/>
          <c:cat>
            <c:strRef>
              <c:f>'ECD '!$E$7:$T$7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 '!$E$8:$T$8</c:f>
              <c:numCache>
                <c:formatCode>0.0</c:formatCode>
                <c:ptCount val="16"/>
                <c:pt idx="1">
                  <c:v>7.3</c:v>
                </c:pt>
                <c:pt idx="2">
                  <c:v>11.6</c:v>
                </c:pt>
                <c:pt idx="3">
                  <c:v>11.5</c:v>
                </c:pt>
                <c:pt idx="4">
                  <c:v>14.3</c:v>
                </c:pt>
                <c:pt idx="5">
                  <c:v>16</c:v>
                </c:pt>
                <c:pt idx="6">
                  <c:v>16.100000000000001</c:v>
                </c:pt>
                <c:pt idx="7">
                  <c:v>16.7</c:v>
                </c:pt>
                <c:pt idx="8">
                  <c:v>29.8</c:v>
                </c:pt>
                <c:pt idx="9">
                  <c:v>32.200000000000003</c:v>
                </c:pt>
                <c:pt idx="10">
                  <c:v>34.5</c:v>
                </c:pt>
                <c:pt idx="11">
                  <c:v>36.5</c:v>
                </c:pt>
                <c:pt idx="12">
                  <c:v>44.7</c:v>
                </c:pt>
                <c:pt idx="13">
                  <c:v>48.3</c:v>
                </c:pt>
                <c:pt idx="14">
                  <c:v>45.7</c:v>
                </c:pt>
                <c:pt idx="15">
                  <c:v>40.4</c:v>
                </c:pt>
              </c:numCache>
            </c:numRef>
          </c:val>
          <c:extLst>
            <c:ext xmlns:c16="http://schemas.microsoft.com/office/drawing/2014/chart" uri="{C3380CC4-5D6E-409C-BE32-E72D297353CC}">
              <c16:uniqueId val="{00000000-EC8E-4634-8356-78932DD491BE}"/>
            </c:ext>
          </c:extLst>
        </c:ser>
        <c:ser>
          <c:idx val="2"/>
          <c:order val="1"/>
          <c:tx>
            <c:strRef>
              <c:f>'ECD '!$D$10</c:f>
              <c:strCache>
                <c:ptCount val="1"/>
                <c:pt idx="0">
                  <c:v>5 year olds</c:v>
                </c:pt>
              </c:strCache>
            </c:strRef>
          </c:tx>
          <c:invertIfNegative val="0"/>
          <c:cat>
            <c:strRef>
              <c:f>'ECD '!$E$7:$T$7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 '!$E$10:$T$10</c:f>
              <c:numCache>
                <c:formatCode>0.0</c:formatCode>
                <c:ptCount val="16"/>
                <c:pt idx="1">
                  <c:v>39.299999999999997</c:v>
                </c:pt>
                <c:pt idx="2">
                  <c:v>48.1</c:v>
                </c:pt>
                <c:pt idx="3">
                  <c:v>51.9</c:v>
                </c:pt>
                <c:pt idx="4">
                  <c:v>59.3</c:v>
                </c:pt>
                <c:pt idx="5">
                  <c:v>61.6</c:v>
                </c:pt>
                <c:pt idx="6">
                  <c:v>60.2</c:v>
                </c:pt>
                <c:pt idx="7">
                  <c:v>63.2</c:v>
                </c:pt>
                <c:pt idx="8">
                  <c:v>78.3</c:v>
                </c:pt>
                <c:pt idx="9">
                  <c:v>83.4</c:v>
                </c:pt>
                <c:pt idx="10">
                  <c:v>84.8</c:v>
                </c:pt>
                <c:pt idx="11">
                  <c:v>84.6</c:v>
                </c:pt>
                <c:pt idx="12">
                  <c:v>85.3</c:v>
                </c:pt>
                <c:pt idx="13">
                  <c:v>87.2</c:v>
                </c:pt>
                <c:pt idx="14">
                  <c:v>85.8</c:v>
                </c:pt>
                <c:pt idx="15">
                  <c:v>88.1</c:v>
                </c:pt>
              </c:numCache>
            </c:numRef>
          </c:val>
          <c:extLst>
            <c:ext xmlns:c16="http://schemas.microsoft.com/office/drawing/2014/chart" uri="{C3380CC4-5D6E-409C-BE32-E72D297353CC}">
              <c16:uniqueId val="{00000001-EC8E-4634-8356-78932DD491BE}"/>
            </c:ext>
          </c:extLst>
        </c:ser>
        <c:dLbls>
          <c:showLegendKey val="0"/>
          <c:showVal val="0"/>
          <c:showCatName val="0"/>
          <c:showSerName val="0"/>
          <c:showPercent val="0"/>
          <c:showBubbleSize val="0"/>
        </c:dLbls>
        <c:gapWidth val="150"/>
        <c:axId val="-884934784"/>
        <c:axId val="-884938048"/>
      </c:barChart>
      <c:catAx>
        <c:axId val="-884934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4938048"/>
        <c:crosses val="autoZero"/>
        <c:auto val="1"/>
        <c:lblAlgn val="ctr"/>
        <c:lblOffset val="100"/>
        <c:tickLblSkip val="1"/>
        <c:tickMarkSkip val="1"/>
        <c:noMultiLvlLbl val="0"/>
      </c:catAx>
      <c:valAx>
        <c:axId val="-884938048"/>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4934784"/>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6921493835826915E-2"/>
          <c:y val="0.12569418184429071"/>
          <c:w val="0.91054717784337114"/>
          <c:h val="0.79131991479788433"/>
        </c:manualLayout>
      </c:layout>
      <c:lineChart>
        <c:grouping val="standard"/>
        <c:varyColors val="0"/>
        <c:ser>
          <c:idx val="0"/>
          <c:order val="0"/>
          <c:tx>
            <c:strRef>
              <c:f>'Educator Learner ratio '!$D$10</c:f>
              <c:strCache>
                <c:ptCount val="1"/>
                <c:pt idx="0">
                  <c:v>Learner: Educator Ratio</c:v>
                </c:pt>
              </c:strCache>
            </c:strRef>
          </c:tx>
          <c:spPr>
            <a:ln w="25400">
              <a:solidFill>
                <a:srgbClr val="FF6600"/>
              </a:solidFill>
            </a:ln>
          </c:spPr>
          <c:marker>
            <c:symbol val="none"/>
          </c:marker>
          <c:cat>
            <c:numRef>
              <c:extLst>
                <c:ext xmlns:c15="http://schemas.microsoft.com/office/drawing/2012/chart" uri="{02D57815-91ED-43cb-92C2-25804820EDAC}">
                  <c15:fullRef>
                    <c15:sqref>'Educator Learner ratio '!$E$7:$Y$7</c15:sqref>
                  </c15:fullRef>
                </c:ext>
              </c:extLst>
              <c:f>'Educator Learner ratio '!$P$7:$Y$7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'Educator Learner ratio '!$E$10:$Y$10</c15:sqref>
                  </c15:fullRef>
                </c:ext>
              </c:extLst>
              <c:f>'Educator Learner ratio '!$P$10:$Y$10</c:f>
              <c:numCache>
                <c:formatCode>0</c:formatCode>
                <c:ptCount val="10"/>
                <c:pt idx="0">
                  <c:v>30.332585037333462</c:v>
                </c:pt>
                <c:pt idx="1">
                  <c:v>30.261094048821505</c:v>
                </c:pt>
                <c:pt idx="2">
                  <c:v>30.388310222056848</c:v>
                </c:pt>
                <c:pt idx="3">
                  <c:v>30.261094048821505</c:v>
                </c:pt>
                <c:pt idx="4">
                  <c:v>31.02090842993487</c:v>
                </c:pt>
                <c:pt idx="5">
                  <c:v>32</c:v>
                </c:pt>
                <c:pt idx="6">
                  <c:v>30.893992274450504</c:v>
                </c:pt>
                <c:pt idx="7">
                  <c:v>29.752314686605743</c:v>
                </c:pt>
                <c:pt idx="8">
                  <c:v>29</c:v>
                </c:pt>
                <c:pt idx="9">
                  <c:v>29.315483402531601</c:v>
                </c:pt>
              </c:numCache>
            </c:numRef>
          </c:val>
          <c:smooth val="0"/>
          <c:extLst>
            <c:ext xmlns:c16="http://schemas.microsoft.com/office/drawing/2014/chart" uri="{C3380CC4-5D6E-409C-BE32-E72D297353CC}">
              <c16:uniqueId val="{00000000-090A-43DE-A235-C00A6EE4F2DE}"/>
            </c:ext>
          </c:extLst>
        </c:ser>
        <c:dLbls>
          <c:showLegendKey val="0"/>
          <c:showVal val="0"/>
          <c:showCatName val="0"/>
          <c:showSerName val="0"/>
          <c:showPercent val="0"/>
          <c:showBubbleSize val="0"/>
        </c:dLbls>
        <c:smooth val="0"/>
        <c:axId val="-1618726672"/>
        <c:axId val="-1618719056"/>
      </c:lineChart>
      <c:catAx>
        <c:axId val="-1618726672"/>
        <c:scaling>
          <c:orientation val="minMax"/>
        </c:scaling>
        <c:delete val="0"/>
        <c:axPos val="b"/>
        <c:numFmt formatCode="General" sourceLinked="1"/>
        <c:majorTickMark val="out"/>
        <c:minorTickMark val="none"/>
        <c:tickLblPos val="nextTo"/>
        <c:spPr>
          <a:ln>
            <a:solidFill>
              <a:sysClr val="windowText" lastClr="000000"/>
            </a:solidFill>
          </a:ln>
        </c:spPr>
        <c:crossAx val="-1618719056"/>
        <c:crossesAt val="30"/>
        <c:auto val="1"/>
        <c:lblAlgn val="ctr"/>
        <c:lblOffset val="100"/>
        <c:noMultiLvlLbl val="0"/>
      </c:catAx>
      <c:valAx>
        <c:axId val="-1618719056"/>
        <c:scaling>
          <c:orientation val="minMax"/>
          <c:min val="28"/>
        </c:scaling>
        <c:delete val="0"/>
        <c:axPos val="l"/>
        <c:majorGridlines>
          <c:spPr>
            <a:ln>
              <a:solidFill>
                <a:sysClr val="windowText" lastClr="000000">
                  <a:tint val="75000"/>
                  <a:shade val="95000"/>
                  <a:satMod val="105000"/>
                  <a:alpha val="55000"/>
                </a:sysClr>
              </a:solidFill>
              <a:prstDash val="sysDash"/>
            </a:ln>
          </c:spPr>
        </c:majorGridlines>
        <c:title>
          <c:tx>
            <c:rich>
              <a:bodyPr rot="-5400000" vert="horz"/>
              <a:lstStyle/>
              <a:p>
                <a:pPr>
                  <a:defRPr/>
                </a:pPr>
                <a:r>
                  <a:rPr lang="en-US"/>
                  <a:t>ratio</a:t>
                </a:r>
              </a:p>
            </c:rich>
          </c:tx>
          <c:overlay val="0"/>
        </c:title>
        <c:numFmt formatCode="0" sourceLinked="1"/>
        <c:majorTickMark val="out"/>
        <c:minorTickMark val="none"/>
        <c:tickLblPos val="nextTo"/>
        <c:spPr>
          <a:ln>
            <a:solidFill>
              <a:schemeClr val="tx1"/>
            </a:solidFill>
          </a:ln>
        </c:spPr>
        <c:crossAx val="-1618726672"/>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20309094554304971"/>
          <c:w val="0.90472569393304658"/>
          <c:h val="0.63134793940557543"/>
        </c:manualLayout>
      </c:layout>
      <c:lineChart>
        <c:grouping val="standard"/>
        <c:varyColors val="0"/>
        <c:ser>
          <c:idx val="0"/>
          <c:order val="0"/>
          <c:tx>
            <c:strRef>
              <c:f>'Gender parity index '!$D$11</c:f>
              <c:strCache>
                <c:ptCount val="1"/>
                <c:pt idx="0">
                  <c:v>Primary GPI</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'Gender parity index '!$E$7:$Z$7</c15:sqref>
                  </c15:fullRef>
                </c:ext>
              </c:extLst>
              <c:f>'Gender parity index '!$O$7:$Z$7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extLst>
                <c:ext xmlns:c15="http://schemas.microsoft.com/office/drawing/2012/chart" uri="{02D57815-91ED-43cb-92C2-25804820EDAC}">
                  <c15:fullRef>
                    <c15:sqref>'Gender parity index '!$E$11:$Z$11</c15:sqref>
                  </c15:fullRef>
                </c:ext>
              </c:extLst>
              <c:f>'Gender parity index '!$O$11:$Z$11</c:f>
              <c:numCache>
                <c:formatCode>0.000</c:formatCode>
                <c:ptCount val="12"/>
                <c:pt idx="0">
                  <c:v>0.96596311085757736</c:v>
                </c:pt>
                <c:pt idx="1">
                  <c:v>0.98</c:v>
                </c:pt>
                <c:pt idx="2">
                  <c:v>0.98</c:v>
                </c:pt>
                <c:pt idx="3">
                  <c:v>0.96048289591001679</c:v>
                </c:pt>
                <c:pt idx="4">
                  <c:v>0.95789473684210524</c:v>
                </c:pt>
                <c:pt idx="5">
                  <c:v>0.95049504950495045</c:v>
                </c:pt>
                <c:pt idx="6">
                  <c:v>0.94510233556841527</c:v>
                </c:pt>
                <c:pt idx="7">
                  <c:v>0.96</c:v>
                </c:pt>
                <c:pt idx="8">
                  <c:v>0.96</c:v>
                </c:pt>
                <c:pt idx="9">
                  <c:v>0.96</c:v>
                </c:pt>
                <c:pt idx="10">
                  <c:v>0.94</c:v>
                </c:pt>
                <c:pt idx="11">
                  <c:v>0.96</c:v>
                </c:pt>
              </c:numCache>
            </c:numRef>
          </c:val>
          <c:smooth val="0"/>
          <c:extLst>
            <c:ext xmlns:c16="http://schemas.microsoft.com/office/drawing/2014/chart" uri="{C3380CC4-5D6E-409C-BE32-E72D297353CC}">
              <c16:uniqueId val="{00000000-33DD-45E7-A214-30EA796156E9}"/>
            </c:ext>
          </c:extLst>
        </c:ser>
        <c:ser>
          <c:idx val="1"/>
          <c:order val="1"/>
          <c:tx>
            <c:strRef>
              <c:f>'Gender parity index '!$D$15</c:f>
              <c:strCache>
                <c:ptCount val="1"/>
                <c:pt idx="0">
                  <c:v>Secondary GPI</c:v>
                </c:pt>
              </c:strCache>
            </c:strRef>
          </c:tx>
          <c:spPr>
            <a:ln w="25400">
              <a:solidFill>
                <a:srgbClr val="BE4B48"/>
              </a:solidFill>
              <a:prstDash val="solid"/>
            </a:ln>
          </c:spPr>
          <c:marker>
            <c:symbol val="none"/>
          </c:marker>
          <c:cat>
            <c:numRef>
              <c:extLst>
                <c:ext xmlns:c15="http://schemas.microsoft.com/office/drawing/2012/chart" uri="{02D57815-91ED-43cb-92C2-25804820EDAC}">
                  <c15:fullRef>
                    <c15:sqref>'Gender parity index '!$E$7:$Z$7</c15:sqref>
                  </c15:fullRef>
                </c:ext>
              </c:extLst>
              <c:f>'Gender parity index '!$O$7:$Z$7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extLst>
                <c:ext xmlns:c15="http://schemas.microsoft.com/office/drawing/2012/chart" uri="{02D57815-91ED-43cb-92C2-25804820EDAC}">
                  <c15:fullRef>
                    <c15:sqref>'Gender parity index '!$E$15:$Z$15</c15:sqref>
                  </c15:fullRef>
                </c:ext>
              </c:extLst>
              <c:f>'Gender parity index '!$O$15:$Z$15</c:f>
              <c:numCache>
                <c:formatCode>0.000</c:formatCode>
                <c:ptCount val="12"/>
                <c:pt idx="0">
                  <c:v>1.0580000000000001</c:v>
                </c:pt>
                <c:pt idx="1">
                  <c:v>1.08</c:v>
                </c:pt>
                <c:pt idx="2">
                  <c:v>1.01</c:v>
                </c:pt>
                <c:pt idx="3">
                  <c:v>1.07078134597603</c:v>
                </c:pt>
                <c:pt idx="4">
                  <c:v>1.0714285714285714</c:v>
                </c:pt>
                <c:pt idx="5">
                  <c:v>1.069767441860465</c:v>
                </c:pt>
                <c:pt idx="6">
                  <c:v>1.0603352145470628</c:v>
                </c:pt>
                <c:pt idx="7">
                  <c:v>1.07</c:v>
                </c:pt>
                <c:pt idx="8">
                  <c:v>1.05</c:v>
                </c:pt>
                <c:pt idx="9">
                  <c:v>1.06</c:v>
                </c:pt>
                <c:pt idx="10">
                  <c:v>1.04</c:v>
                </c:pt>
                <c:pt idx="11">
                  <c:v>1.054945054945055</c:v>
                </c:pt>
              </c:numCache>
            </c:numRef>
          </c:val>
          <c:smooth val="0"/>
          <c:extLst>
            <c:ext xmlns:c16="http://schemas.microsoft.com/office/drawing/2014/chart" uri="{C3380CC4-5D6E-409C-BE32-E72D297353CC}">
              <c16:uniqueId val="{00000001-33DD-45E7-A214-30EA796156E9}"/>
            </c:ext>
          </c:extLst>
        </c:ser>
        <c:ser>
          <c:idx val="2"/>
          <c:order val="2"/>
          <c:tx>
            <c:strRef>
              <c:f>'Gender parity index '!$D$28</c:f>
              <c:strCache>
                <c:ptCount val="1"/>
                <c:pt idx="0">
                  <c:v>University GPI</c:v>
                </c:pt>
              </c:strCache>
            </c:strRef>
          </c:tx>
          <c:spPr>
            <a:ln w="25400">
              <a:solidFill>
                <a:srgbClr val="FFC600"/>
              </a:solidFill>
            </a:ln>
          </c:spPr>
          <c:marker>
            <c:symbol val="none"/>
          </c:marker>
          <c:cat>
            <c:numRef>
              <c:extLst>
                <c:ext xmlns:c15="http://schemas.microsoft.com/office/drawing/2012/chart" uri="{02D57815-91ED-43cb-92C2-25804820EDAC}">
                  <c15:fullRef>
                    <c15:sqref>'Gender parity index '!$E$7:$Z$7</c15:sqref>
                  </c15:fullRef>
                </c:ext>
              </c:extLst>
              <c:f>'Gender parity index '!$O$7:$Z$7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extLst>
                <c:ext xmlns:c15="http://schemas.microsoft.com/office/drawing/2012/chart" uri="{02D57815-91ED-43cb-92C2-25804820EDAC}">
                  <c15:fullRef>
                    <c15:sqref>'Gender parity index '!$E$28:$AA$28</c15:sqref>
                  </c15:fullRef>
                </c:ext>
              </c:extLst>
              <c:f>'Gender parity index '!$O$28:$AA$28</c:f>
              <c:numCache>
                <c:formatCode>0.00</c:formatCode>
                <c:ptCount val="13"/>
                <c:pt idx="0">
                  <c:v>1.2565538048616052</c:v>
                </c:pt>
                <c:pt idx="1">
                  <c:v>1.2653061224489797</c:v>
                </c:pt>
                <c:pt idx="2">
                  <c:v>1.318185787594814</c:v>
                </c:pt>
                <c:pt idx="3">
                  <c:v>1.36</c:v>
                </c:pt>
                <c:pt idx="4">
                  <c:v>1.3881705688694896</c:v>
                </c:pt>
                <c:pt idx="5">
                  <c:v>1.42</c:v>
                </c:pt>
                <c:pt idx="6">
                  <c:v>1.4262037283858577</c:v>
                </c:pt>
                <c:pt idx="7">
                  <c:v>1.4281177836052827</c:v>
                </c:pt>
                <c:pt idx="8">
                  <c:v>1.4071469246312569</c:v>
                </c:pt>
                <c:pt idx="9">
                  <c:v>1.3930599195757936</c:v>
                </c:pt>
                <c:pt idx="10">
                  <c:v>1.3985546506202122</c:v>
                </c:pt>
                <c:pt idx="11">
                  <c:v>1.4229767174182026</c:v>
                </c:pt>
                <c:pt idx="12">
                  <c:v>1.4957</c:v>
                </c:pt>
              </c:numCache>
            </c:numRef>
          </c:val>
          <c:smooth val="0"/>
          <c:extLst>
            <c:ext xmlns:c16="http://schemas.microsoft.com/office/drawing/2014/chart" uri="{C3380CC4-5D6E-409C-BE32-E72D297353CC}">
              <c16:uniqueId val="{00000002-33DD-45E7-A214-30EA796156E9}"/>
            </c:ext>
          </c:extLst>
        </c:ser>
        <c:ser>
          <c:idx val="3"/>
          <c:order val="3"/>
          <c:tx>
            <c:strRef>
              <c:f>'Gender parity index '!$D$37</c:f>
              <c:strCache>
                <c:ptCount val="1"/>
                <c:pt idx="0">
                  <c:v>TVET GPI</c:v>
                </c:pt>
              </c:strCache>
            </c:strRef>
          </c:tx>
          <c:marker>
            <c:symbol val="none"/>
          </c:marker>
          <c:cat>
            <c:numRef>
              <c:extLst>
                <c:ext xmlns:c15="http://schemas.microsoft.com/office/drawing/2012/chart" uri="{02D57815-91ED-43cb-92C2-25804820EDAC}">
                  <c15:fullRef>
                    <c15:sqref>'Gender parity index '!$E$7:$Z$7</c15:sqref>
                  </c15:fullRef>
                </c:ext>
              </c:extLst>
              <c:f>'Gender parity index '!$O$7:$Z$7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extLst>
                <c:ext xmlns:c15="http://schemas.microsoft.com/office/drawing/2012/chart" uri="{02D57815-91ED-43cb-92C2-25804820EDAC}">
                  <c15:fullRef>
                    <c15:sqref>'Gender parity index '!$E$37:$Z$37</c15:sqref>
                  </c15:fullRef>
                </c:ext>
              </c:extLst>
              <c:f>'Gender parity index '!$O$37:$Z$37</c:f>
              <c:numCache>
                <c:formatCode>General</c:formatCode>
                <c:ptCount val="12"/>
                <c:pt idx="3" formatCode="0.00">
                  <c:v>0.90059105682944296</c:v>
                </c:pt>
                <c:pt idx="4" formatCode="0.00">
                  <c:v>0.95111808840951773</c:v>
                </c:pt>
                <c:pt idx="5" formatCode="0.00">
                  <c:v>0.99961293543493346</c:v>
                </c:pt>
                <c:pt idx="6" formatCode="0.00">
                  <c:v>1.0575871387631375</c:v>
                </c:pt>
                <c:pt idx="7" formatCode="0.00">
                  <c:v>1.1546626595627805</c:v>
                </c:pt>
                <c:pt idx="8" formatCode="0.00">
                  <c:v>1.2146182165630519</c:v>
                </c:pt>
                <c:pt idx="9" formatCode="0.00">
                  <c:v>1.3305050004448042</c:v>
                </c:pt>
                <c:pt idx="10" formatCode="0.00">
                  <c:v>1.3425066882690107</c:v>
                </c:pt>
                <c:pt idx="11" formatCode="0.00">
                  <c:v>1.3740404696770721</c:v>
                </c:pt>
              </c:numCache>
            </c:numRef>
          </c:val>
          <c:smooth val="0"/>
          <c:extLst>
            <c:ext xmlns:c16="http://schemas.microsoft.com/office/drawing/2014/chart" uri="{C3380CC4-5D6E-409C-BE32-E72D297353CC}">
              <c16:uniqueId val="{00000003-33DD-45E7-A214-30EA796156E9}"/>
            </c:ext>
          </c:extLst>
        </c:ser>
        <c:dLbls>
          <c:showLegendKey val="0"/>
          <c:showVal val="0"/>
          <c:showCatName val="0"/>
          <c:showSerName val="0"/>
          <c:showPercent val="0"/>
          <c:showBubbleSize val="0"/>
        </c:dLbls>
        <c:smooth val="0"/>
        <c:axId val="-1618729392"/>
        <c:axId val="-1618734288"/>
      </c:lineChart>
      <c:catAx>
        <c:axId val="-161872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34288"/>
        <c:crosses val="autoZero"/>
        <c:auto val="1"/>
        <c:lblAlgn val="ctr"/>
        <c:lblOffset val="100"/>
        <c:tickLblSkip val="1"/>
        <c:tickMarkSkip val="1"/>
        <c:noMultiLvlLbl val="0"/>
      </c:catAx>
      <c:valAx>
        <c:axId val="-1618734288"/>
        <c:scaling>
          <c:orientation val="minMax"/>
          <c:max val="1.45"/>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9392"/>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7376310163216352"/>
          <c:y val="0.83741952870987324"/>
          <c:w val="0.50688984533197445"/>
          <c:h val="0.14326412530234195"/>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5.6407143518475172E-2"/>
          <c:y val="0.17803581707609406"/>
          <c:w val="0.91743210594268809"/>
          <c:h val="0.68642454228673744"/>
        </c:manualLayout>
      </c:layout>
      <c:lineChart>
        <c:grouping val="standard"/>
        <c:varyColors val="0"/>
        <c:ser>
          <c:idx val="0"/>
          <c:order val="0"/>
          <c:spPr>
            <a:ln w="25400">
              <a:solidFill>
                <a:srgbClr val="FF6600"/>
              </a:solidFill>
              <a:prstDash val="solid"/>
            </a:ln>
          </c:spPr>
          <c:marker>
            <c:symbol val="none"/>
          </c:marker>
          <c:cat>
            <c:numRef>
              <c:extLst>
                <c:ext xmlns:c15="http://schemas.microsoft.com/office/drawing/2012/chart" uri="{02D57815-91ED-43cb-92C2-25804820EDAC}">
                  <c15:fullRef>
                    <c15:sqref>'GFCF  '!$E$7:$AD$7</c15:sqref>
                  </c15:fullRef>
                </c:ext>
              </c:extLst>
              <c:f>'GFCF  '!$Q$7:$AD$7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extLst>
                <c:ext xmlns:c15="http://schemas.microsoft.com/office/drawing/2012/chart" uri="{02D57815-91ED-43cb-92C2-25804820EDAC}">
                  <c15:fullRef>
                    <c15:sqref>'GFCF  '!$E$8:$AD$8</c15:sqref>
                  </c15:fullRef>
                </c:ext>
              </c:extLst>
              <c:f>'GFCF  '!$Q$8:$AD$8</c:f>
              <c:numCache>
                <c:formatCode>0.0</c:formatCode>
                <c:ptCount val="14"/>
                <c:pt idx="0">
                  <c:v>18.899999999999999</c:v>
                </c:pt>
                <c:pt idx="1">
                  <c:v>20.6</c:v>
                </c:pt>
                <c:pt idx="2">
                  <c:v>23.5</c:v>
                </c:pt>
                <c:pt idx="3">
                  <c:v>21.5</c:v>
                </c:pt>
                <c:pt idx="4">
                  <c:v>19.3</c:v>
                </c:pt>
                <c:pt idx="5">
                  <c:v>19.100000000000001</c:v>
                </c:pt>
                <c:pt idx="6">
                  <c:v>19.2</c:v>
                </c:pt>
                <c:pt idx="7">
                  <c:v>20.399999999999999</c:v>
                </c:pt>
                <c:pt idx="8">
                  <c:v>20.399999999999999</c:v>
                </c:pt>
                <c:pt idx="9">
                  <c:v>20.3</c:v>
                </c:pt>
                <c:pt idx="10">
                  <c:v>19.399999999999999</c:v>
                </c:pt>
                <c:pt idx="11">
                  <c:v>18.8</c:v>
                </c:pt>
                <c:pt idx="12">
                  <c:v>18.2</c:v>
                </c:pt>
                <c:pt idx="13">
                  <c:v>17.899999999999999</c:v>
                </c:pt>
              </c:numCache>
            </c:numRef>
          </c:val>
          <c:smooth val="0"/>
          <c:extLst>
            <c:ext xmlns:c16="http://schemas.microsoft.com/office/drawing/2014/chart" uri="{C3380CC4-5D6E-409C-BE32-E72D297353CC}">
              <c16:uniqueId val="{00000000-99C8-40C4-B5E9-3591008785EB}"/>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6.9327314027242612E-3"/>
              <c:y val="0.4258436281852203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Number of NEETs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'Education Attainment and NE'!$D$8</c:f>
              <c:strCache>
                <c:ptCount val="1"/>
                <c:pt idx="0">
                  <c:v>15-24 years</c:v>
                </c:pt>
              </c:strCache>
            </c:strRef>
          </c:tx>
          <c:spPr>
            <a:solidFill>
              <a:schemeClr val="accent1"/>
            </a:solidFill>
            <a:ln>
              <a:noFill/>
            </a:ln>
            <a:effectLst/>
          </c:spPr>
          <c:invertIfNegative val="0"/>
          <c:cat>
            <c:numRef>
              <c:f>'Education Attainment and NE'!$E$7:$J$7</c:f>
              <c:numCache>
                <c:formatCode>General</c:formatCode>
                <c:ptCount val="6"/>
                <c:pt idx="0">
                  <c:v>2013</c:v>
                </c:pt>
                <c:pt idx="1">
                  <c:v>2014</c:v>
                </c:pt>
                <c:pt idx="2">
                  <c:v>2015</c:v>
                </c:pt>
                <c:pt idx="3">
                  <c:v>2016</c:v>
                </c:pt>
                <c:pt idx="4">
                  <c:v>2017</c:v>
                </c:pt>
                <c:pt idx="5">
                  <c:v>2018</c:v>
                </c:pt>
              </c:numCache>
            </c:numRef>
          </c:cat>
          <c:val>
            <c:numRef>
              <c:f>'Education Attainment and NE'!$E$8:$J$8</c:f>
              <c:numCache>
                <c:formatCode>_(* #\ ##0_);_(* \(#\ ##0\);_(* "-"??_);_(@_)</c:formatCode>
                <c:ptCount val="6"/>
                <c:pt idx="0">
                  <c:v>3260.9581152721175</c:v>
                </c:pt>
                <c:pt idx="1">
                  <c:v>3211.8228779188748</c:v>
                </c:pt>
                <c:pt idx="2">
                  <c:v>3138.7506212202411</c:v>
                </c:pt>
                <c:pt idx="3">
                  <c:v>3218.8899504711289</c:v>
                </c:pt>
                <c:pt idx="4">
                  <c:v>3213.4311353148937</c:v>
                </c:pt>
                <c:pt idx="5">
                  <c:v>3253.6426271063419</c:v>
                </c:pt>
              </c:numCache>
            </c:numRef>
          </c:val>
          <c:extLst>
            <c:ext xmlns:c16="http://schemas.microsoft.com/office/drawing/2014/chart" uri="{C3380CC4-5D6E-409C-BE32-E72D297353CC}">
              <c16:uniqueId val="{00000000-B268-4D33-AD37-509FAE60A452}"/>
            </c:ext>
          </c:extLst>
        </c:ser>
        <c:ser>
          <c:idx val="1"/>
          <c:order val="1"/>
          <c:tx>
            <c:strRef>
              <c:f>'Education Attainment and NE'!$D$9</c:f>
              <c:strCache>
                <c:ptCount val="1"/>
                <c:pt idx="0">
                  <c:v>18-24 years</c:v>
                </c:pt>
              </c:strCache>
            </c:strRef>
          </c:tx>
          <c:spPr>
            <a:solidFill>
              <a:schemeClr val="accent2"/>
            </a:solidFill>
            <a:ln>
              <a:noFill/>
            </a:ln>
            <a:effectLst/>
          </c:spPr>
          <c:invertIfNegative val="0"/>
          <c:cat>
            <c:numRef>
              <c:f>'Education Attainment and NE'!$E$7:$J$7</c:f>
              <c:numCache>
                <c:formatCode>General</c:formatCode>
                <c:ptCount val="6"/>
                <c:pt idx="0">
                  <c:v>2013</c:v>
                </c:pt>
                <c:pt idx="1">
                  <c:v>2014</c:v>
                </c:pt>
                <c:pt idx="2">
                  <c:v>2015</c:v>
                </c:pt>
                <c:pt idx="3">
                  <c:v>2016</c:v>
                </c:pt>
                <c:pt idx="4">
                  <c:v>2017</c:v>
                </c:pt>
                <c:pt idx="5">
                  <c:v>2018</c:v>
                </c:pt>
              </c:numCache>
            </c:numRef>
          </c:cat>
          <c:val>
            <c:numRef>
              <c:f>'Education Attainment and NE'!$E$9:$J$9</c:f>
              <c:numCache>
                <c:formatCode>_(* #\ ##0_);_(* \(#\ ##0\);_(* "-"??_);_(@_)</c:formatCode>
                <c:ptCount val="6"/>
                <c:pt idx="0">
                  <c:v>3043.7023348745824</c:v>
                </c:pt>
                <c:pt idx="1">
                  <c:v>3000.8436625510553</c:v>
                </c:pt>
                <c:pt idx="2">
                  <c:v>2931.2916935508761</c:v>
                </c:pt>
                <c:pt idx="3">
                  <c:v>3001.2790058000955</c:v>
                </c:pt>
                <c:pt idx="4">
                  <c:v>3032.0643688012133</c:v>
                </c:pt>
                <c:pt idx="5">
                  <c:v>3060.9373865289208</c:v>
                </c:pt>
              </c:numCache>
            </c:numRef>
          </c:val>
          <c:extLst>
            <c:ext xmlns:c16="http://schemas.microsoft.com/office/drawing/2014/chart" uri="{C3380CC4-5D6E-409C-BE32-E72D297353CC}">
              <c16:uniqueId val="{00000001-B268-4D33-AD37-509FAE60A452}"/>
            </c:ext>
          </c:extLst>
        </c:ser>
        <c:ser>
          <c:idx val="2"/>
          <c:order val="2"/>
          <c:tx>
            <c:strRef>
              <c:f>'Education Attainment and NE'!$D$10</c:f>
              <c:strCache>
                <c:ptCount val="1"/>
                <c:pt idx="0">
                  <c:v>15-34 years</c:v>
                </c:pt>
              </c:strCache>
            </c:strRef>
          </c:tx>
          <c:spPr>
            <a:solidFill>
              <a:schemeClr val="accent3"/>
            </a:solidFill>
            <a:ln>
              <a:noFill/>
            </a:ln>
            <a:effectLst/>
          </c:spPr>
          <c:invertIfNegative val="0"/>
          <c:cat>
            <c:numRef>
              <c:f>'Education Attainment and NE'!$E$7:$J$7</c:f>
              <c:numCache>
                <c:formatCode>General</c:formatCode>
                <c:ptCount val="6"/>
                <c:pt idx="0">
                  <c:v>2013</c:v>
                </c:pt>
                <c:pt idx="1">
                  <c:v>2014</c:v>
                </c:pt>
                <c:pt idx="2">
                  <c:v>2015</c:v>
                </c:pt>
                <c:pt idx="3">
                  <c:v>2016</c:v>
                </c:pt>
                <c:pt idx="4">
                  <c:v>2017</c:v>
                </c:pt>
                <c:pt idx="5">
                  <c:v>2018</c:v>
                </c:pt>
              </c:numCache>
            </c:numRef>
          </c:cat>
          <c:val>
            <c:numRef>
              <c:f>'Education Attainment and NE'!$E$10:$J$10</c:f>
              <c:numCache>
                <c:formatCode>_(* #\ ##0_);_(* \(#\ ##0\);_(* "-"??_);_(@_)</c:formatCode>
                <c:ptCount val="6"/>
                <c:pt idx="0">
                  <c:v>7393.6536793845025</c:v>
                </c:pt>
                <c:pt idx="1">
                  <c:v>7446.3553874025911</c:v>
                </c:pt>
                <c:pt idx="2">
                  <c:v>7342.2333015733657</c:v>
                </c:pt>
                <c:pt idx="3">
                  <c:v>7602.7913087460392</c:v>
                </c:pt>
                <c:pt idx="4">
                  <c:v>7764.5276852254983</c:v>
                </c:pt>
                <c:pt idx="5">
                  <c:v>7936.6914577741218</c:v>
                </c:pt>
              </c:numCache>
            </c:numRef>
          </c:val>
          <c:extLst>
            <c:ext xmlns:c16="http://schemas.microsoft.com/office/drawing/2014/chart" uri="{C3380CC4-5D6E-409C-BE32-E72D297353CC}">
              <c16:uniqueId val="{00000002-B268-4D33-AD37-509FAE60A452}"/>
            </c:ext>
          </c:extLst>
        </c:ser>
        <c:dLbls>
          <c:showLegendKey val="0"/>
          <c:showVal val="0"/>
          <c:showCatName val="0"/>
          <c:showSerName val="0"/>
          <c:showPercent val="0"/>
          <c:showBubbleSize val="0"/>
        </c:dLbls>
        <c:gapWidth val="219"/>
        <c:overlap val="-27"/>
        <c:axId val="-1618714704"/>
        <c:axId val="-1618720144"/>
      </c:barChart>
      <c:catAx>
        <c:axId val="-1618714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18720144"/>
        <c:crosses val="autoZero"/>
        <c:auto val="1"/>
        <c:lblAlgn val="ctr"/>
        <c:lblOffset val="100"/>
        <c:noMultiLvlLbl val="0"/>
      </c:catAx>
      <c:valAx>
        <c:axId val="-1618720144"/>
        <c:scaling>
          <c:orientation val="minMax"/>
        </c:scaling>
        <c:delete val="0"/>
        <c:axPos val="l"/>
        <c:majorGridlines>
          <c:spPr>
            <a:ln w="9525" cap="flat" cmpd="sng" algn="ctr">
              <a:solidFill>
                <a:schemeClr val="tx1">
                  <a:lumMod val="15000"/>
                  <a:lumOff val="85000"/>
                </a:schemeClr>
              </a:solidFill>
              <a:round/>
            </a:ln>
            <a:effectLst/>
          </c:spPr>
        </c:majorGridlines>
        <c:numFmt formatCode="_(* #\ ##0_);_(* \(#\ ##0\);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1871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extLst>
                <c:ext xmlns:c15="http://schemas.microsoft.com/office/drawing/2012/chart" uri="{02D57815-91ED-43cb-92C2-25804820EDAC}">
                  <c15:fullRef>
                    <c15:sqref>'Matric pass rate'!$E$7:$AD$7</c15:sqref>
                  </c15:fullRef>
                </c:ext>
              </c:extLst>
              <c:f>'Matric pass rate'!$S$7:$AD$7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extLst>
                <c:ext xmlns:c15="http://schemas.microsoft.com/office/drawing/2012/chart" uri="{02D57815-91ED-43cb-92C2-25804820EDAC}">
                  <c15:fullRef>
                    <c15:sqref>'Matric pass rate'!$E$8:$AD$8</c15:sqref>
                  </c15:fullRef>
                </c:ext>
              </c:extLst>
              <c:f>'Matric pass rate'!$S$8:$AD$8</c:f>
              <c:numCache>
                <c:formatCode>#\ ###\ ###</c:formatCode>
                <c:ptCount val="12"/>
                <c:pt idx="0" formatCode="#,##0">
                  <c:v>554664</c:v>
                </c:pt>
                <c:pt idx="1" formatCode="#,##0">
                  <c:v>552073</c:v>
                </c:pt>
                <c:pt idx="2" formatCode="#,##0">
                  <c:v>537543</c:v>
                </c:pt>
                <c:pt idx="3" formatCode="#,##0">
                  <c:v>496090</c:v>
                </c:pt>
                <c:pt idx="4" formatCode="#,##0">
                  <c:v>511152</c:v>
                </c:pt>
                <c:pt idx="5" formatCode="#,##0">
                  <c:v>562116</c:v>
                </c:pt>
                <c:pt idx="6" formatCode="#,##0">
                  <c:v>532860</c:v>
                </c:pt>
                <c:pt idx="7" formatCode="#,##0">
                  <c:v>644536</c:v>
                </c:pt>
                <c:pt idx="8" formatCode="#,##0">
                  <c:v>610178</c:v>
                </c:pt>
                <c:pt idx="9" formatCode="#,##0">
                  <c:v>534484</c:v>
                </c:pt>
                <c:pt idx="10" formatCode="#,##0">
                  <c:v>512735</c:v>
                </c:pt>
                <c:pt idx="11" formatCode="#,##0">
                  <c:v>504303</c:v>
                </c:pt>
              </c:numCache>
            </c:numRef>
          </c:val>
          <c:smooth val="1"/>
          <c:extLst>
            <c:ext xmlns:c16="http://schemas.microsoft.com/office/drawing/2014/chart" uri="{C3380CC4-5D6E-409C-BE32-E72D297353CC}">
              <c16:uniqueId val="{00000000-0D0B-41C1-A487-5BD338C8F173}"/>
            </c:ext>
          </c:extLst>
        </c:ser>
        <c:ser>
          <c:idx val="1"/>
          <c:order val="1"/>
          <c:tx>
            <c:strRef>
              <c:f>'Matric pass rate'!$D$9</c:f>
              <c:strCache>
                <c:ptCount val="1"/>
                <c:pt idx="0">
                  <c:v>Number Passed</c:v>
                </c:pt>
              </c:strCache>
            </c:strRef>
          </c:tx>
          <c:spPr>
            <a:ln w="25400">
              <a:solidFill>
                <a:srgbClr val="BE4B48"/>
              </a:solidFill>
            </a:ln>
          </c:spPr>
          <c:marker>
            <c:symbol val="none"/>
          </c:marker>
          <c:cat>
            <c:numRef>
              <c:extLst>
                <c:ext xmlns:c15="http://schemas.microsoft.com/office/drawing/2012/chart" uri="{02D57815-91ED-43cb-92C2-25804820EDAC}">
                  <c15:fullRef>
                    <c15:sqref>'Matric pass rate'!$E$7:$AD$7</c15:sqref>
                  </c15:fullRef>
                </c:ext>
              </c:extLst>
              <c:f>'Matric pass rate'!$S$7:$AD$7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extLst>
                <c:ext xmlns:c15="http://schemas.microsoft.com/office/drawing/2012/chart" uri="{02D57815-91ED-43cb-92C2-25804820EDAC}">
                  <c15:fullRef>
                    <c15:sqref>'Matric pass rate'!$E$9:$AD$9</c15:sqref>
                  </c15:fullRef>
                </c:ext>
              </c:extLst>
              <c:f>'Matric pass rate'!$S$9:$AD$9</c:f>
              <c:numCache>
                <c:formatCode>#\ ###\ ###</c:formatCode>
                <c:ptCount val="12"/>
                <c:pt idx="0">
                  <c:v>344794</c:v>
                </c:pt>
                <c:pt idx="1">
                  <c:v>334716</c:v>
                </c:pt>
                <c:pt idx="2" formatCode="#,##0">
                  <c:v>364147</c:v>
                </c:pt>
                <c:pt idx="3" formatCode="#,##0">
                  <c:v>348117</c:v>
                </c:pt>
                <c:pt idx="4" formatCode="#,##0">
                  <c:v>377829</c:v>
                </c:pt>
                <c:pt idx="5" formatCode="#,##0">
                  <c:v>439779</c:v>
                </c:pt>
                <c:pt idx="6" formatCode="#,##0">
                  <c:v>403874</c:v>
                </c:pt>
                <c:pt idx="7" formatCode="#,##0">
                  <c:v>455825</c:v>
                </c:pt>
                <c:pt idx="8" formatCode="#,##0">
                  <c:v>442672</c:v>
                </c:pt>
                <c:pt idx="9" formatCode="#,##0">
                  <c:v>401435</c:v>
                </c:pt>
                <c:pt idx="10" formatCode="#,##0">
                  <c:v>400761</c:v>
                </c:pt>
                <c:pt idx="11" formatCode="#,##0">
                  <c:v>409906</c:v>
                </c:pt>
              </c:numCache>
            </c:numRef>
          </c:val>
          <c:smooth val="1"/>
          <c:extLst>
            <c:ext xmlns:c16="http://schemas.microsoft.com/office/drawing/2014/chart" uri="{C3380CC4-5D6E-409C-BE32-E72D297353CC}">
              <c16:uniqueId val="{00000001-0D0B-41C1-A487-5BD338C8F173}"/>
            </c:ext>
          </c:extLst>
        </c:ser>
        <c:ser>
          <c:idx val="3"/>
          <c:order val="3"/>
          <c:tx>
            <c:strRef>
              <c:f>'Matric pass rate'!$D$10</c:f>
              <c:strCache>
                <c:ptCount val="1"/>
                <c:pt idx="0">
                  <c:v>Bachelor passes</c:v>
                </c:pt>
              </c:strCache>
            </c:strRef>
          </c:tx>
          <c:marker>
            <c:symbol val="none"/>
          </c:marker>
          <c:cat>
            <c:numRef>
              <c:extLst>
                <c:ext xmlns:c15="http://schemas.microsoft.com/office/drawing/2012/chart" uri="{02D57815-91ED-43cb-92C2-25804820EDAC}">
                  <c15:fullRef>
                    <c15:sqref>'Matric pass rate'!$E$7:$AD$7</c15:sqref>
                  </c15:fullRef>
                </c:ext>
              </c:extLst>
              <c:f>'Matric pass rate'!$S$7:$AD$7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extLst>
                <c:ext xmlns:c15="http://schemas.microsoft.com/office/drawing/2012/chart" uri="{02D57815-91ED-43cb-92C2-25804820EDAC}">
                  <c15:fullRef>
                    <c15:sqref>'Matric pass rate'!$E$10:$AD$10</c15:sqref>
                  </c15:fullRef>
                </c:ext>
              </c:extLst>
              <c:f>'Matric pass rate'!$S$10:$AD$10</c:f>
              <c:numCache>
                <c:formatCode>#\ ###\ ###</c:formatCode>
                <c:ptCount val="12"/>
                <c:pt idx="1">
                  <c:v>109697</c:v>
                </c:pt>
                <c:pt idx="2" formatCode="#,##0">
                  <c:v>126371</c:v>
                </c:pt>
                <c:pt idx="3" formatCode="#,##0">
                  <c:v>120767</c:v>
                </c:pt>
                <c:pt idx="4" formatCode="#,##0">
                  <c:v>136047</c:v>
                </c:pt>
                <c:pt idx="5" formatCode="#,##0">
                  <c:v>171755</c:v>
                </c:pt>
                <c:pt idx="6" formatCode="#,##0">
                  <c:v>150752</c:v>
                </c:pt>
                <c:pt idx="7" formatCode="#,##0">
                  <c:v>166263</c:v>
                </c:pt>
                <c:pt idx="8" formatCode="#,##0">
                  <c:v>162374</c:v>
                </c:pt>
                <c:pt idx="9" formatCode="#,##0">
                  <c:v>153610</c:v>
                </c:pt>
                <c:pt idx="10" formatCode="#,##0">
                  <c:v>172043</c:v>
                </c:pt>
                <c:pt idx="11" formatCode="#,##0">
                  <c:v>186058</c:v>
                </c:pt>
              </c:numCache>
            </c:numRef>
          </c:val>
          <c:smooth val="1"/>
          <c:extLst>
            <c:ext xmlns:c16="http://schemas.microsoft.com/office/drawing/2014/chart" uri="{C3380CC4-5D6E-409C-BE32-E72D297353CC}">
              <c16:uniqueId val="{00000002-0D0B-41C1-A487-5BD338C8F173}"/>
            </c:ext>
          </c:extLst>
        </c:ser>
        <c:dLbls>
          <c:showLegendKey val="0"/>
          <c:showVal val="0"/>
          <c:showCatName val="0"/>
          <c:showSerName val="0"/>
          <c:showPercent val="0"/>
          <c:showBubbleSize val="0"/>
        </c:dLbls>
        <c:marker val="1"/>
        <c:smooth val="0"/>
        <c:axId val="-1618725040"/>
        <c:axId val="-1618735376"/>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extLst>
                <c:ext xmlns:c15="http://schemas.microsoft.com/office/drawing/2012/chart" uri="{02D57815-91ED-43cb-92C2-25804820EDAC}">
                  <c15:fullRef>
                    <c15:sqref>'Matric pass rate'!$E$7:$AD$7</c15:sqref>
                  </c15:fullRef>
                </c:ext>
              </c:extLst>
              <c:f>'Matric pass rate'!$S$7:$AD$7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extLst>
                <c:ext xmlns:c15="http://schemas.microsoft.com/office/drawing/2012/chart" uri="{02D57815-91ED-43cb-92C2-25804820EDAC}">
                  <c15:fullRef>
                    <c15:sqref>'Matric pass rate'!$E$11:$AD$11</c15:sqref>
                  </c15:fullRef>
                </c:ext>
              </c:extLst>
              <c:f>'Matric pass rate'!$S$11:$AD$11</c:f>
              <c:numCache>
                <c:formatCode>0.0%</c:formatCode>
                <c:ptCount val="12"/>
                <c:pt idx="0">
                  <c:v>0.62162678666724358</c:v>
                </c:pt>
                <c:pt idx="1">
                  <c:v>0.60628938564284074</c:v>
                </c:pt>
                <c:pt idx="2">
                  <c:v>0.67800000000000005</c:v>
                </c:pt>
                <c:pt idx="3">
                  <c:v>0.70199999999999996</c:v>
                </c:pt>
                <c:pt idx="4">
                  <c:v>0.73917151845243689</c:v>
                </c:pt>
                <c:pt idx="5">
                  <c:v>0.78200000000000003</c:v>
                </c:pt>
                <c:pt idx="6">
                  <c:v>0.75800000000000001</c:v>
                </c:pt>
                <c:pt idx="7">
                  <c:v>0.70699999999999996</c:v>
                </c:pt>
                <c:pt idx="8">
                  <c:v>0.72499999999999998</c:v>
                </c:pt>
                <c:pt idx="9">
                  <c:v>0.751</c:v>
                </c:pt>
                <c:pt idx="10">
                  <c:v>0.78200000000000003</c:v>
                </c:pt>
                <c:pt idx="11">
                  <c:v>0.81299999999999994</c:v>
                </c:pt>
              </c:numCache>
            </c:numRef>
          </c:val>
          <c:smooth val="1"/>
          <c:extLst>
            <c:ext xmlns:c16="http://schemas.microsoft.com/office/drawing/2014/chart" uri="{C3380CC4-5D6E-409C-BE32-E72D297353CC}">
              <c16:uniqueId val="{00000003-0D0B-41C1-A487-5BD338C8F173}"/>
            </c:ext>
          </c:extLst>
        </c:ser>
        <c:dLbls>
          <c:showLegendKey val="0"/>
          <c:showVal val="0"/>
          <c:showCatName val="0"/>
          <c:showSerName val="0"/>
          <c:showPercent val="0"/>
          <c:showBubbleSize val="0"/>
        </c:dLbls>
        <c:marker val="1"/>
        <c:smooth val="0"/>
        <c:axId val="-1618728848"/>
        <c:axId val="-1618734832"/>
      </c:lineChart>
      <c:catAx>
        <c:axId val="-1618725040"/>
        <c:scaling>
          <c:orientation val="minMax"/>
        </c:scaling>
        <c:delete val="0"/>
        <c:axPos val="b"/>
        <c:numFmt formatCode="General" sourceLinked="0"/>
        <c:majorTickMark val="out"/>
        <c:minorTickMark val="none"/>
        <c:tickLblPos val="nextTo"/>
        <c:crossAx val="-1618735376"/>
        <c:crosses val="autoZero"/>
        <c:auto val="1"/>
        <c:lblAlgn val="ctr"/>
        <c:lblOffset val="100"/>
        <c:tickMarkSkip val="1"/>
        <c:noMultiLvlLbl val="0"/>
      </c:catAx>
      <c:valAx>
        <c:axId val="-1618735376"/>
        <c:scaling>
          <c:orientation val="minMax"/>
          <c:max val="700000"/>
          <c:min val="100000"/>
        </c:scaling>
        <c:delete val="0"/>
        <c:axPos val="l"/>
        <c:majorGridlines>
          <c:spPr>
            <a:ln>
              <a:prstDash val="sysDash"/>
            </a:ln>
          </c:spPr>
        </c:majorGridlines>
        <c:numFmt formatCode="#\ ##0" sourceLinked="0"/>
        <c:majorTickMark val="out"/>
        <c:minorTickMark val="none"/>
        <c:tickLblPos val="nextTo"/>
        <c:crossAx val="-1618725040"/>
        <c:crosses val="autoZero"/>
        <c:crossBetween val="midCat"/>
        <c:majorUnit val="100000"/>
      </c:valAx>
      <c:catAx>
        <c:axId val="-1618728848"/>
        <c:scaling>
          <c:orientation val="minMax"/>
        </c:scaling>
        <c:delete val="1"/>
        <c:axPos val="b"/>
        <c:numFmt formatCode="General" sourceLinked="1"/>
        <c:majorTickMark val="out"/>
        <c:minorTickMark val="none"/>
        <c:tickLblPos val="none"/>
        <c:crossAx val="-1618734832"/>
        <c:crosses val="autoZero"/>
        <c:auto val="1"/>
        <c:lblAlgn val="ctr"/>
        <c:lblOffset val="100"/>
        <c:noMultiLvlLbl val="0"/>
      </c:catAx>
      <c:valAx>
        <c:axId val="-1618734832"/>
        <c:scaling>
          <c:orientation val="minMax"/>
          <c:min val="0"/>
        </c:scaling>
        <c:delete val="0"/>
        <c:axPos val="r"/>
        <c:numFmt formatCode="0.0%" sourceLinked="0"/>
        <c:majorTickMark val="out"/>
        <c:minorTickMark val="none"/>
        <c:tickLblPos val="nextTo"/>
        <c:crossAx val="-161872884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AFE8-4B04-994B-C0CB86116652}"/>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AFE8-4B04-994B-C0CB86116652}"/>
            </c:ext>
          </c:extLst>
        </c:ser>
        <c:dLbls>
          <c:showLegendKey val="0"/>
          <c:showVal val="0"/>
          <c:showCatName val="0"/>
          <c:showSerName val="0"/>
          <c:showPercent val="0"/>
          <c:showBubbleSize val="0"/>
        </c:dLbls>
        <c:marker val="1"/>
        <c:smooth val="0"/>
        <c:axId val="-1618736464"/>
        <c:axId val="-1618713616"/>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AFE8-4B04-994B-C0CB86116652}"/>
            </c:ext>
          </c:extLst>
        </c:ser>
        <c:dLbls>
          <c:showLegendKey val="0"/>
          <c:showVal val="0"/>
          <c:showCatName val="0"/>
          <c:showSerName val="0"/>
          <c:showPercent val="0"/>
          <c:showBubbleSize val="0"/>
        </c:dLbls>
        <c:marker val="1"/>
        <c:smooth val="0"/>
        <c:axId val="-1618717424"/>
        <c:axId val="-1618726128"/>
      </c:lineChart>
      <c:catAx>
        <c:axId val="-1618736464"/>
        <c:scaling>
          <c:orientation val="minMax"/>
        </c:scaling>
        <c:delete val="0"/>
        <c:axPos val="b"/>
        <c:numFmt formatCode="General" sourceLinked="0"/>
        <c:majorTickMark val="out"/>
        <c:minorTickMark val="none"/>
        <c:tickLblPos val="nextTo"/>
        <c:crossAx val="-1618713616"/>
        <c:crosses val="autoZero"/>
        <c:auto val="1"/>
        <c:lblAlgn val="ctr"/>
        <c:lblOffset val="100"/>
        <c:tickMarkSkip val="1"/>
        <c:noMultiLvlLbl val="0"/>
      </c:catAx>
      <c:valAx>
        <c:axId val="-1618713616"/>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1618736464"/>
        <c:crosses val="autoZero"/>
        <c:crossBetween val="between"/>
        <c:majorUnit val="100000"/>
      </c:valAx>
      <c:catAx>
        <c:axId val="-1618717424"/>
        <c:scaling>
          <c:orientation val="minMax"/>
        </c:scaling>
        <c:delete val="1"/>
        <c:axPos val="b"/>
        <c:numFmt formatCode="General" sourceLinked="1"/>
        <c:majorTickMark val="out"/>
        <c:minorTickMark val="none"/>
        <c:tickLblPos val="none"/>
        <c:crossAx val="-1618726128"/>
        <c:crosses val="autoZero"/>
        <c:auto val="1"/>
        <c:lblAlgn val="ctr"/>
        <c:lblOffset val="100"/>
        <c:noMultiLvlLbl val="0"/>
      </c:catAx>
      <c:valAx>
        <c:axId val="-1618726128"/>
        <c:scaling>
          <c:orientation val="minMax"/>
          <c:min val="0"/>
        </c:scaling>
        <c:delete val="0"/>
        <c:axPos val="r"/>
        <c:numFmt formatCode="0.0%" sourceLinked="0"/>
        <c:majorTickMark val="out"/>
        <c:minorTickMark val="none"/>
        <c:tickLblPos val="nextTo"/>
        <c:crossAx val="-1618717424"/>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8"/>
          <c:order val="0"/>
          <c:tx>
            <c:strRef>
              <c:f>'Mathematics pass rate '!$D$9</c:f>
              <c:strCache>
                <c:ptCount val="1"/>
                <c:pt idx="0">
                  <c:v>Mathematics passes</c:v>
                </c:pt>
              </c:strCache>
            </c:strRef>
          </c:tx>
          <c:spPr>
            <a:solidFill>
              <a:srgbClr val="FCD5B5"/>
            </a:solidFill>
          </c:spPr>
          <c:invertIfNegative val="0"/>
          <c:cat>
            <c:numRef>
              <c:extLst>
                <c:ext xmlns:c15="http://schemas.microsoft.com/office/drawing/2012/chart" uri="{02D57815-91ED-43cb-92C2-25804820EDAC}">
                  <c15:fullRef>
                    <c15:sqref>'Mathematics pass rate '!$R$8:$AB$8</c15:sqref>
                  </c15:fullRef>
                </c:ext>
              </c:extLst>
              <c:f>('Mathematics pass rate '!$R$8:$S$8,'Mathematics pass rate '!$V$8:$AB$8)</c:f>
              <c:numCache>
                <c:formatCode>General</c:formatCode>
                <c:ptCount val="7"/>
                <c:pt idx="0">
                  <c:v>2012</c:v>
                </c:pt>
                <c:pt idx="1">
                  <c:v>2013</c:v>
                </c:pt>
                <c:pt idx="2">
                  <c:v>2014</c:v>
                </c:pt>
                <c:pt idx="3">
                  <c:v>2015</c:v>
                </c:pt>
                <c:pt idx="4">
                  <c:v>2016</c:v>
                </c:pt>
                <c:pt idx="5">
                  <c:v>2017</c:v>
                </c:pt>
                <c:pt idx="6">
                  <c:v>2018</c:v>
                </c:pt>
              </c:numCache>
            </c:numRef>
          </c:cat>
          <c:val>
            <c:numRef>
              <c:extLst>
                <c:ext xmlns:c15="http://schemas.microsoft.com/office/drawing/2012/chart" uri="{02D57815-91ED-43cb-92C2-25804820EDAC}">
                  <c15:fullRef>
                    <c15:sqref>'Mathematics pass rate '!$R$9:$AB$9</c15:sqref>
                  </c15:fullRef>
                </c:ext>
              </c:extLst>
              <c:f>('Mathematics pass rate '!$R$9:$S$9,'Mathematics pass rate '!$V$9:$AB$9)</c:f>
              <c:numCache>
                <c:formatCode>#,##0</c:formatCode>
                <c:ptCount val="7"/>
                <c:pt idx="0">
                  <c:v>121970</c:v>
                </c:pt>
                <c:pt idx="1">
                  <c:v>142666</c:v>
                </c:pt>
                <c:pt idx="2">
                  <c:v>120523</c:v>
                </c:pt>
                <c:pt idx="3">
                  <c:v>129481</c:v>
                </c:pt>
                <c:pt idx="4">
                  <c:v>135958</c:v>
                </c:pt>
                <c:pt idx="5">
                  <c:v>127197</c:v>
                </c:pt>
                <c:pt idx="6">
                  <c:v>135638</c:v>
                </c:pt>
              </c:numCache>
            </c:numRef>
          </c:val>
          <c:extLst>
            <c:ext xmlns:c16="http://schemas.microsoft.com/office/drawing/2014/chart" uri="{C3380CC4-5D6E-409C-BE32-E72D297353CC}">
              <c16:uniqueId val="{00000000-FFBB-4BD5-9C2E-8F4D5879DCAF}"/>
            </c:ext>
          </c:extLst>
        </c:ser>
        <c:ser>
          <c:idx val="0"/>
          <c:order val="1"/>
          <c:tx>
            <c:strRef>
              <c:f>'Mathematics pass rate '!$D$10</c:f>
              <c:strCache>
                <c:ptCount val="1"/>
                <c:pt idx="0">
                  <c:v>Achieved at 50% and above</c:v>
                </c:pt>
              </c:strCache>
            </c:strRef>
          </c:tx>
          <c:spPr>
            <a:solidFill>
              <a:srgbClr val="F8A662"/>
            </a:solidFill>
          </c:spPr>
          <c:invertIfNegative val="0"/>
          <c:cat>
            <c:numRef>
              <c:extLst>
                <c:ext xmlns:c15="http://schemas.microsoft.com/office/drawing/2012/chart" uri="{02D57815-91ED-43cb-92C2-25804820EDAC}">
                  <c15:fullRef>
                    <c15:sqref>'Mathematics pass rate '!$R$8:$AB$8</c15:sqref>
                  </c15:fullRef>
                </c:ext>
              </c:extLst>
              <c:f>('Mathematics pass rate '!$R$8:$S$8,'Mathematics pass rate '!$V$8:$AB$8)</c:f>
              <c:numCache>
                <c:formatCode>General</c:formatCode>
                <c:ptCount val="7"/>
                <c:pt idx="0">
                  <c:v>2012</c:v>
                </c:pt>
                <c:pt idx="1">
                  <c:v>2013</c:v>
                </c:pt>
                <c:pt idx="2">
                  <c:v>2014</c:v>
                </c:pt>
                <c:pt idx="3">
                  <c:v>2015</c:v>
                </c:pt>
                <c:pt idx="4">
                  <c:v>2016</c:v>
                </c:pt>
                <c:pt idx="5">
                  <c:v>2017</c:v>
                </c:pt>
                <c:pt idx="6">
                  <c:v>2018</c:v>
                </c:pt>
              </c:numCache>
            </c:numRef>
          </c:cat>
          <c:val>
            <c:numRef>
              <c:extLst>
                <c:ext xmlns:c15="http://schemas.microsoft.com/office/drawing/2012/chart" uri="{02D57815-91ED-43cb-92C2-25804820EDAC}">
                  <c15:fullRef>
                    <c15:sqref>'Mathematics pass rate '!$R$10:$AB$10</c15:sqref>
                  </c15:fullRef>
                </c:ext>
              </c:extLst>
              <c:f>('Mathematics pass rate '!$R$10:$S$10,'Mathematics pass rate '!$V$10:$AB$10)</c:f>
              <c:numCache>
                <c:formatCode>###\ ###\ ###</c:formatCode>
                <c:ptCount val="7"/>
                <c:pt idx="0">
                  <c:v>51231</c:v>
                </c:pt>
                <c:pt idx="1">
                  <c:v>63151</c:v>
                </c:pt>
                <c:pt idx="2">
                  <c:v>50365</c:v>
                </c:pt>
                <c:pt idx="3">
                  <c:v>53588</c:v>
                </c:pt>
                <c:pt idx="4">
                  <c:v>56555</c:v>
                </c:pt>
                <c:pt idx="5" formatCode="#,##0">
                  <c:v>54359</c:v>
                </c:pt>
                <c:pt idx="6" formatCode="#,##0">
                  <c:v>50701</c:v>
                </c:pt>
              </c:numCache>
            </c:numRef>
          </c:val>
          <c:extLst>
            <c:ext xmlns:c16="http://schemas.microsoft.com/office/drawing/2014/chart" uri="{C3380CC4-5D6E-409C-BE32-E72D297353CC}">
              <c16:uniqueId val="{00000001-FFBB-4BD5-9C2E-8F4D5879DCAF}"/>
            </c:ext>
          </c:extLst>
        </c:ser>
        <c:dLbls>
          <c:showLegendKey val="0"/>
          <c:showVal val="0"/>
          <c:showCatName val="0"/>
          <c:showSerName val="0"/>
          <c:showPercent val="0"/>
          <c:showBubbleSize val="0"/>
        </c:dLbls>
        <c:gapWidth val="150"/>
        <c:axId val="-883180816"/>
        <c:axId val="-883184624"/>
      </c:barChart>
      <c:catAx>
        <c:axId val="-883180816"/>
        <c:scaling>
          <c:orientation val="minMax"/>
        </c:scaling>
        <c:delete val="0"/>
        <c:axPos val="b"/>
        <c:numFmt formatCode="General" sourceLinked="1"/>
        <c:majorTickMark val="none"/>
        <c:minorTickMark val="none"/>
        <c:tickLblPos val="nextTo"/>
        <c:crossAx val="-883184624"/>
        <c:crosses val="autoZero"/>
        <c:auto val="1"/>
        <c:lblAlgn val="ctr"/>
        <c:lblOffset val="100"/>
        <c:noMultiLvlLbl val="0"/>
      </c:catAx>
      <c:valAx>
        <c:axId val="-883184624"/>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883180816"/>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layout>
        <c:manualLayout>
          <c:xMode val="edge"/>
          <c:yMode val="edge"/>
          <c:x val="0.36676809127369914"/>
          <c:y val="3.5520118011496689E-2"/>
        </c:manualLayout>
      </c:layout>
      <c:overlay val="0"/>
    </c:title>
    <c:autoTitleDeleted val="0"/>
    <c:plotArea>
      <c:layout/>
      <c:barChart>
        <c:barDir val="col"/>
        <c:grouping val="clustered"/>
        <c:varyColors val="0"/>
        <c:ser>
          <c:idx val="8"/>
          <c:order val="0"/>
          <c:tx>
            <c:strRef>
              <c:f>'Mathematics pass rate '!$D$11</c:f>
              <c:strCache>
                <c:ptCount val="1"/>
                <c:pt idx="0">
                  <c:v>Physical Science passes</c:v>
                </c:pt>
              </c:strCache>
            </c:strRef>
          </c:tx>
          <c:spPr>
            <a:solidFill>
              <a:srgbClr val="FCD5B5"/>
            </a:solidFill>
          </c:spPr>
          <c:invertIfNegative val="0"/>
          <c:cat>
            <c:numRef>
              <c:extLst>
                <c:ext xmlns:c15="http://schemas.microsoft.com/office/drawing/2012/chart" uri="{02D57815-91ED-43cb-92C2-25804820EDAC}">
                  <c15:fullRef>
                    <c15:sqref>'Mathematics pass rate '!$R$8:$AB$8</c15:sqref>
                  </c15:fullRef>
                </c:ext>
              </c:extLst>
              <c:f>('Mathematics pass rate '!$R$8:$S$8,'Mathematics pass rate '!$V$8:$AB$8)</c:f>
              <c:numCache>
                <c:formatCode>General</c:formatCode>
                <c:ptCount val="7"/>
                <c:pt idx="0">
                  <c:v>2012</c:v>
                </c:pt>
                <c:pt idx="1">
                  <c:v>2013</c:v>
                </c:pt>
                <c:pt idx="2">
                  <c:v>2014</c:v>
                </c:pt>
                <c:pt idx="3">
                  <c:v>2015</c:v>
                </c:pt>
                <c:pt idx="4">
                  <c:v>2016</c:v>
                </c:pt>
                <c:pt idx="5">
                  <c:v>2017</c:v>
                </c:pt>
                <c:pt idx="6">
                  <c:v>2018</c:v>
                </c:pt>
              </c:numCache>
            </c:numRef>
          </c:cat>
          <c:val>
            <c:numRef>
              <c:extLst>
                <c:ext xmlns:c15="http://schemas.microsoft.com/office/drawing/2012/chart" uri="{02D57815-91ED-43cb-92C2-25804820EDAC}">
                  <c15:fullRef>
                    <c15:sqref>'Mathematics pass rate '!$R$11:$AB$11</c15:sqref>
                  </c15:fullRef>
                </c:ext>
              </c:extLst>
              <c:f>('Mathematics pass rate '!$R$11:$S$11,'Mathematics pass rate '!$V$11:$AB$11)</c:f>
              <c:numCache>
                <c:formatCode>###\ ###\ ###</c:formatCode>
                <c:ptCount val="7"/>
                <c:pt idx="0">
                  <c:v>109918</c:v>
                </c:pt>
                <c:pt idx="1">
                  <c:v>124206</c:v>
                </c:pt>
                <c:pt idx="2">
                  <c:v>103348</c:v>
                </c:pt>
                <c:pt idx="3">
                  <c:v>113121</c:v>
                </c:pt>
                <c:pt idx="4">
                  <c:v>119427</c:v>
                </c:pt>
                <c:pt idx="5">
                  <c:v>116862</c:v>
                </c:pt>
                <c:pt idx="6">
                  <c:v>127919</c:v>
                </c:pt>
              </c:numCache>
            </c:numRef>
          </c:val>
          <c:extLst>
            <c:ext xmlns:c16="http://schemas.microsoft.com/office/drawing/2014/chart" uri="{C3380CC4-5D6E-409C-BE32-E72D297353CC}">
              <c16:uniqueId val="{00000000-545F-4DF6-9292-4B0F106F405E}"/>
            </c:ext>
          </c:extLst>
        </c:ser>
        <c:ser>
          <c:idx val="0"/>
          <c:order val="1"/>
          <c:tx>
            <c:strRef>
              <c:f>'Mathematics pass rate '!$D$12</c:f>
              <c:strCache>
                <c:ptCount val="1"/>
                <c:pt idx="0">
                  <c:v>Achieved at 50% and above</c:v>
                </c:pt>
              </c:strCache>
            </c:strRef>
          </c:tx>
          <c:spPr>
            <a:solidFill>
              <a:srgbClr val="F8A662"/>
            </a:solidFill>
          </c:spPr>
          <c:invertIfNegative val="0"/>
          <c:cat>
            <c:numRef>
              <c:extLst>
                <c:ext xmlns:c15="http://schemas.microsoft.com/office/drawing/2012/chart" uri="{02D57815-91ED-43cb-92C2-25804820EDAC}">
                  <c15:fullRef>
                    <c15:sqref>'Mathematics pass rate '!$R$8:$AB$8</c15:sqref>
                  </c15:fullRef>
                </c:ext>
              </c:extLst>
              <c:f>('Mathematics pass rate '!$R$8:$S$8,'Mathematics pass rate '!$V$8:$AB$8)</c:f>
              <c:numCache>
                <c:formatCode>General</c:formatCode>
                <c:ptCount val="7"/>
                <c:pt idx="0">
                  <c:v>2012</c:v>
                </c:pt>
                <c:pt idx="1">
                  <c:v>2013</c:v>
                </c:pt>
                <c:pt idx="2">
                  <c:v>2014</c:v>
                </c:pt>
                <c:pt idx="3">
                  <c:v>2015</c:v>
                </c:pt>
                <c:pt idx="4">
                  <c:v>2016</c:v>
                </c:pt>
                <c:pt idx="5">
                  <c:v>2017</c:v>
                </c:pt>
                <c:pt idx="6">
                  <c:v>2018</c:v>
                </c:pt>
              </c:numCache>
            </c:numRef>
          </c:cat>
          <c:val>
            <c:numRef>
              <c:extLst>
                <c:ext xmlns:c15="http://schemas.microsoft.com/office/drawing/2012/chart" uri="{02D57815-91ED-43cb-92C2-25804820EDAC}">
                  <c15:fullRef>
                    <c15:sqref>'Mathematics pass rate '!$R$12:$AB$12</c15:sqref>
                  </c15:fullRef>
                </c:ext>
              </c:extLst>
              <c:f>('Mathematics pass rate '!$R$12:$S$12,'Mathematics pass rate '!$V$12:$AB$12)</c:f>
              <c:numCache>
                <c:formatCode>###\ ###\ ###</c:formatCode>
                <c:ptCount val="7"/>
                <c:pt idx="0">
                  <c:v>43639</c:v>
                </c:pt>
                <c:pt idx="1">
                  <c:v>47030</c:v>
                </c:pt>
                <c:pt idx="2">
                  <c:v>37749</c:v>
                </c:pt>
                <c:pt idx="3">
                  <c:v>42433</c:v>
                </c:pt>
                <c:pt idx="4">
                  <c:v>47586</c:v>
                </c:pt>
                <c:pt idx="5">
                  <c:v>48260</c:v>
                </c:pt>
                <c:pt idx="6">
                  <c:v>51466</c:v>
                </c:pt>
              </c:numCache>
            </c:numRef>
          </c:val>
          <c:extLst>
            <c:ext xmlns:c16="http://schemas.microsoft.com/office/drawing/2014/chart" uri="{C3380CC4-5D6E-409C-BE32-E72D297353CC}">
              <c16:uniqueId val="{00000001-545F-4DF6-9292-4B0F106F405E}"/>
            </c:ext>
          </c:extLst>
        </c:ser>
        <c:dLbls>
          <c:showLegendKey val="0"/>
          <c:showVal val="0"/>
          <c:showCatName val="0"/>
          <c:showSerName val="0"/>
          <c:showPercent val="0"/>
          <c:showBubbleSize val="0"/>
        </c:dLbls>
        <c:gapWidth val="150"/>
        <c:axId val="-883182448"/>
        <c:axId val="-883180272"/>
      </c:barChart>
      <c:catAx>
        <c:axId val="-883182448"/>
        <c:scaling>
          <c:orientation val="minMax"/>
        </c:scaling>
        <c:delete val="0"/>
        <c:axPos val="b"/>
        <c:numFmt formatCode="General" sourceLinked="1"/>
        <c:majorTickMark val="none"/>
        <c:minorTickMark val="none"/>
        <c:tickLblPos val="nextTo"/>
        <c:crossAx val="-883180272"/>
        <c:crosses val="autoZero"/>
        <c:auto val="1"/>
        <c:lblAlgn val="ctr"/>
        <c:lblOffset val="100"/>
        <c:noMultiLvlLbl val="0"/>
      </c:catAx>
      <c:valAx>
        <c:axId val="-883180272"/>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883182448"/>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4.9132991312714779E-2"/>
          <c:y val="0.22636182326815033"/>
          <c:w val="0.93786209888091521"/>
          <c:h val="0.55301053026270042"/>
        </c:manualLayout>
      </c:layout>
      <c:lineChart>
        <c:grouping val="standard"/>
        <c:varyColors val="0"/>
        <c:ser>
          <c:idx val="0"/>
          <c:order val="0"/>
          <c:tx>
            <c:strRef>
              <c:f>'Literacy rate  '!$D$56</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extLst>
                <c:ext xmlns:c15="http://schemas.microsoft.com/office/drawing/2012/chart" uri="{02D57815-91ED-43cb-92C2-25804820EDAC}">
                  <c15:fullRef>
                    <c15:sqref>'Literacy rate  '!$E$55:$AC$55</c15:sqref>
                  </c15:fullRef>
                </c:ext>
              </c:extLst>
              <c:f>'Literacy rate  '!$S$55:$AC$55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'Literacy rate  '!$E$56:$AC$56</c15:sqref>
                  </c15:fullRef>
                </c:ext>
              </c:extLst>
              <c:f>'Literacy rate  '!$S$56:$AC$56</c:f>
              <c:numCache>
                <c:formatCode>General</c:formatCode>
                <c:ptCount val="11"/>
                <c:pt idx="0" formatCode="#\ ##0.0">
                  <c:v>80.7</c:v>
                </c:pt>
                <c:pt idx="1" formatCode="#\ ##0.0">
                  <c:v>81.3</c:v>
                </c:pt>
                <c:pt idx="2" formatCode="#\ ##0.0">
                  <c:v>82.5</c:v>
                </c:pt>
                <c:pt idx="3" formatCode="#\ ##0.0">
                  <c:v>83.8</c:v>
                </c:pt>
                <c:pt idx="4" formatCode="#\ ##0.0">
                  <c:v>84.2</c:v>
                </c:pt>
                <c:pt idx="5" formatCode="#\ ##0.0">
                  <c:v>84.6</c:v>
                </c:pt>
                <c:pt idx="6" formatCode="#\ ##0.0">
                  <c:v>85</c:v>
                </c:pt>
                <c:pt idx="7" formatCode="#\ ##0.0">
                  <c:v>85.8</c:v>
                </c:pt>
                <c:pt idx="8" formatCode="#\ ##0.0">
                  <c:v>86.3</c:v>
                </c:pt>
                <c:pt idx="9" formatCode="#\ ##0.0">
                  <c:v>87</c:v>
                </c:pt>
                <c:pt idx="10" formatCode="#\ ##0.0">
                  <c:v>87.9</c:v>
                </c:pt>
              </c:numCache>
            </c:numRef>
          </c:val>
          <c:smooth val="0"/>
          <c:extLst>
            <c:ext xmlns:c16="http://schemas.microsoft.com/office/drawing/2014/chart" uri="{C3380CC4-5D6E-409C-BE32-E72D297353CC}">
              <c16:uniqueId val="{00000000-FB1B-4BBB-8214-AC37B1F50DB5}"/>
            </c:ext>
          </c:extLst>
        </c:ser>
        <c:ser>
          <c:idx val="4"/>
          <c:order val="4"/>
          <c:tx>
            <c:strRef>
              <c:f>'Literacy rate  '!$D$60</c:f>
              <c:strCache>
                <c:ptCount val="1"/>
                <c:pt idx="0">
                  <c:v>Illiteracy</c:v>
                </c:pt>
              </c:strCache>
            </c:strRef>
          </c:tx>
          <c:cat>
            <c:numRef>
              <c:extLst>
                <c:ext xmlns:c15="http://schemas.microsoft.com/office/drawing/2012/chart" uri="{02D57815-91ED-43cb-92C2-25804820EDAC}">
                  <c15:fullRef>
                    <c15:sqref>'Literacy rate  '!$E$55:$AC$55</c15:sqref>
                  </c15:fullRef>
                </c:ext>
              </c:extLst>
              <c:f>'Literacy rate  '!$S$55:$AC$55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'Literacy rate  '!$E$60:$AC$60</c15:sqref>
                  </c15:fullRef>
                </c:ext>
              </c:extLst>
              <c:f>'Literacy rate  '!$S$60:$AC$60</c:f>
              <c:numCache>
                <c:formatCode>0.0%</c:formatCode>
                <c:ptCount val="11"/>
                <c:pt idx="0" formatCode="#\ ##0.0">
                  <c:v>19.3</c:v>
                </c:pt>
                <c:pt idx="1" formatCode="#\ ##0.0">
                  <c:v>18.7</c:v>
                </c:pt>
                <c:pt idx="2" formatCode="#\ ##0.0">
                  <c:v>17.5</c:v>
                </c:pt>
                <c:pt idx="3" formatCode="#\ ##0.0">
                  <c:v>16.2</c:v>
                </c:pt>
                <c:pt idx="4" formatCode="#\ ##0.0">
                  <c:v>15.8</c:v>
                </c:pt>
                <c:pt idx="5" formatCode="#\ ##0.0">
                  <c:v>15.4</c:v>
                </c:pt>
                <c:pt idx="6" formatCode="#\ ##0.0">
                  <c:v>15</c:v>
                </c:pt>
                <c:pt idx="7" formatCode="#\ ##0.0">
                  <c:v>14.2</c:v>
                </c:pt>
                <c:pt idx="8" formatCode="#\ ##0.0">
                  <c:v>13.7</c:v>
                </c:pt>
                <c:pt idx="9" formatCode="#\ ##0.0">
                  <c:v>13</c:v>
                </c:pt>
                <c:pt idx="10" formatCode="#\ ##0.0">
                  <c:v>12.1</c:v>
                </c:pt>
              </c:numCache>
            </c:numRef>
          </c:val>
          <c:smooth val="0"/>
          <c:extLst>
            <c:ext xmlns:c16="http://schemas.microsoft.com/office/drawing/2014/chart" uri="{C3380CC4-5D6E-409C-BE32-E72D297353CC}">
              <c16:uniqueId val="{00000001-FB1B-4BBB-8214-AC37B1F50DB5}"/>
            </c:ext>
          </c:extLst>
        </c:ser>
        <c:dLbls>
          <c:showLegendKey val="0"/>
          <c:showVal val="0"/>
          <c:showCatName val="0"/>
          <c:showSerName val="0"/>
          <c:showPercent val="0"/>
          <c:showBubbleSize val="0"/>
        </c:dLbls>
        <c:marker val="1"/>
        <c:smooth val="0"/>
        <c:axId val="-1618720688"/>
        <c:axId val="-1618724496"/>
        <c:extLst>
          <c:ext xmlns:c15="http://schemas.microsoft.com/office/drawing/2012/chart" uri="{02D57815-91ED-43cb-92C2-25804820EDAC}">
            <c15:filteredLineSeries>
              <c15:ser>
                <c:idx val="1"/>
                <c:order val="1"/>
                <c:tx>
                  <c:strRef>
                    <c:extLst>
                      <c:ext uri="{02D57815-91ED-43cb-92C2-25804820EDAC}">
                        <c15:formulaRef>
                          <c15:sqref>'Literacy rate  '!$D$57</c15:sqref>
                        </c15:formulaRef>
                      </c:ext>
                    </c:extLst>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extLst>
                      <c:ext uri="{02D57815-91ED-43cb-92C2-25804820EDAC}">
                        <c15:fullRef>
                          <c15:sqref>'Literacy rate  '!$E$55:$AC$55</c15:sqref>
                        </c15:fullRef>
                        <c15:formulaRef>
                          <c15:sqref>'Literacy rate  '!$S$55:$AC$55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ullRef>
                          <c15:sqref>'Literacy rate  '!$E$57:$W$57</c15:sqref>
                        </c15:fullRef>
                        <c15:formulaRef>
                          <c15:sqref>'Literacy rate  '!$S$57:$W$57</c15:sqref>
                        </c15:formulaRef>
                      </c:ext>
                    </c:extLst>
                    <c:numCache>
                      <c:formatCode>General</c:formatCode>
                      <c:ptCount val="5"/>
                    </c:numCache>
                  </c:numRef>
                </c:val>
                <c:smooth val="0"/>
                <c:extLst>
                  <c:ext xmlns:c16="http://schemas.microsoft.com/office/drawing/2014/chart" uri="{C3380CC4-5D6E-409C-BE32-E72D297353CC}">
                    <c16:uniqueId val="{00000002-FB1B-4BBB-8214-AC37B1F50DB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'Literacy rate  '!$D$58</c15:sqref>
                        </c15:formulaRef>
                      </c:ext>
                    </c:extLst>
                    <c:strCache>
                      <c:ptCount val="1"/>
                      <c:pt idx="0">
                        <c:v>Female literacy </c:v>
                      </c:pt>
                    </c:strCache>
                  </c:strRef>
                </c:tx>
                <c:spPr>
                  <a:ln>
                    <a:solidFill>
                      <a:srgbClr val="FFC600"/>
                    </a:solidFill>
                  </a:ln>
                </c:spPr>
                <c:marker>
                  <c:spPr>
                    <a:solidFill>
                      <a:srgbClr val="FFC600"/>
                    </a:solidFill>
                    <a:ln>
                      <a:noFill/>
                    </a:ln>
                  </c:spPr>
                </c:marker>
                <c:cat>
                  <c:numRef>
                    <c:extLst>
                      <c:ext xmlns:c15="http://schemas.microsoft.com/office/drawing/2012/chart" uri="{02D57815-91ED-43cb-92C2-25804820EDAC}">
                        <c15:fullRef>
                          <c15:sqref>'Literacy rate  '!$E$55:$AC$55</c15:sqref>
                        </c15:fullRef>
                        <c15:formulaRef>
                          <c15:sqref>'Literacy rate  '!$S$55:$AC$55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'Literacy rate  '!$E$58:$AB$58</c15:sqref>
                        </c15:fullRef>
                        <c15:formulaRef>
                          <c15:sqref>'Literacy rate  '!$S$58:$AB$58</c15:sqref>
                        </c15:formulaRef>
                      </c:ext>
                    </c:extLst>
                    <c:numCache>
                      <c:formatCode>General</c:formatCode>
                      <c:ptCount val="10"/>
                      <c:pt idx="0" formatCode="0.0%">
                        <c:v>0.78800000000000003</c:v>
                      </c:pt>
                      <c:pt idx="1" formatCode="0.0%">
                        <c:v>0.79500000000000004</c:v>
                      </c:pt>
                      <c:pt idx="2" formatCode="0.0%">
                        <c:v>0.80700000000000005</c:v>
                      </c:pt>
                      <c:pt idx="3" formatCode="0.0%">
                        <c:v>0.82</c:v>
                      </c:pt>
                      <c:pt idx="4" formatCode="0.0%">
                        <c:v>0.82499999999999996</c:v>
                      </c:pt>
                      <c:pt idx="5" formatCode="0.0%">
                        <c:v>0.83</c:v>
                      </c:pt>
                      <c:pt idx="6" formatCode="0.0%">
                        <c:v>0.83199999999999996</c:v>
                      </c:pt>
                      <c:pt idx="7" formatCode="0.0%">
                        <c:v>0.83923060999999999</c:v>
                      </c:pt>
                      <c:pt idx="8" formatCode="0.0%">
                        <c:v>0.85250806000000001</c:v>
                      </c:pt>
                    </c:numCache>
                  </c:numRef>
                </c:val>
                <c:smooth val="0"/>
                <c:extLst xmlns:c15="http://schemas.microsoft.com/office/drawing/2012/chart">
                  <c:ext xmlns:c16="http://schemas.microsoft.com/office/drawing/2014/chart" uri="{C3380CC4-5D6E-409C-BE32-E72D297353CC}">
                    <c16:uniqueId val="{00000003-FB1B-4BBB-8214-AC37B1F50DB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'Literacy rate  '!$D$59</c15:sqref>
                        </c15:formulaRef>
                      </c:ext>
                    </c:extLst>
                    <c:strCache>
                      <c:ptCount val="1"/>
                      <c:pt idx="0">
                        <c:v>Female literacy - OHS</c:v>
                      </c:pt>
                    </c:strCache>
                  </c:strRef>
                </c:tx>
                <c:spPr>
                  <a:ln>
                    <a:solidFill>
                      <a:srgbClr val="00B050"/>
                    </a:solidFill>
                  </a:ln>
                </c:spPr>
                <c:marker>
                  <c:spPr>
                    <a:solidFill>
                      <a:srgbClr val="00B050"/>
                    </a:solidFill>
                  </c:spPr>
                </c:marker>
                <c:cat>
                  <c:numRef>
                    <c:extLst>
                      <c:ext xmlns:c15="http://schemas.microsoft.com/office/drawing/2012/chart" uri="{02D57815-91ED-43cb-92C2-25804820EDAC}">
                        <c15:fullRef>
                          <c15:sqref>'Literacy rate  '!$E$55:$AC$55</c15:sqref>
                        </c15:fullRef>
                        <c15:formulaRef>
                          <c15:sqref>'Literacy rate  '!$S$55:$AC$55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'Literacy rate  '!$E$59:$W$59</c15:sqref>
                        </c15:fullRef>
                        <c15:formulaRef>
                          <c15:sqref>'Literacy rate  '!$S$59:$W$59</c15:sqref>
                        </c15:formulaRef>
                      </c:ext>
                    </c:extLst>
                    <c:numCache>
                      <c:formatCode>General</c:formatCode>
                      <c:ptCount val="5"/>
                    </c:numCache>
                  </c:numRef>
                </c:val>
                <c:smooth val="0"/>
                <c:extLst xmlns:c15="http://schemas.microsoft.com/office/drawing/2012/chart">
                  <c:ext xmlns:c16="http://schemas.microsoft.com/office/drawing/2014/chart" uri="{C3380CC4-5D6E-409C-BE32-E72D297353CC}">
                    <c16:uniqueId val="{00000004-FB1B-4BBB-8214-AC37B1F50DB5}"/>
                  </c:ext>
                </c:extLst>
              </c15:ser>
            </c15:filteredLineSeries>
          </c:ext>
        </c:extLst>
      </c:lineChart>
      <c:catAx>
        <c:axId val="-161872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4496"/>
        <c:crosses val="autoZero"/>
        <c:auto val="1"/>
        <c:lblAlgn val="ctr"/>
        <c:lblOffset val="100"/>
        <c:tickLblSkip val="1"/>
        <c:tickMarkSkip val="1"/>
        <c:noMultiLvlLbl val="0"/>
      </c:catAx>
      <c:valAx>
        <c:axId val="-1618724496"/>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0688"/>
        <c:crosses val="autoZero"/>
        <c:crossBetween val="between"/>
      </c:valAx>
      <c:spPr>
        <a:solidFill>
          <a:srgbClr val="FFFFFF"/>
        </a:solidFill>
        <a:ln w="3175">
          <a:solidFill>
            <a:srgbClr val="000000"/>
          </a:solidFill>
          <a:prstDash val="solid"/>
        </a:ln>
      </c:spPr>
    </c:plotArea>
    <c:legend>
      <c:legendPos val="r"/>
      <c:layout>
        <c:manualLayout>
          <c:xMode val="edge"/>
          <c:yMode val="edge"/>
          <c:x val="0.1270151221181636"/>
          <c:y val="0.91690863816848067"/>
          <c:w val="0.53688676867796081"/>
          <c:h val="8.309136183151931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  '!$D$56</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'!$E$56:$AA$56</c:f>
              <c:numCache>
                <c:formatCode>General</c:formatCode>
                <c:ptCount val="23"/>
                <c:pt idx="7" formatCode="#\ ##0.0">
                  <c:v>71.5</c:v>
                </c:pt>
                <c:pt idx="8" formatCode="#\ ##0.0">
                  <c:v>73.400000000000006</c:v>
                </c:pt>
                <c:pt idx="9" formatCode="#\ ##0.0">
                  <c:v>74.2</c:v>
                </c:pt>
                <c:pt idx="10" formatCode="#\ ##0.0">
                  <c:v>75.099999999999994</c:v>
                </c:pt>
                <c:pt idx="11" formatCode="#\ ##0.0">
                  <c:v>75.7</c:v>
                </c:pt>
                <c:pt idx="12" formatCode="#\ ##0.0">
                  <c:v>77</c:v>
                </c:pt>
                <c:pt idx="13" formatCode="#\ ##0.0">
                  <c:v>77.599999999999994</c:v>
                </c:pt>
                <c:pt idx="14" formatCode="#\ ##0.0">
                  <c:v>80.7</c:v>
                </c:pt>
                <c:pt idx="15" formatCode="#\ ##0.0">
                  <c:v>81.3</c:v>
                </c:pt>
                <c:pt idx="16" formatCode="#\ ##0.0">
                  <c:v>82.5</c:v>
                </c:pt>
                <c:pt idx="17" formatCode="#\ ##0.0">
                  <c:v>83.8</c:v>
                </c:pt>
                <c:pt idx="18" formatCode="#\ ##0.0">
                  <c:v>84.2</c:v>
                </c:pt>
                <c:pt idx="19" formatCode="#\ ##0.0">
                  <c:v>84.6</c:v>
                </c:pt>
                <c:pt idx="20" formatCode="#\ ##0.0">
                  <c:v>85</c:v>
                </c:pt>
                <c:pt idx="21" formatCode="#\ ##0.0">
                  <c:v>85.8</c:v>
                </c:pt>
                <c:pt idx="22" formatCode="#\ ##0.0">
                  <c:v>86.3</c:v>
                </c:pt>
              </c:numCache>
            </c:numRef>
          </c:val>
          <c:smooth val="0"/>
          <c:extLst>
            <c:ext xmlns:c16="http://schemas.microsoft.com/office/drawing/2014/chart" uri="{C3380CC4-5D6E-409C-BE32-E72D297353CC}">
              <c16:uniqueId val="{00000000-FDDA-490D-8B2F-830552C13DC3}"/>
            </c:ext>
          </c:extLst>
        </c:ser>
        <c:ser>
          <c:idx val="1"/>
          <c:order val="1"/>
          <c:tx>
            <c:strRef>
              <c:f>'Literacy rate  '!$D$57</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FDDA-490D-8B2F-830552C13DC3}"/>
            </c:ext>
          </c:extLst>
        </c:ser>
        <c:ser>
          <c:idx val="2"/>
          <c:order val="2"/>
          <c:tx>
            <c:strRef>
              <c:f>'Literacy rate  '!$D$58</c:f>
              <c:strCache>
                <c:ptCount val="1"/>
                <c:pt idx="0">
                  <c:v>Female literacy </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FDDA-490D-8B2F-830552C13DC3}"/>
            </c:ext>
          </c:extLst>
        </c:ser>
        <c:ser>
          <c:idx val="3"/>
          <c:order val="3"/>
          <c:tx>
            <c:strRef>
              <c:f>'Literacy rate  '!$D$59</c:f>
              <c:strCache>
                <c:ptCount val="1"/>
                <c:pt idx="0">
                  <c:v>Female literacy - OHS</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FDDA-490D-8B2F-830552C13DC3}"/>
            </c:ext>
          </c:extLst>
        </c:ser>
        <c:dLbls>
          <c:showLegendKey val="0"/>
          <c:showVal val="0"/>
          <c:showCatName val="0"/>
          <c:showSerName val="0"/>
          <c:showPercent val="0"/>
          <c:showBubbleSize val="0"/>
        </c:dLbls>
        <c:marker val="1"/>
        <c:smooth val="0"/>
        <c:axId val="-1618714160"/>
        <c:axId val="-1618732656"/>
      </c:lineChart>
      <c:catAx>
        <c:axId val="-161871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32656"/>
        <c:crosses val="autoZero"/>
        <c:auto val="1"/>
        <c:lblAlgn val="ctr"/>
        <c:lblOffset val="100"/>
        <c:tickLblSkip val="1"/>
        <c:tickMarkSkip val="1"/>
        <c:noMultiLvlLbl val="0"/>
      </c:catAx>
      <c:valAx>
        <c:axId val="-1618732656"/>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14160"/>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8.2085894219911637E-2"/>
          <c:y val="0.14019335590788096"/>
          <c:w val="0.89122178928138296"/>
          <c:h val="0.71830985915492962"/>
        </c:manualLayout>
      </c:layout>
      <c:lineChart>
        <c:grouping val="standard"/>
        <c:varyColors val="0"/>
        <c:ser>
          <c:idx val="1"/>
          <c:order val="0"/>
          <c:tx>
            <c:strRef>
              <c:f>'SET Uni '!$D$19</c:f>
              <c:strCache>
                <c:ptCount val="1"/>
                <c:pt idx="0">
                  <c:v>SET as % of total graduates</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'SET Uni '!$F$7:$AE$7</c15:sqref>
                  </c15:fullRef>
                </c:ext>
              </c:extLst>
              <c:f>'SET Uni '!$Y$7:$AE$7</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'SET Uni '!$F$19:$AE$19</c15:sqref>
                  </c15:fullRef>
                </c:ext>
              </c:extLst>
              <c:f>'SET Uni '!$Y$19:$AE$19</c:f>
              <c:numCache>
                <c:formatCode>_ * #\ ##0.0_ ;_ * \-#\ ##0.0_ ;_ * "-"??_ ;_ @_ </c:formatCode>
                <c:ptCount val="7"/>
                <c:pt idx="0">
                  <c:v>29.407926026700292</c:v>
                </c:pt>
                <c:pt idx="1">
                  <c:v>29.979231287929871</c:v>
                </c:pt>
                <c:pt idx="2">
                  <c:v>30.330402456089061</c:v>
                </c:pt>
                <c:pt idx="3">
                  <c:v>29.11471567295003</c:v>
                </c:pt>
                <c:pt idx="4">
                  <c:v>29.194855189611769</c:v>
                </c:pt>
                <c:pt idx="5">
                  <c:v>28.703540679965489</c:v>
                </c:pt>
                <c:pt idx="6">
                  <c:v>29.122924007173047</c:v>
                </c:pt>
              </c:numCache>
            </c:numRef>
          </c:val>
          <c:smooth val="0"/>
          <c:extLst>
            <c:ext xmlns:c16="http://schemas.microsoft.com/office/drawing/2014/chart" uri="{C3380CC4-5D6E-409C-BE32-E72D297353CC}">
              <c16:uniqueId val="{00000000-83C9-4F1F-998B-EE6CA348F055}"/>
            </c:ext>
          </c:extLst>
        </c:ser>
        <c:dLbls>
          <c:showLegendKey val="0"/>
          <c:showVal val="0"/>
          <c:showCatName val="0"/>
          <c:showSerName val="0"/>
          <c:showPercent val="0"/>
          <c:showBubbleSize val="0"/>
        </c:dLbls>
        <c:smooth val="0"/>
        <c:axId val="-1618722320"/>
        <c:axId val="-1618723952"/>
      </c:lineChart>
      <c:catAx>
        <c:axId val="-1618722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3952"/>
        <c:crosses val="autoZero"/>
        <c:auto val="1"/>
        <c:lblAlgn val="ctr"/>
        <c:lblOffset val="100"/>
        <c:tickLblSkip val="1"/>
        <c:tickMarkSkip val="1"/>
        <c:noMultiLvlLbl val="0"/>
      </c:catAx>
      <c:valAx>
        <c:axId val="-1618723952"/>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2320"/>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'[16]SET Uni'!$D$52</c:f>
              <c:strCache>
                <c:ptCount val="1"/>
                <c:pt idx="0">
                  <c:v>Total enrolment</c:v>
                </c:pt>
              </c:strCache>
            </c:strRef>
          </c:tx>
          <c:spPr>
            <a:ln w="12700">
              <a:solidFill>
                <a:srgbClr val="00008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F04E-43FC-8690-26D760F6C243}"/>
            </c:ext>
          </c:extLst>
        </c:ser>
        <c:ser>
          <c:idx val="4"/>
          <c:order val="1"/>
          <c:tx>
            <c:strRef>
              <c:f>'[16]SET Uni'!$D$56</c:f>
              <c:strCache>
                <c:ptCount val="1"/>
                <c:pt idx="0">
                  <c:v>Total Graduates</c:v>
                </c:pt>
              </c:strCache>
            </c:strRef>
          </c:tx>
          <c:spPr>
            <a:ln w="12700">
              <a:solidFill>
                <a:srgbClr val="80008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F04E-43FC-8690-26D760F6C243}"/>
            </c:ext>
          </c:extLst>
        </c:ser>
        <c:ser>
          <c:idx val="5"/>
          <c:order val="2"/>
          <c:tx>
            <c:strRef>
              <c:f>'[16]SET Uni'!$D$57</c:f>
              <c:strCache>
                <c:ptCount val="1"/>
                <c:pt idx="0">
                  <c:v>SET Graduates</c:v>
                </c:pt>
              </c:strCache>
            </c:strRef>
          </c:tx>
          <c:spPr>
            <a:ln w="12700">
              <a:solidFill>
                <a:srgbClr val="800000"/>
              </a:solidFill>
              <a:prstDash val="solid"/>
            </a:ln>
          </c:spPr>
          <c:marker>
            <c:symbol val="none"/>
          </c:marker>
          <c:cat>
            <c:numRef>
              <c:f>'[16]SET Uni'!$E$51:$K$51</c:f>
              <c:numCache>
                <c:formatCode>General</c:formatCode>
                <c:ptCount val="7"/>
                <c:pt idx="0">
                  <c:v>2000</c:v>
                </c:pt>
                <c:pt idx="1">
                  <c:v>2001</c:v>
                </c:pt>
                <c:pt idx="2">
                  <c:v>2002</c:v>
                </c:pt>
                <c:pt idx="3">
                  <c:v>2003</c:v>
                </c:pt>
                <c:pt idx="4">
                  <c:v>2004</c:v>
                </c:pt>
                <c:pt idx="5">
                  <c:v>2005</c:v>
                </c:pt>
                <c:pt idx="6">
                  <c:v>2006</c:v>
                </c:pt>
              </c:numCache>
            </c:numRef>
          </c:cat>
          <c:val>
            <c:numRef>
              <c:f>'[16]SET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F04E-43FC-8690-26D760F6C243}"/>
            </c:ext>
          </c:extLst>
        </c:ser>
        <c:dLbls>
          <c:showLegendKey val="0"/>
          <c:showVal val="0"/>
          <c:showCatName val="0"/>
          <c:showSerName val="0"/>
          <c:showPercent val="0"/>
          <c:showBubbleSize val="0"/>
        </c:dLbls>
        <c:smooth val="0"/>
        <c:axId val="-1618716880"/>
        <c:axId val="-1618723408"/>
      </c:lineChart>
      <c:catAx>
        <c:axId val="-1618716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23408"/>
        <c:crosses val="autoZero"/>
        <c:auto val="1"/>
        <c:lblAlgn val="ctr"/>
        <c:lblOffset val="100"/>
        <c:tickLblSkip val="1"/>
        <c:tickMarkSkip val="1"/>
        <c:noMultiLvlLbl val="0"/>
      </c:catAx>
      <c:valAx>
        <c:axId val="-16187234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168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'SET Uni '!$AF$8:$AG$8</c:f>
              <c:strCache>
                <c:ptCount val="2"/>
                <c:pt idx="0">
                  <c:v>Total Enrolment</c:v>
                </c:pt>
              </c:strCache>
            </c:strRef>
          </c:tx>
          <c:marker>
            <c:symbol val="none"/>
          </c:marker>
          <c:cat>
            <c:numRef>
              <c:f>'SET Uni '!$AH$7:$BE$7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 '!$AH$8:$BE$8</c:f>
              <c:numCache>
                <c:formatCode>0.00</c:formatCode>
                <c:ptCount val="24"/>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0D71-492F-B7BF-1ACD1C5CE30D}"/>
            </c:ext>
          </c:extLst>
        </c:ser>
        <c:ser>
          <c:idx val="1"/>
          <c:order val="1"/>
          <c:tx>
            <c:strRef>
              <c:f>'SET Uni '!$AF$9:$AG$9</c:f>
              <c:strCache>
                <c:ptCount val="2"/>
                <c:pt idx="0">
                  <c:v>Total number of graduates</c:v>
                </c:pt>
              </c:strCache>
            </c:strRef>
          </c:tx>
          <c:marker>
            <c:symbol val="none"/>
          </c:marker>
          <c:cat>
            <c:numRef>
              <c:f>'SET Uni '!$AH$7:$BE$7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 '!$AH$9:$BE$9</c:f>
              <c:numCache>
                <c:formatCode>0.00</c:formatCode>
                <c:ptCount val="24"/>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0D71-492F-B7BF-1ACD1C5CE30D}"/>
            </c:ext>
          </c:extLst>
        </c:ser>
        <c:ser>
          <c:idx val="2"/>
          <c:order val="2"/>
          <c:tx>
            <c:strRef>
              <c:f>'SET Uni '!$AF$10:$AG$10</c:f>
              <c:strCache>
                <c:ptCount val="2"/>
                <c:pt idx="0">
                  <c:v>Total number of SET graduates</c:v>
                </c:pt>
              </c:strCache>
            </c:strRef>
          </c:tx>
          <c:marker>
            <c:symbol val="none"/>
          </c:marker>
          <c:cat>
            <c:numRef>
              <c:f>'SET Uni '!$AH$7:$BE$7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 '!$AH$10:$BE$10</c:f>
              <c:numCache>
                <c:formatCode>0.00</c:formatCode>
                <c:ptCount val="24"/>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0D71-492F-B7BF-1ACD1C5CE30D}"/>
            </c:ext>
          </c:extLst>
        </c:ser>
        <c:dLbls>
          <c:showLegendKey val="0"/>
          <c:showVal val="0"/>
          <c:showCatName val="0"/>
          <c:showSerName val="0"/>
          <c:showPercent val="0"/>
          <c:showBubbleSize val="0"/>
        </c:dLbls>
        <c:smooth val="0"/>
        <c:axId val="-1618713072"/>
        <c:axId val="-1618735920"/>
      </c:lineChart>
      <c:catAx>
        <c:axId val="-1618713072"/>
        <c:scaling>
          <c:orientation val="minMax"/>
        </c:scaling>
        <c:delete val="0"/>
        <c:axPos val="b"/>
        <c:numFmt formatCode="General" sourceLinked="1"/>
        <c:majorTickMark val="out"/>
        <c:minorTickMark val="none"/>
        <c:tickLblPos val="nextTo"/>
        <c:crossAx val="-1618735920"/>
        <c:crosses val="autoZero"/>
        <c:auto val="1"/>
        <c:lblAlgn val="ctr"/>
        <c:lblOffset val="100"/>
        <c:noMultiLvlLbl val="0"/>
      </c:catAx>
      <c:valAx>
        <c:axId val="-1618735920"/>
        <c:scaling>
          <c:orientation val="minMax"/>
        </c:scaling>
        <c:delete val="0"/>
        <c:axPos val="l"/>
        <c:majorGridlines/>
        <c:numFmt formatCode="0.00" sourceLinked="1"/>
        <c:majorTickMark val="out"/>
        <c:minorTickMark val="none"/>
        <c:tickLblPos val="nextTo"/>
        <c:crossAx val="-1618713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'!$B$36</c:f>
              <c:strCache>
                <c:ptCount val="1"/>
                <c:pt idx="0">
                  <c:v>%</c:v>
                </c:pt>
              </c:strCache>
            </c:strRef>
          </c:tx>
          <c:spPr>
            <a:ln w="15875">
              <a:solidFill>
                <a:srgbClr val="FF6600"/>
              </a:solidFill>
              <a:prstDash val="solid"/>
            </a:ln>
          </c:spPr>
          <c:marker>
            <c:symbol val="none"/>
          </c:marker>
          <c:cat>
            <c:multiLvlStrRef>
              <c:f>'GFCF  '!$D$34:$CM$35</c:f>
              <c:multiLvlStrCache>
                <c:ptCount val="88"/>
                <c:lvl>
                  <c:pt idx="0">
                    <c:v>M</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'GFCF  '!$D$36:$CM$36</c:f>
              <c:numCache>
                <c:formatCode>0.00</c:formatCode>
                <c:ptCount val="88"/>
                <c:pt idx="0">
                  <c:v>15.7</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6">
                  <c:v>15.4</c:v>
                </c:pt>
                <c:pt idx="27">
                  <c:v>15.6</c:v>
                </c:pt>
                <c:pt idx="28">
                  <c:v>15.6</c:v>
                </c:pt>
                <c:pt idx="29">
                  <c:v>15.5</c:v>
                </c:pt>
                <c:pt idx="30">
                  <c:v>15.6</c:v>
                </c:pt>
                <c:pt idx="31">
                  <c:v>15.3</c:v>
                </c:pt>
                <c:pt idx="32">
                  <c:v>15.1</c:v>
                </c:pt>
                <c:pt idx="33">
                  <c:v>15</c:v>
                </c:pt>
                <c:pt idx="34">
                  <c:v>15.1</c:v>
                </c:pt>
                <c:pt idx="35">
                  <c:v>15.4</c:v>
                </c:pt>
                <c:pt idx="36">
                  <c:v>15.5</c:v>
                </c:pt>
                <c:pt idx="37">
                  <c:v>15.9</c:v>
                </c:pt>
                <c:pt idx="38">
                  <c:v>16</c:v>
                </c:pt>
                <c:pt idx="39">
                  <c:v>16.399999999999999</c:v>
                </c:pt>
                <c:pt idx="40">
                  <c:v>16.2</c:v>
                </c:pt>
                <c:pt idx="41">
                  <c:v>16.2</c:v>
                </c:pt>
                <c:pt idx="42">
                  <c:v>16.600000000000001</c:v>
                </c:pt>
                <c:pt idx="43">
                  <c:v>16.7</c:v>
                </c:pt>
                <c:pt idx="44">
                  <c:v>16.8</c:v>
                </c:pt>
                <c:pt idx="45">
                  <c:v>16.899999999999999</c:v>
                </c:pt>
                <c:pt idx="46">
                  <c:v>17.399999999999999</c:v>
                </c:pt>
                <c:pt idx="47">
                  <c:v>17.8</c:v>
                </c:pt>
                <c:pt idx="48">
                  <c:v>18.399999999999999</c:v>
                </c:pt>
                <c:pt idx="49">
                  <c:v>18.600000000000001</c:v>
                </c:pt>
                <c:pt idx="50">
                  <c:v>19</c:v>
                </c:pt>
                <c:pt idx="51">
                  <c:v>19.600000000000001</c:v>
                </c:pt>
                <c:pt idx="52">
                  <c:v>20.3</c:v>
                </c:pt>
                <c:pt idx="53">
                  <c:v>20.8</c:v>
                </c:pt>
                <c:pt idx="54">
                  <c:v>20.9</c:v>
                </c:pt>
                <c:pt idx="55">
                  <c:v>20.6</c:v>
                </c:pt>
                <c:pt idx="56">
                  <c:v>21.5</c:v>
                </c:pt>
                <c:pt idx="57">
                  <c:v>22.8</c:v>
                </c:pt>
                <c:pt idx="58">
                  <c:v>24.4</c:v>
                </c:pt>
                <c:pt idx="59">
                  <c:v>25.1</c:v>
                </c:pt>
                <c:pt idx="60">
                  <c:v>23.1</c:v>
                </c:pt>
                <c:pt idx="61">
                  <c:v>21.9</c:v>
                </c:pt>
                <c:pt idx="62">
                  <c:v>20.8</c:v>
                </c:pt>
                <c:pt idx="63">
                  <c:v>20.3</c:v>
                </c:pt>
                <c:pt idx="64">
                  <c:v>20</c:v>
                </c:pt>
                <c:pt idx="65">
                  <c:v>19.399999999999999</c:v>
                </c:pt>
                <c:pt idx="66">
                  <c:v>19.100000000000001</c:v>
                </c:pt>
                <c:pt idx="67">
                  <c:v>18.7</c:v>
                </c:pt>
                <c:pt idx="68">
                  <c:v>18.600000000000001</c:v>
                </c:pt>
                <c:pt idx="69">
                  <c:v>18.7</c:v>
                </c:pt>
                <c:pt idx="70">
                  <c:v>18.7</c:v>
                </c:pt>
                <c:pt idx="71">
                  <c:v>18.899999999999999</c:v>
                </c:pt>
                <c:pt idx="72">
                  <c:v>18.8</c:v>
                </c:pt>
                <c:pt idx="73" formatCode="General">
                  <c:v>18.7</c:v>
                </c:pt>
                <c:pt idx="74" formatCode="General">
                  <c:v>18.899999999999999</c:v>
                </c:pt>
                <c:pt idx="75" formatCode="General">
                  <c:v>18.8</c:v>
                </c:pt>
                <c:pt idx="76" formatCode="General">
                  <c:v>19.2</c:v>
                </c:pt>
                <c:pt idx="77" formatCode="General">
                  <c:v>19.8</c:v>
                </c:pt>
                <c:pt idx="78" formatCode="General">
                  <c:v>20.399999999999999</c:v>
                </c:pt>
                <c:pt idx="79" formatCode="General">
                  <c:v>20.7</c:v>
                </c:pt>
                <c:pt idx="80" formatCode="General">
                  <c:v>20.2</c:v>
                </c:pt>
                <c:pt idx="81" formatCode="General">
                  <c:v>20.399999999999999</c:v>
                </c:pt>
                <c:pt idx="82" formatCode="General">
                  <c:v>20.3</c:v>
                </c:pt>
                <c:pt idx="83" formatCode="General">
                  <c:v>20.100000000000001</c:v>
                </c:pt>
              </c:numCache>
            </c:numRef>
          </c:val>
          <c:smooth val="0"/>
          <c:extLst>
            <c:ext xmlns:c16="http://schemas.microsoft.com/office/drawing/2014/chart" uri="{C3380CC4-5D6E-409C-BE32-E72D297353CC}">
              <c16:uniqueId val="{00000000-42E1-4C2B-8402-95EFB7B6BF79}"/>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190-4DAA-B3B7-833BB6405782}"/>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190-4DAA-B3B7-833BB6405782}"/>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190-4DAA-B3B7-833BB6405782}"/>
            </c:ext>
          </c:extLst>
        </c:ser>
        <c:dLbls>
          <c:showLegendKey val="0"/>
          <c:showVal val="0"/>
          <c:showCatName val="0"/>
          <c:showSerName val="0"/>
          <c:showPercent val="0"/>
          <c:showBubbleSize val="0"/>
        </c:dLbls>
        <c:smooth val="0"/>
        <c:axId val="-1618712528"/>
        <c:axId val="-1618721776"/>
      </c:lineChart>
      <c:catAx>
        <c:axId val="-161871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21776"/>
        <c:crosses val="autoZero"/>
        <c:auto val="1"/>
        <c:lblAlgn val="ctr"/>
        <c:lblOffset val="100"/>
        <c:tickLblSkip val="1"/>
        <c:tickMarkSkip val="1"/>
        <c:noMultiLvlLbl val="0"/>
      </c:catAx>
      <c:valAx>
        <c:axId val="-161872177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1252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'[18]Educational Perf'!$H$69:$H$70</c:f>
              <c:strCache>
                <c:ptCount val="1"/>
                <c:pt idx="0">
                  <c:v>Not Achieved</c:v>
                </c:pt>
              </c:strCache>
            </c:strRef>
          </c:tx>
          <c:spPr>
            <a:solidFill>
              <a:schemeClr val="tx2">
                <a:lumMod val="75000"/>
              </a:schemeClr>
            </a:solidFill>
          </c:spPr>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978C-4BF9-997D-FBC6C8F54487}"/>
            </c:ext>
          </c:extLst>
        </c:ser>
        <c:ser>
          <c:idx val="7"/>
          <c:order val="1"/>
          <c:tx>
            <c:strRef>
              <c:f>'[18]Educational Perf'!$L$69:$L$70</c:f>
              <c:strCache>
                <c:ptCount val="1"/>
                <c:pt idx="0">
                  <c:v>Not Achieved</c:v>
                </c:pt>
              </c:strCache>
            </c:strRef>
          </c:tx>
          <c:spPr>
            <a:solidFill>
              <a:schemeClr val="accent2">
                <a:lumMod val="75000"/>
              </a:schemeClr>
            </a:solidFill>
          </c:spPr>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978C-4BF9-997D-FBC6C8F54487}"/>
            </c:ext>
          </c:extLst>
        </c:ser>
        <c:dLbls>
          <c:showLegendKey val="0"/>
          <c:showVal val="0"/>
          <c:showCatName val="0"/>
          <c:showSerName val="0"/>
          <c:showPercent val="0"/>
          <c:showBubbleSize val="0"/>
        </c:dLbls>
        <c:gapWidth val="55"/>
        <c:axId val="-1618732112"/>
        <c:axId val="-1618731568"/>
      </c:barChart>
      <c:catAx>
        <c:axId val="-1618732112"/>
        <c:scaling>
          <c:orientation val="minMax"/>
        </c:scaling>
        <c:delete val="0"/>
        <c:axPos val="b"/>
        <c:numFmt formatCode="General" sourceLinked="1"/>
        <c:majorTickMark val="none"/>
        <c:minorTickMark val="none"/>
        <c:tickLblPos val="nextTo"/>
        <c:txPr>
          <a:bodyPr/>
          <a:lstStyle/>
          <a:p>
            <a:pPr>
              <a:defRPr lang="en-ZA"/>
            </a:pPr>
            <a:endParaRPr lang="en-US"/>
          </a:p>
        </c:txPr>
        <c:crossAx val="-1618731568"/>
        <c:crosses val="autoZero"/>
        <c:auto val="1"/>
        <c:lblAlgn val="ctr"/>
        <c:lblOffset val="100"/>
        <c:noMultiLvlLbl val="0"/>
      </c:catAx>
      <c:valAx>
        <c:axId val="-1618731568"/>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1618732112"/>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'[18]Educational Perf'!$AM$33</c:f>
              <c:strCache>
                <c:ptCount val="1"/>
                <c:pt idx="0">
                  <c:v>Numeracy Achievement 2001</c:v>
                </c:pt>
              </c:strCache>
            </c:strRef>
          </c:tx>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2AF7-4916-83DA-5C54F1EA1756}"/>
            </c:ext>
          </c:extLst>
        </c:ser>
        <c:ser>
          <c:idx val="3"/>
          <c:order val="3"/>
          <c:tx>
            <c:strRef>
              <c:f>'[18]Educational Perf'!$AM$34</c:f>
              <c:strCache>
                <c:ptCount val="1"/>
                <c:pt idx="0">
                  <c:v>Numeracy Achievement 2007</c:v>
                </c:pt>
              </c:strCache>
            </c:strRef>
          </c:tx>
          <c:invertIfNegative val="0"/>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2AF7-4916-83DA-5C54F1EA1756}"/>
            </c:ext>
          </c:extLst>
        </c:ser>
        <c:dLbls>
          <c:showLegendKey val="0"/>
          <c:showVal val="0"/>
          <c:showCatName val="0"/>
          <c:showSerName val="0"/>
          <c:showPercent val="0"/>
          <c:showBubbleSize val="0"/>
        </c:dLbls>
        <c:gapWidth val="150"/>
        <c:axId val="-1618718512"/>
        <c:axId val="-1618722864"/>
      </c:barChart>
      <c:lineChart>
        <c:grouping val="standard"/>
        <c:varyColors val="0"/>
        <c:ser>
          <c:idx val="0"/>
          <c:order val="0"/>
          <c:tx>
            <c:strRef>
              <c:f>'[18]Educational Perf'!$AM$31</c:f>
              <c:strCache>
                <c:ptCount val="1"/>
                <c:pt idx="0">
                  <c:v>Litercay Achievement 2001</c:v>
                </c:pt>
              </c:strCache>
            </c:strRef>
          </c:tx>
          <c:marker>
            <c:symbol val="none"/>
          </c:marker>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2AF7-4916-83DA-5C54F1EA1756}"/>
            </c:ext>
          </c:extLst>
        </c:ser>
        <c:ser>
          <c:idx val="1"/>
          <c:order val="1"/>
          <c:tx>
            <c:strRef>
              <c:f>'[18]Educational Perf'!$AM$32</c:f>
              <c:strCache>
                <c:ptCount val="1"/>
                <c:pt idx="0">
                  <c:v>Litercay Achievement 2007</c:v>
                </c:pt>
              </c:strCache>
            </c:strRef>
          </c:tx>
          <c:marker>
            <c:symbol val="none"/>
          </c:marker>
          <c:cat>
            <c:strRef>
              <c:f>'[18]Educational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'[18]Educational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2AF7-4916-83DA-5C54F1EA1756}"/>
            </c:ext>
          </c:extLst>
        </c:ser>
        <c:dLbls>
          <c:showLegendKey val="0"/>
          <c:showVal val="0"/>
          <c:showCatName val="0"/>
          <c:showSerName val="0"/>
          <c:showPercent val="0"/>
          <c:showBubbleSize val="0"/>
        </c:dLbls>
        <c:marker val="1"/>
        <c:smooth val="0"/>
        <c:axId val="-1618717968"/>
        <c:axId val="-1618721232"/>
      </c:lineChart>
      <c:catAx>
        <c:axId val="-1618718512"/>
        <c:scaling>
          <c:orientation val="minMax"/>
        </c:scaling>
        <c:delete val="0"/>
        <c:axPos val="b"/>
        <c:numFmt formatCode="General" sourceLinked="1"/>
        <c:majorTickMark val="out"/>
        <c:minorTickMark val="none"/>
        <c:tickLblPos val="nextTo"/>
        <c:txPr>
          <a:bodyPr/>
          <a:lstStyle/>
          <a:p>
            <a:pPr>
              <a:defRPr lang="en-ZA"/>
            </a:pPr>
            <a:endParaRPr lang="en-US"/>
          </a:p>
        </c:txPr>
        <c:crossAx val="-1618722864"/>
        <c:crosses val="autoZero"/>
        <c:auto val="1"/>
        <c:lblAlgn val="ctr"/>
        <c:lblOffset val="100"/>
        <c:noMultiLvlLbl val="0"/>
      </c:catAx>
      <c:valAx>
        <c:axId val="-161872286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1618718512"/>
        <c:crosses val="autoZero"/>
        <c:crossBetween val="between"/>
        <c:majorUnit val="5"/>
      </c:valAx>
      <c:catAx>
        <c:axId val="-1618717968"/>
        <c:scaling>
          <c:orientation val="minMax"/>
        </c:scaling>
        <c:delete val="1"/>
        <c:axPos val="b"/>
        <c:numFmt formatCode="General" sourceLinked="1"/>
        <c:majorTickMark val="out"/>
        <c:minorTickMark val="none"/>
        <c:tickLblPos val="none"/>
        <c:crossAx val="-1618721232"/>
        <c:crosses val="autoZero"/>
        <c:auto val="1"/>
        <c:lblAlgn val="ctr"/>
        <c:lblOffset val="100"/>
        <c:noMultiLvlLbl val="0"/>
      </c:catAx>
      <c:valAx>
        <c:axId val="-1618721232"/>
        <c:scaling>
          <c:orientation val="minMax"/>
        </c:scaling>
        <c:delete val="0"/>
        <c:axPos val="r"/>
        <c:numFmt formatCode="General" sourceLinked="1"/>
        <c:majorTickMark val="out"/>
        <c:minorTickMark val="none"/>
        <c:tickLblPos val="nextTo"/>
        <c:txPr>
          <a:bodyPr/>
          <a:lstStyle/>
          <a:p>
            <a:pPr>
              <a:defRPr lang="en-ZA"/>
            </a:pPr>
            <a:endParaRPr lang="en-US"/>
          </a:p>
        </c:txPr>
        <c:crossAx val="-1618717968"/>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'[18]Educational Perf'!$E$8</c:f>
              <c:strCache>
                <c:ptCount val="1"/>
                <c:pt idx="0">
                  <c:v>Language Achievement</c:v>
                </c:pt>
              </c:strCache>
            </c:strRef>
          </c:tx>
          <c:spPr>
            <a:solidFill>
              <a:schemeClr val="accent6"/>
            </a:solidFill>
          </c:spPr>
          <c:invertIfNegative val="0"/>
          <c:val>
            <c:numRef>
              <c:f>('M:\Users\Thabo.Mabogoane\AppData\Local\Microsoft\Windows\Temporary Internet Files\Content.Outlook\W02ZPCFK\[Educational Performance Indicator reformated.xls]Educational Perf'!$E$8 'M:\Users\Thabo.Mabogoane\AppData\Local\Microsoft\Windows\Temporary Internet Files\Content.Outlook\W02ZPCFK\[Educational Performance Indicator reformated.xls]Educational Perf'!$E$10:$E$19)</c:f>
              <c:numCache>
                <c:formatCode>General</c:formatCode>
                <c:ptCount val="11"/>
                <c:pt idx="0">
                  <c:v>0</c:v>
                </c:pt>
                <c:pt idx="1">
                  <c:v>24</c:v>
                </c:pt>
                <c:pt idx="2">
                  <c:v>34</c:v>
                </c:pt>
                <c:pt idx="3">
                  <c:v>63</c:v>
                </c:pt>
                <c:pt idx="4">
                  <c:v>32</c:v>
                </c:pt>
                <c:pt idx="5">
                  <c:v>15</c:v>
                </c:pt>
                <c:pt idx="6">
                  <c:v>33</c:v>
                </c:pt>
                <c:pt idx="7">
                  <c:v>32</c:v>
                </c:pt>
                <c:pt idx="8">
                  <c:v>67</c:v>
                </c:pt>
                <c:pt idx="9">
                  <c:v>73</c:v>
                </c:pt>
                <c:pt idx="10">
                  <c:v>41.444444444444443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0-BD01-4EA4-A950-2E4ECE05DF0E}"/>
            </c:ext>
          </c:extLst>
        </c:ser>
        <c:ser>
          <c:idx val="1"/>
          <c:order val="1"/>
          <c:tx>
            <c:strRef>
              <c:f>'[18]Educational Perf'!$F$8</c:f>
              <c:strCache>
                <c:ptCount val="1"/>
                <c:pt idx="0">
                  <c:v>Mathematics Achievement</c:v>
                </c:pt>
              </c:strCache>
            </c:strRef>
          </c:tx>
          <c:spPr>
            <a:solidFill>
              <a:schemeClr val="accent6">
                <a:lumMod val="50000"/>
              </a:schemeClr>
            </a:solidFill>
          </c:spPr>
          <c:invertIfNegative val="0"/>
          <c:val>
            <c:numRef>
              <c:f>('M:\Users\Thabo.Mabogoane\AppData\Local\Microsoft\Windows\Temporary Internet Files\Content.Outlook\W02ZPCFK\[Educational Performance Indicator reformated.xls]Educational Perf'!$F$8 'M:\Users\Thabo.Mabogoane\AppData\Local\Microsoft\Windows\Temporary Internet Files\Content.Outlook\W02ZPCFK\[Educational Performance Indicator reformated.xls]Educational Perf'!$F$10:$F$19)</c:f>
              <c:numCache>
                <c:formatCode>General</c:formatCode>
                <c:ptCount val="11"/>
                <c:pt idx="0">
                  <c:v>0</c:v>
                </c:pt>
                <c:pt idx="1">
                  <c:v>12</c:v>
                </c:pt>
                <c:pt idx="2">
                  <c:v>25</c:v>
                </c:pt>
                <c:pt idx="3">
                  <c:v>32</c:v>
                </c:pt>
                <c:pt idx="4">
                  <c:v>19</c:v>
                </c:pt>
                <c:pt idx="5">
                  <c:v>5</c:v>
                </c:pt>
                <c:pt idx="6">
                  <c:v>15</c:v>
                </c:pt>
                <c:pt idx="7">
                  <c:v>12</c:v>
                </c:pt>
                <c:pt idx="8">
                  <c:v>29</c:v>
                </c:pt>
                <c:pt idx="9">
                  <c:v>45</c:v>
                </c:pt>
                <c:pt idx="10">
                  <c:v>21.555555555555557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1-BD01-4EA4-A950-2E4ECE05DF0E}"/>
            </c:ext>
          </c:extLst>
        </c:ser>
        <c:dLbls>
          <c:showLegendKey val="0"/>
          <c:showVal val="0"/>
          <c:showCatName val="0"/>
          <c:showSerName val="0"/>
          <c:showPercent val="0"/>
          <c:showBubbleSize val="0"/>
        </c:dLbls>
        <c:gapWidth val="150"/>
        <c:axId val="-1618715248"/>
        <c:axId val="-1618711984"/>
      </c:barChart>
      <c:catAx>
        <c:axId val="-161871524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1618711984"/>
        <c:crosses val="autoZero"/>
        <c:auto val="1"/>
        <c:lblAlgn val="ctr"/>
        <c:lblOffset val="100"/>
        <c:noMultiLvlLbl val="0"/>
      </c:catAx>
      <c:valAx>
        <c:axId val="-1618711984"/>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161871524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'[18]Educational Perf'!$J$8:$J$9</c:f>
              <c:strCache>
                <c:ptCount val="1"/>
                <c:pt idx="0">
                  <c:v>Numeracy Achievement 2001</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254B-4EA9-8D0C-59A0F1015976}"/>
            </c:ext>
          </c:extLst>
        </c:ser>
        <c:ser>
          <c:idx val="3"/>
          <c:order val="3"/>
          <c:tx>
            <c:strRef>
              <c:f>'[18]Educational Perf'!$K$8:$K$9</c:f>
              <c:strCache>
                <c:ptCount val="1"/>
                <c:pt idx="0">
                  <c:v>Numeracy Achievement 2007</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254B-4EA9-8D0C-59A0F1015976}"/>
            </c:ext>
          </c:extLst>
        </c:ser>
        <c:ser>
          <c:idx val="4"/>
          <c:order val="4"/>
          <c:tx>
            <c:strRef>
              <c:f>'[18]Educational Perf'!$D$10:$D$11</c:f>
              <c:strCache>
                <c:ptCount val="1"/>
                <c:pt idx="0">
                  <c:v>Eastern Cape Free State</c:v>
                </c:pt>
              </c:strCache>
            </c:strRef>
          </c:tx>
          <c:invertIfNegative val="0"/>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254B-4EA9-8D0C-59A0F1015976}"/>
            </c:ext>
          </c:extLst>
        </c:ser>
        <c:dLbls>
          <c:showLegendKey val="0"/>
          <c:showVal val="0"/>
          <c:showCatName val="0"/>
          <c:showSerName val="0"/>
          <c:showPercent val="0"/>
          <c:showBubbleSize val="0"/>
        </c:dLbls>
        <c:gapWidth val="150"/>
        <c:axId val="-1618711440"/>
        <c:axId val="-1618737008"/>
      </c:barChart>
      <c:lineChart>
        <c:grouping val="standard"/>
        <c:varyColors val="0"/>
        <c:ser>
          <c:idx val="0"/>
          <c:order val="0"/>
          <c:tx>
            <c:strRef>
              <c:f>'[18]Educational Perf'!$H$8:$H$9</c:f>
              <c:strCache>
                <c:ptCount val="1"/>
                <c:pt idx="0">
                  <c:v>Literacy Achievement 2001</c:v>
                </c:pt>
              </c:strCache>
            </c:strRef>
          </c:tx>
          <c:marker>
            <c:symbol val="none"/>
          </c:marker>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254B-4EA9-8D0C-59A0F1015976}"/>
            </c:ext>
          </c:extLst>
        </c:ser>
        <c:ser>
          <c:idx val="1"/>
          <c:order val="1"/>
          <c:tx>
            <c:strRef>
              <c:f>'[18]Educational Perf'!$I$8:$I$9</c:f>
              <c:strCache>
                <c:ptCount val="1"/>
                <c:pt idx="0">
                  <c:v>Literacy Achievement 2007</c:v>
                </c:pt>
              </c:strCache>
            </c:strRef>
          </c:tx>
          <c:marker>
            <c:symbol val="none"/>
          </c:marker>
          <c:cat>
            <c:strRef>
              <c:f>'[18]Educational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'[18]Educational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254B-4EA9-8D0C-59A0F1015976}"/>
            </c:ext>
          </c:extLst>
        </c:ser>
        <c:dLbls>
          <c:showLegendKey val="0"/>
          <c:showVal val="0"/>
          <c:showCatName val="0"/>
          <c:showSerName val="0"/>
          <c:showPercent val="0"/>
          <c:showBubbleSize val="0"/>
        </c:dLbls>
        <c:marker val="1"/>
        <c:smooth val="0"/>
        <c:axId val="-1618711440"/>
        <c:axId val="-1618737008"/>
      </c:lineChart>
      <c:catAx>
        <c:axId val="-16187114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1618737008"/>
        <c:crosses val="autoZero"/>
        <c:auto val="1"/>
        <c:lblAlgn val="ctr"/>
        <c:lblOffset val="100"/>
        <c:noMultiLvlLbl val="0"/>
      </c:catAx>
      <c:valAx>
        <c:axId val="-161873700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16187114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739-47CF-BAD0-634B1329A2DE}"/>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739-47CF-BAD0-634B1329A2DE}"/>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739-47CF-BAD0-634B1329A2DE}"/>
            </c:ext>
          </c:extLst>
        </c:ser>
        <c:dLbls>
          <c:showLegendKey val="0"/>
          <c:showVal val="0"/>
          <c:showCatName val="0"/>
          <c:showSerName val="0"/>
          <c:showPercent val="0"/>
          <c:showBubbleSize val="0"/>
        </c:dLbls>
        <c:smooth val="0"/>
        <c:axId val="-1618810992"/>
        <c:axId val="-1618813712"/>
      </c:lineChart>
      <c:catAx>
        <c:axId val="-161881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3712"/>
        <c:crosses val="autoZero"/>
        <c:auto val="1"/>
        <c:lblAlgn val="ctr"/>
        <c:lblOffset val="100"/>
        <c:tickLblSkip val="1"/>
        <c:tickMarkSkip val="1"/>
        <c:noMultiLvlLbl val="0"/>
      </c:catAx>
      <c:valAx>
        <c:axId val="-1618813712"/>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09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'[17]SET Uni'!$D$52</c:f>
              <c:strCache>
                <c:ptCount val="1"/>
                <c:pt idx="0">
                  <c:v>Total enrolment</c:v>
                </c:pt>
              </c:strCache>
            </c:strRef>
          </c:tx>
          <c:spPr>
            <a:ln w="12700">
              <a:solidFill>
                <a:srgbClr val="0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3BE6-4D94-B021-F9EF1782A219}"/>
            </c:ext>
          </c:extLst>
        </c:ser>
        <c:ser>
          <c:idx val="4"/>
          <c:order val="1"/>
          <c:tx>
            <c:strRef>
              <c:f>'[17]SET Uni'!$D$56</c:f>
              <c:strCache>
                <c:ptCount val="1"/>
                <c:pt idx="0">
                  <c:v>Total Graduates</c:v>
                </c:pt>
              </c:strCache>
            </c:strRef>
          </c:tx>
          <c:spPr>
            <a:ln w="12700">
              <a:solidFill>
                <a:srgbClr val="80008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3BE6-4D94-B021-F9EF1782A219}"/>
            </c:ext>
          </c:extLst>
        </c:ser>
        <c:ser>
          <c:idx val="5"/>
          <c:order val="2"/>
          <c:tx>
            <c:strRef>
              <c:f>'[17]SET Uni'!$D$57</c:f>
              <c:strCache>
                <c:ptCount val="1"/>
                <c:pt idx="0">
                  <c:v>SET Graduates</c:v>
                </c:pt>
              </c:strCache>
            </c:strRef>
          </c:tx>
          <c:spPr>
            <a:ln w="12700">
              <a:solidFill>
                <a:srgbClr val="800000"/>
              </a:solidFill>
              <a:prstDash val="solid"/>
            </a:ln>
          </c:spPr>
          <c:marker>
            <c:symbol val="none"/>
          </c:marker>
          <c:cat>
            <c:numRef>
              <c:f>'[17]SET Uni'!$E$51:$K$51</c:f>
              <c:numCache>
                <c:formatCode>General</c:formatCode>
                <c:ptCount val="7"/>
                <c:pt idx="0">
                  <c:v>2000</c:v>
                </c:pt>
                <c:pt idx="1">
                  <c:v>2001</c:v>
                </c:pt>
                <c:pt idx="2">
                  <c:v>2002</c:v>
                </c:pt>
                <c:pt idx="3">
                  <c:v>2003</c:v>
                </c:pt>
                <c:pt idx="4">
                  <c:v>2004</c:v>
                </c:pt>
                <c:pt idx="5">
                  <c:v>2005</c:v>
                </c:pt>
                <c:pt idx="6">
                  <c:v>2006</c:v>
                </c:pt>
              </c:numCache>
            </c:numRef>
          </c:cat>
          <c:val>
            <c:numRef>
              <c:f>'[17]SET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3BE6-4D94-B021-F9EF1782A219}"/>
            </c:ext>
          </c:extLst>
        </c:ser>
        <c:dLbls>
          <c:showLegendKey val="0"/>
          <c:showVal val="0"/>
          <c:showCatName val="0"/>
          <c:showSerName val="0"/>
          <c:showPercent val="0"/>
          <c:showBubbleSize val="0"/>
        </c:dLbls>
        <c:smooth val="0"/>
        <c:axId val="-1618815344"/>
        <c:axId val="-1618830032"/>
      </c:lineChart>
      <c:catAx>
        <c:axId val="-1618815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30032"/>
        <c:crosses val="autoZero"/>
        <c:auto val="1"/>
        <c:lblAlgn val="ctr"/>
        <c:lblOffset val="100"/>
        <c:tickLblSkip val="1"/>
        <c:tickMarkSkip val="1"/>
        <c:noMultiLvlLbl val="0"/>
      </c:catAx>
      <c:valAx>
        <c:axId val="-1618830032"/>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534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Membership of voluntary organizations</a:t>
            </a:r>
          </a:p>
        </c:rich>
      </c:tx>
      <c:layout>
        <c:manualLayout>
          <c:xMode val="edge"/>
          <c:yMode val="edge"/>
          <c:x val="0.39130458807066393"/>
          <c:y val="1.6778523489933066E-2"/>
        </c:manualLayout>
      </c:layout>
      <c:overlay val="0"/>
      <c:spPr>
        <a:noFill/>
        <a:ln w="25400">
          <a:noFill/>
        </a:ln>
      </c:spPr>
    </c:title>
    <c:autoTitleDeleted val="0"/>
    <c:plotArea>
      <c:layout/>
      <c:barChart>
        <c:barDir val="col"/>
        <c:grouping val="clustered"/>
        <c:varyColors val="0"/>
        <c:ser>
          <c:idx val="0"/>
          <c:order val="0"/>
          <c:tx>
            <c:strRef>
              <c:f>'[19]Civil society'!$C$10</c:f>
              <c:strCache>
                <c:ptCount val="1"/>
                <c:pt idx="0">
                  <c:v>Church or religious</c:v>
                </c:pt>
              </c:strCache>
            </c:strRef>
          </c:tx>
          <c:spPr>
            <a:solidFill>
              <a:srgbClr val="9999FF"/>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society'!$D$10:$O$10</c:f>
              <c:numCache>
                <c:formatCode>General</c:formatCode>
                <c:ptCount val="12"/>
                <c:pt idx="0">
                  <c:v>0.58399999999999996</c:v>
                </c:pt>
                <c:pt idx="1">
                  <c:v>0.52400000000000002</c:v>
                </c:pt>
                <c:pt idx="3">
                  <c:v>0.28100000000000003</c:v>
                </c:pt>
                <c:pt idx="6">
                  <c:v>0.155</c:v>
                </c:pt>
                <c:pt idx="7">
                  <c:v>0.43</c:v>
                </c:pt>
                <c:pt idx="10">
                  <c:v>5.7000000000000002E-2</c:v>
                </c:pt>
              </c:numCache>
            </c:numRef>
          </c:val>
          <c:extLst>
            <c:ext xmlns:c16="http://schemas.microsoft.com/office/drawing/2014/chart" uri="{C3380CC4-5D6E-409C-BE32-E72D297353CC}">
              <c16:uniqueId val="{00000000-E609-413D-89B6-E12AE774F376}"/>
            </c:ext>
          </c:extLst>
        </c:ser>
        <c:ser>
          <c:idx val="1"/>
          <c:order val="1"/>
          <c:tx>
            <c:strRef>
              <c:f>'[19]Civil society'!$C$13</c:f>
              <c:strCache>
                <c:ptCount val="1"/>
                <c:pt idx="0">
                  <c:v>Labour union</c:v>
                </c:pt>
              </c:strCache>
            </c:strRef>
          </c:tx>
          <c:spPr>
            <a:solidFill>
              <a:srgbClr val="993366"/>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society'!$D$13:$O$13</c:f>
              <c:numCache>
                <c:formatCode>General</c:formatCode>
                <c:ptCount val="12"/>
                <c:pt idx="0">
                  <c:v>7.4999999999999997E-2</c:v>
                </c:pt>
                <c:pt idx="1">
                  <c:v>9.2999999999999999E-2</c:v>
                </c:pt>
                <c:pt idx="3">
                  <c:v>5.6000000000000001E-2</c:v>
                </c:pt>
                <c:pt idx="4">
                  <c:v>0.03</c:v>
                </c:pt>
                <c:pt idx="6">
                  <c:v>1.9E-2</c:v>
                </c:pt>
                <c:pt idx="7">
                  <c:v>4.7E-2</c:v>
                </c:pt>
                <c:pt idx="9">
                  <c:v>2.1000000000000001E-2</c:v>
                </c:pt>
                <c:pt idx="10">
                  <c:v>0.10299999999999999</c:v>
                </c:pt>
              </c:numCache>
            </c:numRef>
          </c:val>
          <c:extLst>
            <c:ext xmlns:c16="http://schemas.microsoft.com/office/drawing/2014/chart" uri="{C3380CC4-5D6E-409C-BE32-E72D297353CC}">
              <c16:uniqueId val="{00000001-E609-413D-89B6-E12AE774F376}"/>
            </c:ext>
          </c:extLst>
        </c:ser>
        <c:ser>
          <c:idx val="2"/>
          <c:order val="2"/>
          <c:tx>
            <c:strRef>
              <c:f>'[19]Civil society'!$C$14</c:f>
              <c:strCache>
                <c:ptCount val="1"/>
                <c:pt idx="0">
                  <c:v>Political party </c:v>
                </c:pt>
              </c:strCache>
            </c:strRef>
          </c:tx>
          <c:spPr>
            <a:solidFill>
              <a:srgbClr val="FFFFCC"/>
            </a:solidFill>
            <a:ln w="12700">
              <a:solidFill>
                <a:srgbClr val="000000"/>
              </a:solidFill>
              <a:prstDash val="solid"/>
            </a:ln>
          </c:spPr>
          <c:invertIfNegative val="0"/>
          <c:cat>
            <c:multiLvlStrRef>
              <c:f>'[19]Civil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'[19]Civil society'!$D$14:$O$14</c:f>
              <c:numCache>
                <c:formatCode>General</c:formatCode>
                <c:ptCount val="12"/>
                <c:pt idx="0">
                  <c:v>0.114</c:v>
                </c:pt>
                <c:pt idx="1">
                  <c:v>0.115</c:v>
                </c:pt>
                <c:pt idx="3">
                  <c:v>2.8000000000000001E-2</c:v>
                </c:pt>
                <c:pt idx="4">
                  <c:v>2.4E-2</c:v>
                </c:pt>
                <c:pt idx="6">
                  <c:v>2.5000000000000001E-2</c:v>
                </c:pt>
                <c:pt idx="7">
                  <c:v>0.02</c:v>
                </c:pt>
                <c:pt idx="9">
                  <c:v>5.0000000000000001E-3</c:v>
                </c:pt>
                <c:pt idx="10">
                  <c:v>7.0000000000000001E-3</c:v>
                </c:pt>
              </c:numCache>
            </c:numRef>
          </c:val>
          <c:extLst>
            <c:ext xmlns:c16="http://schemas.microsoft.com/office/drawing/2014/chart" uri="{C3380CC4-5D6E-409C-BE32-E72D297353CC}">
              <c16:uniqueId val="{00000002-E609-413D-89B6-E12AE774F376}"/>
            </c:ext>
          </c:extLst>
        </c:ser>
        <c:dLbls>
          <c:showLegendKey val="0"/>
          <c:showVal val="0"/>
          <c:showCatName val="0"/>
          <c:showSerName val="0"/>
          <c:showPercent val="0"/>
          <c:showBubbleSize val="0"/>
        </c:dLbls>
        <c:gapWidth val="150"/>
        <c:axId val="204707728"/>
        <c:axId val="204767552"/>
      </c:barChart>
      <c:catAx>
        <c:axId val="204707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7552"/>
        <c:crosses val="autoZero"/>
        <c:auto val="1"/>
        <c:lblAlgn val="ctr"/>
        <c:lblOffset val="100"/>
        <c:tickLblSkip val="1"/>
        <c:tickMarkSkip val="1"/>
        <c:noMultiLvlLbl val="0"/>
      </c:catAx>
      <c:valAx>
        <c:axId val="20476755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2883295194508012E-2"/>
              <c:y val="0.4060409730662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07728"/>
        <c:crosses val="autoZero"/>
        <c:crossBetween val="between"/>
        <c:majorUnit val="0.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4"/>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SA MEMBERSHIP OF VOLUNTARY ORGANISATIONS</a:t>
            </a:r>
          </a:p>
        </c:rich>
      </c:tx>
      <c:layout>
        <c:manualLayout>
          <c:xMode val="edge"/>
          <c:yMode val="edge"/>
          <c:x val="3.9867109634551492E-2"/>
          <c:y val="1.6835016835016835E-2"/>
        </c:manualLayout>
      </c:layout>
      <c:overlay val="0"/>
      <c:spPr>
        <a:noFill/>
        <a:ln w="25400">
          <a:noFill/>
        </a:ln>
      </c:spPr>
    </c:title>
    <c:autoTitleDeleted val="0"/>
    <c:plotArea>
      <c:layout>
        <c:manualLayout>
          <c:layoutTarget val="inner"/>
          <c:xMode val="edge"/>
          <c:yMode val="edge"/>
          <c:x val="6.2370691809656709E-2"/>
          <c:y val="0.11046209769926753"/>
          <c:w val="0.92877101497174885"/>
          <c:h val="0.69795670488280293"/>
        </c:manualLayout>
      </c:layout>
      <c:barChart>
        <c:barDir val="col"/>
        <c:grouping val="clustered"/>
        <c:varyColors val="0"/>
        <c:ser>
          <c:idx val="0"/>
          <c:order val="0"/>
          <c:tx>
            <c:strRef>
              <c:f>'Civil Society'!$E$8</c:f>
              <c:strCache>
                <c:ptCount val="1"/>
                <c:pt idx="0">
                  <c:v>1994-1998</c:v>
                </c:pt>
              </c:strCache>
            </c:strRef>
          </c:tx>
          <c:spPr>
            <a:solidFill>
              <a:srgbClr val="FCD5B5"/>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Society'!$E$9:$E$17</c:f>
              <c:numCache>
                <c:formatCode>0.0%</c:formatCode>
                <c:ptCount val="9"/>
                <c:pt idx="0">
                  <c:v>0.57999999999999996</c:v>
                </c:pt>
                <c:pt idx="1">
                  <c:v>0.2</c:v>
                </c:pt>
                <c:pt idx="2">
                  <c:v>0.15</c:v>
                </c:pt>
                <c:pt idx="3">
                  <c:v>0.08</c:v>
                </c:pt>
                <c:pt idx="4">
                  <c:v>0.12</c:v>
                </c:pt>
                <c:pt idx="5">
                  <c:v>7.0000000000000007E-2</c:v>
                </c:pt>
                <c:pt idx="6">
                  <c:v>7.0000000000000007E-2</c:v>
                </c:pt>
                <c:pt idx="7">
                  <c:v>0.08</c:v>
                </c:pt>
                <c:pt idx="8">
                  <c:v>0.06</c:v>
                </c:pt>
              </c:numCache>
            </c:numRef>
          </c:val>
          <c:extLst>
            <c:ext xmlns:c16="http://schemas.microsoft.com/office/drawing/2014/chart" uri="{C3380CC4-5D6E-409C-BE32-E72D297353CC}">
              <c16:uniqueId val="{00000000-0D44-4ED2-98FB-8C0D09394426}"/>
            </c:ext>
          </c:extLst>
        </c:ser>
        <c:ser>
          <c:idx val="1"/>
          <c:order val="1"/>
          <c:tx>
            <c:strRef>
              <c:f>'Civil Society'!$F$8</c:f>
              <c:strCache>
                <c:ptCount val="1"/>
                <c:pt idx="0">
                  <c:v>2005-2009</c:v>
                </c:pt>
              </c:strCache>
            </c:strRef>
          </c:tx>
          <c:spPr>
            <a:solidFill>
              <a:srgbClr val="F8A662"/>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Society'!$F$9:$F$17</c:f>
              <c:numCache>
                <c:formatCode>0.0%</c:formatCode>
                <c:ptCount val="9"/>
                <c:pt idx="0">
                  <c:v>0.51</c:v>
                </c:pt>
                <c:pt idx="1">
                  <c:v>0.14000000000000001</c:v>
                </c:pt>
                <c:pt idx="2">
                  <c:v>0.11</c:v>
                </c:pt>
                <c:pt idx="3">
                  <c:v>0.05</c:v>
                </c:pt>
                <c:pt idx="4">
                  <c:v>0.17</c:v>
                </c:pt>
                <c:pt idx="5">
                  <c:v>0.04</c:v>
                </c:pt>
                <c:pt idx="6">
                  <c:v>0.04</c:v>
                </c:pt>
                <c:pt idx="7">
                  <c:v>0.05</c:v>
                </c:pt>
                <c:pt idx="8">
                  <c:v>0</c:v>
                </c:pt>
              </c:numCache>
            </c:numRef>
          </c:val>
          <c:extLst>
            <c:ext xmlns:c16="http://schemas.microsoft.com/office/drawing/2014/chart" uri="{C3380CC4-5D6E-409C-BE32-E72D297353CC}">
              <c16:uniqueId val="{00000001-0D44-4ED2-98FB-8C0D09394426}"/>
            </c:ext>
          </c:extLst>
        </c:ser>
        <c:ser>
          <c:idx val="2"/>
          <c:order val="2"/>
          <c:tx>
            <c:strRef>
              <c:f>'Civil Society'!$G$8</c:f>
              <c:strCache>
                <c:ptCount val="1"/>
                <c:pt idx="0">
                  <c:v>2010-2014</c:v>
                </c:pt>
              </c:strCache>
            </c:strRef>
          </c:tx>
          <c:spPr>
            <a:solidFill>
              <a:srgbClr val="E46C0A"/>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Society'!$G$9:$G$17</c:f>
              <c:numCache>
                <c:formatCode>0.0%</c:formatCode>
                <c:ptCount val="9"/>
                <c:pt idx="0">
                  <c:v>0.56000000000000005</c:v>
                </c:pt>
                <c:pt idx="1">
                  <c:v>0.16</c:v>
                </c:pt>
                <c:pt idx="2">
                  <c:v>0.1</c:v>
                </c:pt>
                <c:pt idx="3">
                  <c:v>0.09</c:v>
                </c:pt>
                <c:pt idx="4">
                  <c:v>0.12</c:v>
                </c:pt>
                <c:pt idx="5">
                  <c:v>7.0000000000000007E-2</c:v>
                </c:pt>
                <c:pt idx="6">
                  <c:v>7.0000000000000007E-2</c:v>
                </c:pt>
                <c:pt idx="7">
                  <c:v>0.06</c:v>
                </c:pt>
                <c:pt idx="8">
                  <c:v>7.0000000000000007E-2</c:v>
                </c:pt>
              </c:numCache>
            </c:numRef>
          </c:val>
          <c:extLst>
            <c:ext xmlns:c16="http://schemas.microsoft.com/office/drawing/2014/chart" uri="{C3380CC4-5D6E-409C-BE32-E72D297353CC}">
              <c16:uniqueId val="{00000002-0D44-4ED2-98FB-8C0D09394426}"/>
            </c:ext>
          </c:extLst>
        </c:ser>
        <c:ser>
          <c:idx val="3"/>
          <c:order val="3"/>
          <c:tx>
            <c:strRef>
              <c:f>'Civil Society'!$H$8</c:f>
              <c:strCache>
                <c:ptCount val="1"/>
                <c:pt idx="0">
                  <c:v>Total</c:v>
                </c:pt>
              </c:strCache>
            </c:strRef>
          </c:tx>
          <c:spPr>
            <a:solidFill>
              <a:srgbClr val="984807"/>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Society'!$H$9:$H$17</c:f>
              <c:numCache>
                <c:formatCode>0.0%</c:formatCode>
                <c:ptCount val="9"/>
                <c:pt idx="0">
                  <c:v>0.5</c:v>
                </c:pt>
                <c:pt idx="1">
                  <c:v>0.16</c:v>
                </c:pt>
                <c:pt idx="2">
                  <c:v>0.11</c:v>
                </c:pt>
                <c:pt idx="3">
                  <c:v>0.06</c:v>
                </c:pt>
                <c:pt idx="4">
                  <c:v>0.09</c:v>
                </c:pt>
                <c:pt idx="5">
                  <c:v>0.05</c:v>
                </c:pt>
                <c:pt idx="6">
                  <c:v>0.06</c:v>
                </c:pt>
                <c:pt idx="7">
                  <c:v>7.0000000000000007E-2</c:v>
                </c:pt>
                <c:pt idx="8">
                  <c:v>0.05</c:v>
                </c:pt>
              </c:numCache>
            </c:numRef>
          </c:val>
          <c:extLst>
            <c:ext xmlns:c16="http://schemas.microsoft.com/office/drawing/2014/chart" uri="{C3380CC4-5D6E-409C-BE32-E72D297353CC}">
              <c16:uniqueId val="{00000003-0D44-4ED2-98FB-8C0D09394426}"/>
            </c:ext>
          </c:extLst>
        </c:ser>
        <c:dLbls>
          <c:showLegendKey val="0"/>
          <c:showVal val="0"/>
          <c:showCatName val="0"/>
          <c:showSerName val="0"/>
          <c:showPercent val="0"/>
          <c:showBubbleSize val="0"/>
        </c:dLbls>
        <c:gapWidth val="150"/>
        <c:axId val="204766376"/>
        <c:axId val="204767944"/>
      </c:barChart>
      <c:catAx>
        <c:axId val="204766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7944"/>
        <c:crosses val="autoZero"/>
        <c:auto val="1"/>
        <c:lblAlgn val="ctr"/>
        <c:lblOffset val="100"/>
        <c:tickLblSkip val="1"/>
        <c:tickMarkSkip val="1"/>
        <c:noMultiLvlLbl val="0"/>
      </c:catAx>
      <c:valAx>
        <c:axId val="204767944"/>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6611295681063183E-2"/>
              <c:y val="0.44781286177611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6376"/>
        <c:crosses val="autoZero"/>
        <c:crossBetween val="between"/>
      </c:valAx>
      <c:spPr>
        <a:solidFill>
          <a:srgbClr val="FFFFFF"/>
        </a:solidFill>
        <a:ln w="3175">
          <a:solidFill>
            <a:srgbClr val="000000"/>
          </a:solidFill>
          <a:prstDash val="solid"/>
        </a:ln>
      </c:spPr>
    </c:plotArea>
    <c:legend>
      <c:legendPos val="b"/>
      <c:layout>
        <c:manualLayout>
          <c:xMode val="edge"/>
          <c:yMode val="edge"/>
          <c:x val="0.38107257869362077"/>
          <c:y val="0.91538488711791244"/>
          <c:w val="0.29152543396135289"/>
          <c:h val="5.7697212478319077E-2"/>
        </c:manualLayout>
      </c:layout>
      <c:overlay val="1"/>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452768286047"/>
          <c:y val="4.8401137357830505E-2"/>
          <c:w val="0.87248845515772788"/>
          <c:h val="0.69570902595508965"/>
        </c:manualLayout>
      </c:layout>
      <c:barChart>
        <c:barDir val="col"/>
        <c:grouping val="clustered"/>
        <c:varyColors val="0"/>
        <c:ser>
          <c:idx val="0"/>
          <c:order val="0"/>
          <c:spPr>
            <a:solidFill>
              <a:srgbClr val="FF66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0-0CDE-4F23-BC16-B5C4D720838D}"/>
            </c:ext>
          </c:extLst>
        </c:ser>
        <c:ser>
          <c:idx val="1"/>
          <c:order val="1"/>
          <c:spPr>
            <a:solidFill>
              <a:srgbClr val="9933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1-0CDE-4F23-BC16-B5C4D720838D}"/>
            </c:ext>
          </c:extLst>
        </c:ser>
        <c:ser>
          <c:idx val="2"/>
          <c:order val="2"/>
          <c:spPr>
            <a:solidFill>
              <a:srgbClr val="FFCC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2-0CDE-4F23-BC16-B5C4D720838D}"/>
            </c:ext>
          </c:extLst>
        </c:ser>
        <c:dLbls>
          <c:showLegendKey val="0"/>
          <c:showVal val="0"/>
          <c:showCatName val="0"/>
          <c:showSerName val="0"/>
          <c:showPercent val="0"/>
          <c:showBubbleSize val="0"/>
        </c:dLbls>
        <c:gapWidth val="150"/>
        <c:axId val="204768336"/>
        <c:axId val="204768728"/>
      </c:barChart>
      <c:catAx>
        <c:axId val="204768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4768728"/>
        <c:crosses val="autoZero"/>
        <c:auto val="1"/>
        <c:lblAlgn val="ctr"/>
        <c:lblOffset val="100"/>
        <c:tickLblSkip val="1"/>
        <c:tickMarkSkip val="1"/>
        <c:noMultiLvlLbl val="0"/>
      </c:catAx>
      <c:valAx>
        <c:axId val="204768728"/>
        <c:scaling>
          <c:orientation val="minMax"/>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1.6611295681063183E-2"/>
              <c:y val="0.447812861776119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204768336"/>
        <c:crosses val="autoZero"/>
        <c:crossBetween val="between"/>
      </c:valAx>
      <c:spPr>
        <a:solidFill>
          <a:srgbClr val="FFFFFF"/>
        </a:solidFill>
        <a:ln w="3175">
          <a:solidFill>
            <a:srgbClr val="000000"/>
          </a:solidFill>
          <a:prstDash val="solid"/>
        </a:ln>
      </c:spPr>
    </c:plotArea>
    <c:legend>
      <c:legendPos val="r"/>
      <c:layout>
        <c:manualLayout>
          <c:xMode val="edge"/>
          <c:yMode val="edge"/>
          <c:x val="0.31174464977386712"/>
          <c:y val="0.86786490230388413"/>
          <c:w val="0.34211252042787132"/>
          <c:h val="0.13213509769612194"/>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66" r="0.75000000000000566"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6.xml"/><Relationship Id="rId1" Type="http://schemas.openxmlformats.org/officeDocument/2006/relationships/chart" Target="../charts/chart45.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8.xml"/><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48.xml"/></Relationships>
</file>

<file path=xl/drawings/drawing1.xml><?xml version="1.0" encoding="utf-8"?>
<xdr:wsDr xmlns:xdr="http://schemas.openxmlformats.org/drawingml/2006/spreadsheetDrawing" xmlns:a="http://schemas.openxmlformats.org/drawingml/2006/main">
  <xdr:twoCellAnchor>
    <xdr:from>
      <xdr:col>3</xdr:col>
      <xdr:colOff>28575</xdr:colOff>
      <xdr:row>34</xdr:row>
      <xdr:rowOff>38100</xdr:rowOff>
    </xdr:from>
    <xdr:to>
      <xdr:col>27</xdr:col>
      <xdr:colOff>28575</xdr:colOff>
      <xdr:row>50</xdr:row>
      <xdr:rowOff>114300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562328</xdr:colOff>
      <xdr:row>43</xdr:row>
      <xdr:rowOff>57503</xdr:rowOff>
    </xdr:from>
    <xdr:to>
      <xdr:col>26</xdr:col>
      <xdr:colOff>314678</xdr:colOff>
      <xdr:row>43</xdr:row>
      <xdr:rowOff>76553</xdr:rowOff>
    </xdr:to>
    <xdr:sp macro="" textlink="">
      <xdr:nvSpPr>
        <xdr:cNvPr id="3" name="Line 4">
          <a:extLst>
            <a:ext uri="{FF2B5EF4-FFF2-40B4-BE49-F238E27FC236}">
              <a16:creationId xmlns:a16="http://schemas.microsoft.com/office/drawing/2014/main" id="{00000000-0008-0000-0000-000003000000}"/>
            </a:ext>
          </a:extLst>
        </xdr:cNvPr>
        <xdr:cNvSpPr>
          <a:spLocks noChangeShapeType="1"/>
        </xdr:cNvSpPr>
      </xdr:nvSpPr>
      <xdr:spPr bwMode="auto">
        <a:xfrm flipV="1">
          <a:off x="1991078" y="7201253"/>
          <a:ext cx="10248900" cy="1905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39196</xdr:colOff>
      <xdr:row>65</xdr:row>
      <xdr:rowOff>31359</xdr:rowOff>
    </xdr:from>
    <xdr:to>
      <xdr:col>26</xdr:col>
      <xdr:colOff>172468</xdr:colOff>
      <xdr:row>81</xdr:row>
      <xdr:rowOff>135914</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2896696" y="11766159"/>
          <a:ext cx="9201072" cy="30509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415492</xdr:colOff>
      <xdr:row>65</xdr:row>
      <xdr:rowOff>39199</xdr:rowOff>
    </xdr:from>
    <xdr:to>
      <xdr:col>26</xdr:col>
      <xdr:colOff>203826</xdr:colOff>
      <xdr:row>82</xdr:row>
      <xdr:rowOff>7620</xdr:rowOff>
    </xdr:to>
    <xdr:graphicFrame macro="">
      <xdr:nvGraphicFramePr>
        <xdr:cNvPr id="5" name="Chart 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9525</xdr:colOff>
      <xdr:row>8</xdr:row>
      <xdr:rowOff>133350</xdr:rowOff>
    </xdr:from>
    <xdr:to>
      <xdr:col>28</xdr:col>
      <xdr:colOff>9525</xdr:colOff>
      <xdr:row>26</xdr:row>
      <xdr:rowOff>38100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3155950" y="6578600"/>
          <a:ext cx="59436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231775</xdr:colOff>
      <xdr:row>14</xdr:row>
      <xdr:rowOff>152400</xdr:rowOff>
    </xdr:from>
    <xdr:to>
      <xdr:col>28</xdr:col>
      <xdr:colOff>35560</xdr:colOff>
      <xdr:row>35</xdr:row>
      <xdr:rowOff>85725</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15</xdr:col>
      <xdr:colOff>53340</xdr:colOff>
      <xdr:row>73</xdr:row>
      <xdr:rowOff>26670</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1498600" y="9277350"/>
          <a:ext cx="527939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59</xdr:row>
      <xdr:rowOff>1</xdr:rowOff>
    </xdr:from>
    <xdr:to>
      <xdr:col>15</xdr:col>
      <xdr:colOff>45720</xdr:colOff>
      <xdr:row>73</xdr:row>
      <xdr:rowOff>68580</xdr:rowOff>
    </xdr:to>
    <xdr:graphicFrame macro="">
      <xdr:nvGraphicFramePr>
        <xdr:cNvPr id="4" name="Chart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8</xdr:row>
      <xdr:rowOff>95250</xdr:rowOff>
    </xdr:from>
    <xdr:to>
      <xdr:col>28</xdr:col>
      <xdr:colOff>9525</xdr:colOff>
      <xdr:row>33</xdr:row>
      <xdr:rowOff>19050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47</xdr:row>
      <xdr:rowOff>0</xdr:rowOff>
    </xdr:from>
    <xdr:to>
      <xdr:col>18</xdr:col>
      <xdr:colOff>213360</xdr:colOff>
      <xdr:row>63</xdr:row>
      <xdr:rowOff>57150</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1543050" y="8642350"/>
          <a:ext cx="679831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18</xdr:col>
      <xdr:colOff>236219</xdr:colOff>
      <xdr:row>63</xdr:row>
      <xdr:rowOff>121920</xdr:rowOff>
    </xdr:to>
    <xdr:graphicFrame macro="">
      <xdr:nvGraphicFramePr>
        <xdr:cNvPr id="4" name="Chart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263524</xdr:colOff>
      <xdr:row>10</xdr:row>
      <xdr:rowOff>50800</xdr:rowOff>
    </xdr:from>
    <xdr:to>
      <xdr:col>23</xdr:col>
      <xdr:colOff>15874</xdr:colOff>
      <xdr:row>26</xdr:row>
      <xdr:rowOff>88900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205740</xdr:colOff>
      <xdr:row>19</xdr:row>
      <xdr:rowOff>167640</xdr:rowOff>
    </xdr:from>
    <xdr:to>
      <xdr:col>19</xdr:col>
      <xdr:colOff>556260</xdr:colOff>
      <xdr:row>45</xdr:row>
      <xdr:rowOff>137160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889000</xdr:colOff>
      <xdr:row>63</xdr:row>
      <xdr:rowOff>180622</xdr:rowOff>
    </xdr:from>
    <xdr:to>
      <xdr:col>6</xdr:col>
      <xdr:colOff>261055</xdr:colOff>
      <xdr:row>78</xdr:row>
      <xdr:rowOff>172156</xdr:rowOff>
    </xdr:to>
    <xdr:graphicFrame macro="">
      <xdr:nvGraphicFramePr>
        <xdr:cNvPr id="2" name="Chart 1">
          <a:extLst>
            <a:ext uri="{FF2B5EF4-FFF2-40B4-BE49-F238E27FC236}">
              <a16:creationId xmlns:a16="http://schemas.microsoft.com/office/drawing/2014/main" id="{1B9A5ED5-4D5D-461D-AC08-B752407A53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183445</xdr:colOff>
      <xdr:row>64</xdr:row>
      <xdr:rowOff>11288</xdr:rowOff>
    </xdr:from>
    <xdr:to>
      <xdr:col>14</xdr:col>
      <xdr:colOff>649111</xdr:colOff>
      <xdr:row>79</xdr:row>
      <xdr:rowOff>2821</xdr:rowOff>
    </xdr:to>
    <xdr:graphicFrame macro="">
      <xdr:nvGraphicFramePr>
        <xdr:cNvPr id="3" name="Chart 2">
          <a:extLst>
            <a:ext uri="{FF2B5EF4-FFF2-40B4-BE49-F238E27FC236}">
              <a16:creationId xmlns:a16="http://schemas.microsoft.com/office/drawing/2014/main" id="{C7F1DB57-BD27-430A-9937-2CF744E3B1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142523</xdr:colOff>
      <xdr:row>31</xdr:row>
      <xdr:rowOff>35278</xdr:rowOff>
    </xdr:from>
    <xdr:to>
      <xdr:col>26</xdr:col>
      <xdr:colOff>562328</xdr:colOff>
      <xdr:row>46</xdr:row>
      <xdr:rowOff>42334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327024</xdr:colOff>
      <xdr:row>31</xdr:row>
      <xdr:rowOff>115357</xdr:rowOff>
    </xdr:from>
    <xdr:to>
      <xdr:col>17</xdr:col>
      <xdr:colOff>550333</xdr:colOff>
      <xdr:row>45</xdr:row>
      <xdr:rowOff>83608</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94</xdr:row>
      <xdr:rowOff>85725</xdr:rowOff>
    </xdr:from>
    <xdr:to>
      <xdr:col>10</xdr:col>
      <xdr:colOff>47625</xdr:colOff>
      <xdr:row>117</xdr:row>
      <xdr:rowOff>114300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87</xdr:row>
      <xdr:rowOff>57150</xdr:rowOff>
    </xdr:from>
    <xdr:to>
      <xdr:col>15</xdr:col>
      <xdr:colOff>333375</xdr:colOff>
      <xdr:row>110</xdr:row>
      <xdr:rowOff>85725</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131</xdr:row>
      <xdr:rowOff>34290</xdr:rowOff>
    </xdr:from>
    <xdr:to>
      <xdr:col>20</xdr:col>
      <xdr:colOff>373380</xdr:colOff>
      <xdr:row>146</xdr:row>
      <xdr:rowOff>34290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230505</xdr:colOff>
      <xdr:row>12</xdr:row>
      <xdr:rowOff>150495</xdr:rowOff>
    </xdr:from>
    <xdr:to>
      <xdr:col>27</xdr:col>
      <xdr:colOff>0</xdr:colOff>
      <xdr:row>31</xdr:row>
      <xdr:rowOff>150495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148</xdr:row>
      <xdr:rowOff>0</xdr:rowOff>
    </xdr:from>
    <xdr:to>
      <xdr:col>12</xdr:col>
      <xdr:colOff>445770</xdr:colOff>
      <xdr:row>162</xdr:row>
      <xdr:rowOff>141605</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1409700" y="13493750"/>
          <a:ext cx="6008370" cy="27197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148</xdr:row>
      <xdr:rowOff>0</xdr:rowOff>
    </xdr:from>
    <xdr:to>
      <xdr:col>12</xdr:col>
      <xdr:colOff>464820</xdr:colOff>
      <xdr:row>162</xdr:row>
      <xdr:rowOff>144780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2168525" y="124396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2168525" y="124396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304799</xdr:colOff>
      <xdr:row>43</xdr:row>
      <xdr:rowOff>62344</xdr:rowOff>
    </xdr:from>
    <xdr:to>
      <xdr:col>9</xdr:col>
      <xdr:colOff>173182</xdr:colOff>
      <xdr:row>61</xdr:row>
      <xdr:rowOff>17317</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43</xdr:row>
      <xdr:rowOff>69273</xdr:rowOff>
    </xdr:from>
    <xdr:to>
      <xdr:col>17</xdr:col>
      <xdr:colOff>450273</xdr:colOff>
      <xdr:row>61</xdr:row>
      <xdr:rowOff>17318</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8</xdr:row>
      <xdr:rowOff>95250</xdr:rowOff>
    </xdr:from>
    <xdr:to>
      <xdr:col>26</xdr:col>
      <xdr:colOff>336550</xdr:colOff>
      <xdr:row>27</xdr:row>
      <xdr:rowOff>57150</xdr:rowOff>
    </xdr:to>
    <xdr:graphicFrame macro="">
      <xdr:nvGraphicFramePr>
        <xdr:cNvPr id="3" name="Chart 5">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68</xdr:row>
      <xdr:rowOff>0</xdr:rowOff>
    </xdr:from>
    <xdr:to>
      <xdr:col>18</xdr:col>
      <xdr:colOff>228600</xdr:colOff>
      <xdr:row>85</xdr:row>
      <xdr:rowOff>138405</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3930650" y="7162800"/>
          <a:ext cx="5689600" cy="32689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68</xdr:row>
      <xdr:rowOff>0</xdr:rowOff>
    </xdr:from>
    <xdr:to>
      <xdr:col>18</xdr:col>
      <xdr:colOff>259080</xdr:colOff>
      <xdr:row>85</xdr:row>
      <xdr:rowOff>137160</xdr:rowOff>
    </xdr:to>
    <xdr:graphicFrame macro="">
      <xdr:nvGraphicFramePr>
        <xdr:cNvPr id="5" name="Chart 5">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238125</xdr:colOff>
      <xdr:row>15</xdr:row>
      <xdr:rowOff>152401</xdr:rowOff>
    </xdr:from>
    <xdr:to>
      <xdr:col>21</xdr:col>
      <xdr:colOff>0</xdr:colOff>
      <xdr:row>30</xdr:row>
      <xdr:rowOff>60325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9524</xdr:colOff>
      <xdr:row>30</xdr:row>
      <xdr:rowOff>133350</xdr:rowOff>
    </xdr:from>
    <xdr:to>
      <xdr:col>21</xdr:col>
      <xdr:colOff>28575</xdr:colOff>
      <xdr:row>51</xdr:row>
      <xdr:rowOff>95250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102</xdr:row>
      <xdr:rowOff>0</xdr:rowOff>
    </xdr:from>
    <xdr:to>
      <xdr:col>9</xdr:col>
      <xdr:colOff>0</xdr:colOff>
      <xdr:row>115</xdr:row>
      <xdr:rowOff>160655</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1530350" y="10547350"/>
          <a:ext cx="530225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102</xdr:row>
      <xdr:rowOff>0</xdr:rowOff>
    </xdr:from>
    <xdr:to>
      <xdr:col>9</xdr:col>
      <xdr:colOff>0</xdr:colOff>
      <xdr:row>116</xdr:row>
      <xdr:rowOff>0</xdr:rowOff>
    </xdr:to>
    <xdr:graphicFrame macro="">
      <xdr:nvGraphicFramePr>
        <xdr:cNvPr id="4" name="Chart 1">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31749</xdr:colOff>
      <xdr:row>42</xdr:row>
      <xdr:rowOff>57150</xdr:rowOff>
    </xdr:from>
    <xdr:to>
      <xdr:col>21</xdr:col>
      <xdr:colOff>63500</xdr:colOff>
      <xdr:row>64</xdr:row>
      <xdr:rowOff>142875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346075</xdr:colOff>
      <xdr:row>45</xdr:row>
      <xdr:rowOff>171450</xdr:rowOff>
    </xdr:from>
    <xdr:to>
      <xdr:col>17</xdr:col>
      <xdr:colOff>41275</xdr:colOff>
      <xdr:row>60</xdr:row>
      <xdr:rowOff>152400</xdr:rowOff>
    </xdr:to>
    <xdr:graphicFrame macro="">
      <xdr:nvGraphicFramePr>
        <xdr:cNvPr id="2" name="Chart 1">
          <a:extLst>
            <a:ext uri="{FF2B5EF4-FFF2-40B4-BE49-F238E27FC236}">
              <a16:creationId xmlns:a16="http://schemas.microsoft.com/office/drawing/2014/main" id="{B18677E0-758E-4E68-AC58-7329A6715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1270</xdr:colOff>
      <xdr:row>18</xdr:row>
      <xdr:rowOff>139700</xdr:rowOff>
    </xdr:from>
    <xdr:to>
      <xdr:col>17</xdr:col>
      <xdr:colOff>6350</xdr:colOff>
      <xdr:row>37</xdr:row>
      <xdr:rowOff>68580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95250</xdr:colOff>
      <xdr:row>81</xdr:row>
      <xdr:rowOff>0</xdr:rowOff>
    </xdr:from>
    <xdr:to>
      <xdr:col>18</xdr:col>
      <xdr:colOff>0</xdr:colOff>
      <xdr:row>81</xdr:row>
      <xdr:rowOff>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908602</xdr:colOff>
      <xdr:row>61</xdr:row>
      <xdr:rowOff>14495</xdr:rowOff>
    </xdr:from>
    <xdr:to>
      <xdr:col>18</xdr:col>
      <xdr:colOff>78270</xdr:colOff>
      <xdr:row>76</xdr:row>
      <xdr:rowOff>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214313</xdr:colOff>
      <xdr:row>13</xdr:row>
      <xdr:rowOff>142875</xdr:rowOff>
    </xdr:from>
    <xdr:to>
      <xdr:col>7</xdr:col>
      <xdr:colOff>781050</xdr:colOff>
      <xdr:row>27</xdr:row>
      <xdr:rowOff>76200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885825</xdr:colOff>
      <xdr:row>18</xdr:row>
      <xdr:rowOff>176212</xdr:rowOff>
    </xdr:from>
    <xdr:to>
      <xdr:col>9</xdr:col>
      <xdr:colOff>104775</xdr:colOff>
      <xdr:row>33</xdr:row>
      <xdr:rowOff>61912</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142875</xdr:colOff>
      <xdr:row>19</xdr:row>
      <xdr:rowOff>14287</xdr:rowOff>
    </xdr:from>
    <xdr:to>
      <xdr:col>16</xdr:col>
      <xdr:colOff>390525</xdr:colOff>
      <xdr:row>33</xdr:row>
      <xdr:rowOff>90487</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92</xdr:row>
      <xdr:rowOff>38100</xdr:rowOff>
    </xdr:from>
    <xdr:to>
      <xdr:col>10</xdr:col>
      <xdr:colOff>304800</xdr:colOff>
      <xdr:row>108</xdr:row>
      <xdr:rowOff>161925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451555</xdr:colOff>
      <xdr:row>59</xdr:row>
      <xdr:rowOff>98777</xdr:rowOff>
    </xdr:from>
    <xdr:to>
      <xdr:col>19</xdr:col>
      <xdr:colOff>119945</xdr:colOff>
      <xdr:row>118</xdr:row>
      <xdr:rowOff>70554</xdr:rowOff>
    </xdr:to>
    <xdr:graphicFrame macro="">
      <xdr:nvGraphicFramePr>
        <xdr:cNvPr id="4" name="Chart 3">
          <a:extLst>
            <a:ext uri="{FF2B5EF4-FFF2-40B4-BE49-F238E27FC236}">
              <a16:creationId xmlns:a16="http://schemas.microsoft.com/office/drawing/2014/main" id="{4A0393F9-9057-4442-B732-7A780DD52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236221</xdr:colOff>
      <xdr:row>33</xdr:row>
      <xdr:rowOff>28575</xdr:rowOff>
    </xdr:from>
    <xdr:to>
      <xdr:col>22</xdr:col>
      <xdr:colOff>9526</xdr:colOff>
      <xdr:row>46</xdr:row>
      <xdr:rowOff>57151</xdr:rowOff>
    </xdr:to>
    <xdr:graphicFrame macro="">
      <xdr:nvGraphicFramePr>
        <xdr:cNvPr id="2" name="Chart 1">
          <a:extLst>
            <a:ext uri="{FF2B5EF4-FFF2-40B4-BE49-F238E27FC236}">
              <a16:creationId xmlns:a16="http://schemas.microsoft.com/office/drawing/2014/main" id="{A1EEB47C-BB22-4B45-8C64-015FB50C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69</xdr:row>
      <xdr:rowOff>0</xdr:rowOff>
    </xdr:from>
    <xdr:to>
      <xdr:col>10</xdr:col>
      <xdr:colOff>636270</xdr:colOff>
      <xdr:row>79</xdr:row>
      <xdr:rowOff>9525</xdr:rowOff>
    </xdr:to>
    <xdr:sp macro="" textlink="">
      <xdr:nvSpPr>
        <xdr:cNvPr id="3" name="Rectangle 2">
          <a:extLst>
            <a:ext uri="{FF2B5EF4-FFF2-40B4-BE49-F238E27FC236}">
              <a16:creationId xmlns:a16="http://schemas.microsoft.com/office/drawing/2014/main" id="{5B941F8F-89A4-4A14-BDB2-07A4E5A04582}"/>
            </a:ext>
          </a:extLst>
        </xdr:cNvPr>
        <xdr:cNvSpPr/>
      </xdr:nvSpPr>
      <xdr:spPr>
        <a:xfrm>
          <a:off x="1530350" y="12363450"/>
          <a:ext cx="5608320" cy="178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69</xdr:row>
      <xdr:rowOff>0</xdr:rowOff>
    </xdr:from>
    <xdr:to>
      <xdr:col>10</xdr:col>
      <xdr:colOff>632460</xdr:colOff>
      <xdr:row>79</xdr:row>
      <xdr:rowOff>7620</xdr:rowOff>
    </xdr:to>
    <xdr:graphicFrame macro="">
      <xdr:nvGraphicFramePr>
        <xdr:cNvPr id="4" name="Chart 3">
          <a:extLst>
            <a:ext uri="{FF2B5EF4-FFF2-40B4-BE49-F238E27FC236}">
              <a16:creationId xmlns:a16="http://schemas.microsoft.com/office/drawing/2014/main" id="{06A5883A-CF0C-42F2-8E80-886133BCC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714375</xdr:colOff>
      <xdr:row>61</xdr:row>
      <xdr:rowOff>9525</xdr:rowOff>
    </xdr:from>
    <xdr:to>
      <xdr:col>19</xdr:col>
      <xdr:colOff>189895</xdr:colOff>
      <xdr:row>79</xdr:row>
      <xdr:rowOff>9096</xdr:rowOff>
    </xdr:to>
    <xdr:pic>
      <xdr:nvPicPr>
        <xdr:cNvPr id="5" name="Picture 4">
          <a:extLst>
            <a:ext uri="{FF2B5EF4-FFF2-40B4-BE49-F238E27FC236}">
              <a16:creationId xmlns:a16="http://schemas.microsoft.com/office/drawing/2014/main" id="{D56482F4-E634-43EB-BAA5-D29F50D4A51C}"/>
            </a:ext>
          </a:extLst>
        </xdr:cNvPr>
        <xdr:cNvPicPr>
          <a:picLocks noChangeAspect="1"/>
        </xdr:cNvPicPr>
      </xdr:nvPicPr>
      <xdr:blipFill>
        <a:blip xmlns:r="http://schemas.openxmlformats.org/officeDocument/2006/relationships" r:embed="rId3"/>
        <a:stretch>
          <a:fillRect/>
        </a:stretch>
      </xdr:blipFill>
      <xdr:spPr>
        <a:xfrm>
          <a:off x="7134225" y="10950575"/>
          <a:ext cx="5069870" cy="319997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0.07389</cdr:x>
      <cdr:y>0.56682</cdr:y>
    </cdr:from>
    <cdr:to>
      <cdr:x>0.96835</cdr:x>
      <cdr:y>0.56682</cdr:y>
    </cdr:to>
    <cdr:sp macro="" textlink="">
      <cdr:nvSpPr>
        <cdr:cNvPr id="7170" name="Line 1026"/>
        <cdr:cNvSpPr>
          <a:spLocks xmlns:a="http://schemas.openxmlformats.org/drawingml/2006/main" noChangeShapeType="1"/>
        </cdr:cNvSpPr>
      </cdr:nvSpPr>
      <cdr:spPr bwMode="auto">
        <a:xfrm xmlns:a="http://schemas.openxmlformats.org/drawingml/2006/main">
          <a:off x="853907" y="1939305"/>
          <a:ext cx="10336139"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30.xml><?xml version="1.0" encoding="utf-8"?>
<xdr:wsDr xmlns:xdr="http://schemas.openxmlformats.org/drawingml/2006/spreadsheetDrawing" xmlns:a="http://schemas.openxmlformats.org/drawingml/2006/main">
  <xdr:twoCellAnchor>
    <xdr:from>
      <xdr:col>3</xdr:col>
      <xdr:colOff>26671</xdr:colOff>
      <xdr:row>45</xdr:row>
      <xdr:rowOff>38099</xdr:rowOff>
    </xdr:from>
    <xdr:to>
      <xdr:col>22</xdr:col>
      <xdr:colOff>47626</xdr:colOff>
      <xdr:row>58</xdr:row>
      <xdr:rowOff>95250</xdr:rowOff>
    </xdr:to>
    <xdr:graphicFrame macro="">
      <xdr:nvGraphicFramePr>
        <xdr:cNvPr id="2" name="Chart 1">
          <a:extLst>
            <a:ext uri="{FF2B5EF4-FFF2-40B4-BE49-F238E27FC236}">
              <a16:creationId xmlns:a16="http://schemas.microsoft.com/office/drawing/2014/main" id="{A532001F-26CD-47A1-A557-95E1FF4F2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82</xdr:row>
      <xdr:rowOff>0</xdr:rowOff>
    </xdr:from>
    <xdr:to>
      <xdr:col>10</xdr:col>
      <xdr:colOff>636270</xdr:colOff>
      <xdr:row>92</xdr:row>
      <xdr:rowOff>9525</xdr:rowOff>
    </xdr:to>
    <xdr:sp macro="" textlink="">
      <xdr:nvSpPr>
        <xdr:cNvPr id="3" name="Rectangle 2">
          <a:extLst>
            <a:ext uri="{FF2B5EF4-FFF2-40B4-BE49-F238E27FC236}">
              <a16:creationId xmlns:a16="http://schemas.microsoft.com/office/drawing/2014/main" id="{8BD1A93F-265C-405E-BD71-69667BE3E539}"/>
            </a:ext>
          </a:extLst>
        </xdr:cNvPr>
        <xdr:cNvSpPr/>
      </xdr:nvSpPr>
      <xdr:spPr>
        <a:xfrm>
          <a:off x="1530350" y="15659100"/>
          <a:ext cx="5354320" cy="178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82</xdr:row>
      <xdr:rowOff>0</xdr:rowOff>
    </xdr:from>
    <xdr:to>
      <xdr:col>10</xdr:col>
      <xdr:colOff>632460</xdr:colOff>
      <xdr:row>92</xdr:row>
      <xdr:rowOff>7620</xdr:rowOff>
    </xdr:to>
    <xdr:graphicFrame macro="">
      <xdr:nvGraphicFramePr>
        <xdr:cNvPr id="4" name="Chart 3">
          <a:extLst>
            <a:ext uri="{FF2B5EF4-FFF2-40B4-BE49-F238E27FC236}">
              <a16:creationId xmlns:a16="http://schemas.microsoft.com/office/drawing/2014/main" id="{10BC745E-EE5C-4E78-A9FC-C0C594F56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257175</xdr:colOff>
      <xdr:row>73</xdr:row>
      <xdr:rowOff>57150</xdr:rowOff>
    </xdr:from>
    <xdr:to>
      <xdr:col>20</xdr:col>
      <xdr:colOff>561370</xdr:colOff>
      <xdr:row>91</xdr:row>
      <xdr:rowOff>56721</xdr:rowOff>
    </xdr:to>
    <xdr:pic>
      <xdr:nvPicPr>
        <xdr:cNvPr id="5" name="Picture 4">
          <a:extLst>
            <a:ext uri="{FF2B5EF4-FFF2-40B4-BE49-F238E27FC236}">
              <a16:creationId xmlns:a16="http://schemas.microsoft.com/office/drawing/2014/main" id="{53080963-5684-4388-B58B-D23414FAF711}"/>
            </a:ext>
          </a:extLst>
        </xdr:cNvPr>
        <xdr:cNvPicPr>
          <a:picLocks noChangeAspect="1"/>
        </xdr:cNvPicPr>
      </xdr:nvPicPr>
      <xdr:blipFill>
        <a:blip xmlns:r="http://schemas.openxmlformats.org/officeDocument/2006/relationships" r:embed="rId3"/>
        <a:stretch>
          <a:fillRect/>
        </a:stretch>
      </xdr:blipFill>
      <xdr:spPr>
        <a:xfrm>
          <a:off x="7686675" y="14116050"/>
          <a:ext cx="5053995" cy="319997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504825</xdr:colOff>
      <xdr:row>54</xdr:row>
      <xdr:rowOff>0</xdr:rowOff>
    </xdr:from>
    <xdr:to>
      <xdr:col>21</xdr:col>
      <xdr:colOff>0</xdr:colOff>
      <xdr:row>54</xdr:row>
      <xdr:rowOff>0</xdr:rowOff>
    </xdr:to>
    <xdr:graphicFrame macro="">
      <xdr:nvGraphicFramePr>
        <xdr:cNvPr id="2" name="Chart 1">
          <a:extLst>
            <a:ext uri="{FF2B5EF4-FFF2-40B4-BE49-F238E27FC236}">
              <a16:creationId xmlns:a16="http://schemas.microsoft.com/office/drawing/2014/main" id="{B189D51B-88D8-4EC9-9FD3-22C332008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54</xdr:row>
      <xdr:rowOff>0</xdr:rowOff>
    </xdr:from>
    <xdr:to>
      <xdr:col>10</xdr:col>
      <xdr:colOff>285750</xdr:colOff>
      <xdr:row>54</xdr:row>
      <xdr:rowOff>0</xdr:rowOff>
    </xdr:to>
    <xdr:graphicFrame macro="">
      <xdr:nvGraphicFramePr>
        <xdr:cNvPr id="3" name="Chart 1">
          <a:extLst>
            <a:ext uri="{FF2B5EF4-FFF2-40B4-BE49-F238E27FC236}">
              <a16:creationId xmlns:a16="http://schemas.microsoft.com/office/drawing/2014/main" id="{42B11B65-81D4-4FE5-9FE2-9615BC81E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54</xdr:row>
      <xdr:rowOff>0</xdr:rowOff>
    </xdr:from>
    <xdr:to>
      <xdr:col>15</xdr:col>
      <xdr:colOff>561975</xdr:colOff>
      <xdr:row>54</xdr:row>
      <xdr:rowOff>0</xdr:rowOff>
    </xdr:to>
    <xdr:graphicFrame macro="">
      <xdr:nvGraphicFramePr>
        <xdr:cNvPr id="4" name="Chart 3">
          <a:extLst>
            <a:ext uri="{FF2B5EF4-FFF2-40B4-BE49-F238E27FC236}">
              <a16:creationId xmlns:a16="http://schemas.microsoft.com/office/drawing/2014/main" id="{211247FF-6A73-44D2-8DCC-FBDBA4974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37</xdr:row>
      <xdr:rowOff>0</xdr:rowOff>
    </xdr:from>
    <xdr:to>
      <xdr:col>21</xdr:col>
      <xdr:colOff>0</xdr:colOff>
      <xdr:row>49</xdr:row>
      <xdr:rowOff>66675</xdr:rowOff>
    </xdr:to>
    <xdr:graphicFrame macro="">
      <xdr:nvGraphicFramePr>
        <xdr:cNvPr id="5" name="Chart 5">
          <a:extLst>
            <a:ext uri="{FF2B5EF4-FFF2-40B4-BE49-F238E27FC236}">
              <a16:creationId xmlns:a16="http://schemas.microsoft.com/office/drawing/2014/main" id="{32E0EBB6-7A90-451E-8324-DDE837B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72</xdr:row>
      <xdr:rowOff>0</xdr:rowOff>
    </xdr:from>
    <xdr:to>
      <xdr:col>9</xdr:col>
      <xdr:colOff>69661</xdr:colOff>
      <xdr:row>80</xdr:row>
      <xdr:rowOff>106584</xdr:rowOff>
    </xdr:to>
    <xdr:sp macro="" textlink="">
      <xdr:nvSpPr>
        <xdr:cNvPr id="6" name="Rectangle 5">
          <a:extLst>
            <a:ext uri="{FF2B5EF4-FFF2-40B4-BE49-F238E27FC236}">
              <a16:creationId xmlns:a16="http://schemas.microsoft.com/office/drawing/2014/main" id="{FFB02E51-9F77-4472-8B25-23C836AB93C1}"/>
            </a:ext>
          </a:extLst>
        </xdr:cNvPr>
        <xdr:cNvSpPr/>
      </xdr:nvSpPr>
      <xdr:spPr>
        <a:xfrm>
          <a:off x="1504950" y="13068300"/>
          <a:ext cx="4521011" cy="15797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72</xdr:row>
      <xdr:rowOff>0</xdr:rowOff>
    </xdr:from>
    <xdr:to>
      <xdr:col>9</xdr:col>
      <xdr:colOff>83820</xdr:colOff>
      <xdr:row>80</xdr:row>
      <xdr:rowOff>129539</xdr:rowOff>
    </xdr:to>
    <xdr:graphicFrame macro="">
      <xdr:nvGraphicFramePr>
        <xdr:cNvPr id="7" name="Chart 5">
          <a:extLst>
            <a:ext uri="{FF2B5EF4-FFF2-40B4-BE49-F238E27FC236}">
              <a16:creationId xmlns:a16="http://schemas.microsoft.com/office/drawing/2014/main" id="{92F73457-36DF-4D74-B01F-DB6456A9C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56</xdr:row>
      <xdr:rowOff>0</xdr:rowOff>
    </xdr:from>
    <xdr:to>
      <xdr:col>16</xdr:col>
      <xdr:colOff>142875</xdr:colOff>
      <xdr:row>56</xdr:row>
      <xdr:rowOff>0</xdr:rowOff>
    </xdr:to>
    <xdr:graphicFrame macro="">
      <xdr:nvGraphicFramePr>
        <xdr:cNvPr id="2"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24</xdr:row>
      <xdr:rowOff>66675</xdr:rowOff>
    </xdr:from>
    <xdr:to>
      <xdr:col>15</xdr:col>
      <xdr:colOff>28575</xdr:colOff>
      <xdr:row>49</xdr:row>
      <xdr:rowOff>47625</xdr:rowOff>
    </xdr:to>
    <xdr:graphicFrame macro="">
      <xdr:nvGraphicFramePr>
        <xdr:cNvPr id="3" name="Chart 4">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114300</xdr:colOff>
      <xdr:row>16</xdr:row>
      <xdr:rowOff>76200</xdr:rowOff>
    </xdr:from>
    <xdr:to>
      <xdr:col>3</xdr:col>
      <xdr:colOff>600075</xdr:colOff>
      <xdr:row>18</xdr:row>
      <xdr:rowOff>53340</xdr:rowOff>
    </xdr:to>
    <xdr:sp macro="" textlink="">
      <xdr:nvSpPr>
        <xdr:cNvPr id="2" name="Text Box 3">
          <a:extLst>
            <a:ext uri="{FF2B5EF4-FFF2-40B4-BE49-F238E27FC236}">
              <a16:creationId xmlns:a16="http://schemas.microsoft.com/office/drawing/2014/main" id="{00000000-0008-0000-1E00-000002000000}"/>
            </a:ext>
          </a:extLst>
        </xdr:cNvPr>
        <xdr:cNvSpPr txBox="1">
          <a:spLocks noChangeArrowheads="1"/>
        </xdr:cNvSpPr>
      </xdr:nvSpPr>
      <xdr:spPr bwMode="auto">
        <a:xfrm>
          <a:off x="1644650" y="3162300"/>
          <a:ext cx="485775" cy="345440"/>
        </a:xfrm>
        <a:prstGeom prst="rect">
          <a:avLst/>
        </a:prstGeom>
        <a:noFill/>
        <a:ln w="9525">
          <a:noFill/>
          <a:miter lim="800000"/>
          <a:headEnd/>
          <a:tailEnd/>
        </a:ln>
      </xdr:spPr>
    </xdr:sp>
    <xdr:clientData/>
  </xdr:twoCellAnchor>
  <xdr:twoCellAnchor>
    <xdr:from>
      <xdr:col>2</xdr:col>
      <xdr:colOff>219076</xdr:colOff>
      <xdr:row>24</xdr:row>
      <xdr:rowOff>38100</xdr:rowOff>
    </xdr:from>
    <xdr:to>
      <xdr:col>25</xdr:col>
      <xdr:colOff>504826</xdr:colOff>
      <xdr:row>41</xdr:row>
      <xdr:rowOff>57149</xdr:rowOff>
    </xdr:to>
    <xdr:graphicFrame macro="">
      <xdr:nvGraphicFramePr>
        <xdr:cNvPr id="3" name="Chart 5">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95250</xdr:colOff>
      <xdr:row>26</xdr:row>
      <xdr:rowOff>70485</xdr:rowOff>
    </xdr:from>
    <xdr:ext cx="25400" cy="302865"/>
    <xdr:sp macro="" textlink="">
      <xdr:nvSpPr>
        <xdr:cNvPr id="4" name="Text Box 6">
          <a:extLst>
            <a:ext uri="{FF2B5EF4-FFF2-40B4-BE49-F238E27FC236}">
              <a16:creationId xmlns:a16="http://schemas.microsoft.com/office/drawing/2014/main" id="{00000000-0008-0000-1E00-000004000000}"/>
            </a:ext>
          </a:extLst>
        </xdr:cNvPr>
        <xdr:cNvSpPr txBox="1">
          <a:spLocks noChangeArrowheads="1"/>
        </xdr:cNvSpPr>
      </xdr:nvSpPr>
      <xdr:spPr bwMode="auto">
        <a:xfrm>
          <a:off x="12446000" y="4953635"/>
          <a:ext cx="25400" cy="302865"/>
        </a:xfrm>
        <a:prstGeom prst="rect">
          <a:avLst/>
        </a:prstGeom>
        <a:noFill/>
        <a:ln w="9525">
          <a:noFill/>
          <a:miter lim="800000"/>
          <a:headEnd/>
          <a:tailEnd/>
        </a:ln>
      </xdr:spPr>
      <xdr:txBody>
        <a:bodyPr wrap="none" lIns="18288" tIns="22860" rIns="0" bIns="0" anchor="t" upright="1">
          <a:spAutoFit/>
        </a:bodyPr>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oneCellAnchor>
  <xdr:twoCellAnchor>
    <xdr:from>
      <xdr:col>3</xdr:col>
      <xdr:colOff>7620</xdr:colOff>
      <xdr:row>81</xdr:row>
      <xdr:rowOff>22860</xdr:rowOff>
    </xdr:from>
    <xdr:to>
      <xdr:col>13</xdr:col>
      <xdr:colOff>22859</xdr:colOff>
      <xdr:row>95</xdr:row>
      <xdr:rowOff>167639</xdr:rowOff>
    </xdr:to>
    <xdr:graphicFrame macro="">
      <xdr:nvGraphicFramePr>
        <xdr:cNvPr id="5" name="Chart 5">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114300</xdr:colOff>
      <xdr:row>17</xdr:row>
      <xdr:rowOff>76200</xdr:rowOff>
    </xdr:from>
    <xdr:to>
      <xdr:col>3</xdr:col>
      <xdr:colOff>600075</xdr:colOff>
      <xdr:row>19</xdr:row>
      <xdr:rowOff>57150</xdr:rowOff>
    </xdr:to>
    <xdr:sp macro="" textlink="">
      <xdr:nvSpPr>
        <xdr:cNvPr id="6" name="Text Box 3">
          <a:extLst>
            <a:ext uri="{FF2B5EF4-FFF2-40B4-BE49-F238E27FC236}">
              <a16:creationId xmlns:a16="http://schemas.microsoft.com/office/drawing/2014/main" id="{00000000-0008-0000-1E00-000006000000}"/>
            </a:ext>
          </a:extLst>
        </xdr:cNvPr>
        <xdr:cNvSpPr txBox="1">
          <a:spLocks noChangeArrowheads="1"/>
        </xdr:cNvSpPr>
      </xdr:nvSpPr>
      <xdr:spPr bwMode="auto">
        <a:xfrm>
          <a:off x="1644650" y="3346450"/>
          <a:ext cx="485775" cy="349250"/>
        </a:xfrm>
        <a:prstGeom prst="rect">
          <a:avLst/>
        </a:prstGeom>
        <a:noFill/>
        <a:ln w="9525">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236221</xdr:colOff>
      <xdr:row>28</xdr:row>
      <xdr:rowOff>66675</xdr:rowOff>
    </xdr:from>
    <xdr:to>
      <xdr:col>18</xdr:col>
      <xdr:colOff>9525</xdr:colOff>
      <xdr:row>47</xdr:row>
      <xdr:rowOff>59054</xdr:rowOff>
    </xdr:to>
    <xdr:graphicFrame macro="">
      <xdr:nvGraphicFramePr>
        <xdr:cNvPr id="2" name="Chart 4">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13</xdr:col>
      <xdr:colOff>533400</xdr:colOff>
      <xdr:row>67</xdr:row>
      <xdr:rowOff>104140</xdr:rowOff>
    </xdr:to>
    <xdr:sp macro="" textlink="">
      <xdr:nvSpPr>
        <xdr:cNvPr id="3" name="Rectangle 2">
          <a:extLst>
            <a:ext uri="{FF2B5EF4-FFF2-40B4-BE49-F238E27FC236}">
              <a16:creationId xmlns:a16="http://schemas.microsoft.com/office/drawing/2014/main" id="{00000000-0008-0000-1F00-000003000000}"/>
            </a:ext>
          </a:extLst>
        </xdr:cNvPr>
        <xdr:cNvSpPr/>
      </xdr:nvSpPr>
      <xdr:spPr>
        <a:xfrm>
          <a:off x="1530350" y="10318750"/>
          <a:ext cx="7797800" cy="21297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13</xdr:col>
      <xdr:colOff>556260</xdr:colOff>
      <xdr:row>67</xdr:row>
      <xdr:rowOff>121920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6.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7.xml><?xml version="1.0" encoding="utf-8"?>
<xdr:wsDr xmlns:xdr="http://schemas.openxmlformats.org/drawingml/2006/spreadsheetDrawing" xmlns:a="http://schemas.openxmlformats.org/drawingml/2006/main">
  <xdr:twoCellAnchor>
    <xdr:from>
      <xdr:col>2</xdr:col>
      <xdr:colOff>247650</xdr:colOff>
      <xdr:row>55</xdr:row>
      <xdr:rowOff>87630</xdr:rowOff>
    </xdr:from>
    <xdr:to>
      <xdr:col>12</xdr:col>
      <xdr:colOff>464820</xdr:colOff>
      <xdr:row>67</xdr:row>
      <xdr:rowOff>91440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244474</xdr:colOff>
      <xdr:row>65</xdr:row>
      <xdr:rowOff>12700</xdr:rowOff>
    </xdr:from>
    <xdr:to>
      <xdr:col>23</xdr:col>
      <xdr:colOff>15875</xdr:colOff>
      <xdr:row>83</xdr:row>
      <xdr:rowOff>12700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134</xdr:row>
      <xdr:rowOff>15240</xdr:rowOff>
    </xdr:from>
    <xdr:to>
      <xdr:col>11</xdr:col>
      <xdr:colOff>190500</xdr:colOff>
      <xdr:row>148</xdr:row>
      <xdr:rowOff>7620</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647699</xdr:colOff>
      <xdr:row>44</xdr:row>
      <xdr:rowOff>128587</xdr:rowOff>
    </xdr:from>
    <xdr:to>
      <xdr:col>22</xdr:col>
      <xdr:colOff>177799</xdr:colOff>
      <xdr:row>63</xdr:row>
      <xdr:rowOff>46037</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520700</xdr:colOff>
      <xdr:row>121</xdr:row>
      <xdr:rowOff>155575</xdr:rowOff>
    </xdr:from>
    <xdr:to>
      <xdr:col>17</xdr:col>
      <xdr:colOff>114300</xdr:colOff>
      <xdr:row>137</xdr:row>
      <xdr:rowOff>53975</xdr:rowOff>
    </xdr:to>
    <xdr:graphicFrame macro="">
      <xdr:nvGraphicFramePr>
        <xdr:cNvPr id="5" name="Chart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453390</xdr:colOff>
      <xdr:row>22</xdr:row>
      <xdr:rowOff>114300</xdr:rowOff>
    </xdr:from>
    <xdr:to>
      <xdr:col>21</xdr:col>
      <xdr:colOff>333375</xdr:colOff>
      <xdr:row>37</xdr:row>
      <xdr:rowOff>53340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230363</xdr:colOff>
      <xdr:row>9</xdr:row>
      <xdr:rowOff>58560</xdr:rowOff>
    </xdr:from>
    <xdr:to>
      <xdr:col>28</xdr:col>
      <xdr:colOff>163688</xdr:colOff>
      <xdr:row>28</xdr:row>
      <xdr:rowOff>71612</xdr:rowOff>
    </xdr:to>
    <xdr:graphicFrame macro="">
      <xdr:nvGraphicFramePr>
        <xdr:cNvPr id="2" name="Chart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40</xdr:row>
      <xdr:rowOff>0</xdr:rowOff>
    </xdr:from>
    <xdr:to>
      <xdr:col>17</xdr:col>
      <xdr:colOff>120650</xdr:colOff>
      <xdr:row>57</xdr:row>
      <xdr:rowOff>179070</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3251200" y="7175500"/>
          <a:ext cx="6407150" cy="33096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40</xdr:row>
      <xdr:rowOff>0</xdr:rowOff>
    </xdr:from>
    <xdr:to>
      <xdr:col>17</xdr:col>
      <xdr:colOff>129540</xdr:colOff>
      <xdr:row>57</xdr:row>
      <xdr:rowOff>167640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200024</xdr:colOff>
      <xdr:row>16</xdr:row>
      <xdr:rowOff>152400</xdr:rowOff>
    </xdr:from>
    <xdr:to>
      <xdr:col>20</xdr:col>
      <xdr:colOff>571499</xdr:colOff>
      <xdr:row>33</xdr:row>
      <xdr:rowOff>9525</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226060</xdr:colOff>
      <xdr:row>25</xdr:row>
      <xdr:rowOff>19051</xdr:rowOff>
    </xdr:from>
    <xdr:to>
      <xdr:col>24</xdr:col>
      <xdr:colOff>384175</xdr:colOff>
      <xdr:row>39</xdr:row>
      <xdr:rowOff>139700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203200</xdr:colOff>
      <xdr:row>60</xdr:row>
      <xdr:rowOff>104776</xdr:rowOff>
    </xdr:from>
    <xdr:to>
      <xdr:col>18</xdr:col>
      <xdr:colOff>120650</xdr:colOff>
      <xdr:row>81</xdr:row>
      <xdr:rowOff>173038</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9525</xdr:colOff>
      <xdr:row>13</xdr:row>
      <xdr:rowOff>76200</xdr:rowOff>
    </xdr:from>
    <xdr:to>
      <xdr:col>17</xdr:col>
      <xdr:colOff>266700</xdr:colOff>
      <xdr:row>27</xdr:row>
      <xdr:rowOff>123824</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19050</xdr:rowOff>
    </xdr:from>
    <xdr:to>
      <xdr:col>4</xdr:col>
      <xdr:colOff>432434</xdr:colOff>
      <xdr:row>77</xdr:row>
      <xdr:rowOff>116204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205740</xdr:colOff>
      <xdr:row>16</xdr:row>
      <xdr:rowOff>7620</xdr:rowOff>
    </xdr:from>
    <xdr:to>
      <xdr:col>9</xdr:col>
      <xdr:colOff>365760</xdr:colOff>
      <xdr:row>33</xdr:row>
      <xdr:rowOff>7620</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15</xdr:row>
      <xdr:rowOff>114300</xdr:rowOff>
    </xdr:from>
    <xdr:to>
      <xdr:col>12</xdr:col>
      <xdr:colOff>276225</xdr:colOff>
      <xdr:row>32</xdr:row>
      <xdr:rowOff>104776</xdr:rowOff>
    </xdr:to>
    <xdr:graphicFrame macro="">
      <xdr:nvGraphicFramePr>
        <xdr:cNvPr id="3" name="Chart 1">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455296</xdr:colOff>
      <xdr:row>15</xdr:row>
      <xdr:rowOff>112395</xdr:rowOff>
    </xdr:from>
    <xdr:to>
      <xdr:col>23</xdr:col>
      <xdr:colOff>152401</xdr:colOff>
      <xdr:row>32</xdr:row>
      <xdr:rowOff>142875</xdr:rowOff>
    </xdr:to>
    <xdr:graphicFrame macro="">
      <xdr:nvGraphicFramePr>
        <xdr:cNvPr id="4" name="Chart 2">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260350</xdr:colOff>
      <xdr:row>16</xdr:row>
      <xdr:rowOff>12700</xdr:rowOff>
    </xdr:from>
    <xdr:to>
      <xdr:col>29</xdr:col>
      <xdr:colOff>196849</xdr:colOff>
      <xdr:row>31</xdr:row>
      <xdr:rowOff>88900</xdr:rowOff>
    </xdr:to>
    <xdr:graphicFrame macro="">
      <xdr:nvGraphicFramePr>
        <xdr:cNvPr id="5" name="Chart 4">
          <a:extLst>
            <a:ext uri="{FF2B5EF4-FFF2-40B4-BE49-F238E27FC236}">
              <a16:creationId xmlns:a16="http://schemas.microsoft.com/office/drawing/2014/main" id="{4E919489-3A0A-4D0F-A994-E1CF7B726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1905</xdr:colOff>
      <xdr:row>11</xdr:row>
      <xdr:rowOff>30481</xdr:rowOff>
    </xdr:from>
    <xdr:to>
      <xdr:col>26</xdr:col>
      <xdr:colOff>123825</xdr:colOff>
      <xdr:row>27</xdr:row>
      <xdr:rowOff>9526</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110</xdr:row>
      <xdr:rowOff>137160</xdr:rowOff>
    </xdr:from>
    <xdr:to>
      <xdr:col>13</xdr:col>
      <xdr:colOff>396240</xdr:colOff>
      <xdr:row>126</xdr:row>
      <xdr:rowOff>167640</xdr:rowOff>
    </xdr:to>
    <xdr:sp macro="" textlink="">
      <xdr:nvSpPr>
        <xdr:cNvPr id="3" name="Rectangle 1">
          <a:extLst>
            <a:ext uri="{FF2B5EF4-FFF2-40B4-BE49-F238E27FC236}">
              <a16:creationId xmlns:a16="http://schemas.microsoft.com/office/drawing/2014/main" id="{00000000-0008-0000-2700-000003000000}"/>
            </a:ext>
          </a:extLst>
        </xdr:cNvPr>
        <xdr:cNvSpPr>
          <a:spLocks noChangeArrowheads="1"/>
        </xdr:cNvSpPr>
      </xdr:nvSpPr>
      <xdr:spPr bwMode="auto">
        <a:xfrm>
          <a:off x="702310" y="19949160"/>
          <a:ext cx="6691630" cy="28752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7620</xdr:colOff>
      <xdr:row>30</xdr:row>
      <xdr:rowOff>0</xdr:rowOff>
    </xdr:from>
    <xdr:to>
      <xdr:col>16</xdr:col>
      <xdr:colOff>438150</xdr:colOff>
      <xdr:row>46</xdr:row>
      <xdr:rowOff>68580</xdr:rowOff>
    </xdr:to>
    <xdr:graphicFrame macro="">
      <xdr:nvGraphicFramePr>
        <xdr:cNvPr id="2" name="Chart 4">
          <a:extLst>
            <a:ext uri="{FF2B5EF4-FFF2-40B4-BE49-F238E27FC236}">
              <a16:creationId xmlns:a16="http://schemas.microsoft.com/office/drawing/2014/main" id="{F62650B0-61A6-4F10-B8F4-E28DDC84F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11</xdr:col>
      <xdr:colOff>464820</xdr:colOff>
      <xdr:row>66</xdr:row>
      <xdr:rowOff>106045</xdr:rowOff>
    </xdr:to>
    <xdr:sp macro="" textlink="">
      <xdr:nvSpPr>
        <xdr:cNvPr id="3" name="Rectangle 2">
          <a:extLst>
            <a:ext uri="{FF2B5EF4-FFF2-40B4-BE49-F238E27FC236}">
              <a16:creationId xmlns:a16="http://schemas.microsoft.com/office/drawing/2014/main" id="{49688BB4-36CE-40A3-B368-23BB161C1A61}"/>
            </a:ext>
          </a:extLst>
        </xdr:cNvPr>
        <xdr:cNvSpPr/>
      </xdr:nvSpPr>
      <xdr:spPr>
        <a:xfrm>
          <a:off x="1530350" y="7670800"/>
          <a:ext cx="6014720" cy="1947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11</xdr:col>
      <xdr:colOff>487680</xdr:colOff>
      <xdr:row>66</xdr:row>
      <xdr:rowOff>137160</xdr:rowOff>
    </xdr:to>
    <xdr:graphicFrame macro="">
      <xdr:nvGraphicFramePr>
        <xdr:cNvPr id="4" name="Chart 4">
          <a:extLst>
            <a:ext uri="{FF2B5EF4-FFF2-40B4-BE49-F238E27FC236}">
              <a16:creationId xmlns:a16="http://schemas.microsoft.com/office/drawing/2014/main" id="{4EA88956-1628-4E14-827E-5735D7AFB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7.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0</xdr:colOff>
      <xdr:row>25</xdr:row>
      <xdr:rowOff>0</xdr:rowOff>
    </xdr:from>
    <xdr:to>
      <xdr:col>13</xdr:col>
      <xdr:colOff>464820</xdr:colOff>
      <xdr:row>41</xdr:row>
      <xdr:rowOff>85725</xdr:rowOff>
    </xdr:to>
    <xdr:graphicFrame macro="">
      <xdr:nvGraphicFramePr>
        <xdr:cNvPr id="2" name="Chart 1">
          <a:extLst>
            <a:ext uri="{FF2B5EF4-FFF2-40B4-BE49-F238E27FC236}">
              <a16:creationId xmlns:a16="http://schemas.microsoft.com/office/drawing/2014/main" id="{C310F0AE-6DCA-4374-96C1-D13187BF1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0</xdr:colOff>
      <xdr:row>40</xdr:row>
      <xdr:rowOff>76200</xdr:rowOff>
    </xdr:from>
    <xdr:to>
      <xdr:col>20</xdr:col>
      <xdr:colOff>266700</xdr:colOff>
      <xdr:row>62</xdr:row>
      <xdr:rowOff>91440</xdr:rowOff>
    </xdr:to>
    <xdr:graphicFrame macro="">
      <xdr:nvGraphicFramePr>
        <xdr:cNvPr id="2" name="Chart 1">
          <a:extLst>
            <a:ext uri="{FF2B5EF4-FFF2-40B4-BE49-F238E27FC236}">
              <a16:creationId xmlns:a16="http://schemas.microsoft.com/office/drawing/2014/main" id="{3AB35F11-68E2-4DDF-9461-8946A6CED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89</xdr:row>
      <xdr:rowOff>0</xdr:rowOff>
    </xdr:from>
    <xdr:to>
      <xdr:col>11</xdr:col>
      <xdr:colOff>389792</xdr:colOff>
      <xdr:row>101</xdr:row>
      <xdr:rowOff>22860</xdr:rowOff>
    </xdr:to>
    <xdr:sp macro="" textlink="">
      <xdr:nvSpPr>
        <xdr:cNvPr id="3" name="Rectangle 2">
          <a:extLst>
            <a:ext uri="{FF2B5EF4-FFF2-40B4-BE49-F238E27FC236}">
              <a16:creationId xmlns:a16="http://schemas.microsoft.com/office/drawing/2014/main" id="{0ED19B1B-00BE-44A0-8952-321E82F3A381}"/>
            </a:ext>
          </a:extLst>
        </xdr:cNvPr>
        <xdr:cNvSpPr/>
      </xdr:nvSpPr>
      <xdr:spPr>
        <a:xfrm>
          <a:off x="1543050" y="17056100"/>
          <a:ext cx="6517542" cy="2232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0.07514</cdr:x>
      <cdr:y>0.70708</cdr:y>
    </cdr:from>
    <cdr:to>
      <cdr:x>0.99756</cdr:x>
      <cdr:y>0.70918</cdr:y>
    </cdr:to>
    <cdr:sp macro="" textlink="">
      <cdr:nvSpPr>
        <cdr:cNvPr id="10241" name="Line 1"/>
        <cdr:cNvSpPr>
          <a:spLocks xmlns:a="http://schemas.openxmlformats.org/drawingml/2006/main" noChangeShapeType="1"/>
        </cdr:cNvSpPr>
      </cdr:nvSpPr>
      <cdr:spPr bwMode="auto">
        <a:xfrm xmlns:a="http://schemas.openxmlformats.org/drawingml/2006/main" flipV="1">
          <a:off x="891057" y="2667045"/>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50.xml><?xml version="1.0" encoding="utf-8"?>
<xdr:wsDr xmlns:xdr="http://schemas.openxmlformats.org/drawingml/2006/spreadsheetDrawing" xmlns:a="http://schemas.openxmlformats.org/drawingml/2006/main">
  <xdr:twoCellAnchor>
    <xdr:from>
      <xdr:col>2</xdr:col>
      <xdr:colOff>587374</xdr:colOff>
      <xdr:row>10</xdr:row>
      <xdr:rowOff>171450</xdr:rowOff>
    </xdr:from>
    <xdr:to>
      <xdr:col>15</xdr:col>
      <xdr:colOff>98778</xdr:colOff>
      <xdr:row>25</xdr:row>
      <xdr:rowOff>152400</xdr:rowOff>
    </xdr:to>
    <xdr:graphicFrame macro="">
      <xdr:nvGraphicFramePr>
        <xdr:cNvPr id="2" name="Chart 1">
          <a:extLst>
            <a:ext uri="{FF2B5EF4-FFF2-40B4-BE49-F238E27FC236}">
              <a16:creationId xmlns:a16="http://schemas.microsoft.com/office/drawing/2014/main" id="{5C869AFD-9203-41ED-9FFE-5E4440137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13335</xdr:colOff>
      <xdr:row>26</xdr:row>
      <xdr:rowOff>74295</xdr:rowOff>
    </xdr:from>
    <xdr:to>
      <xdr:col>24</xdr:col>
      <xdr:colOff>19050</xdr:colOff>
      <xdr:row>41</xdr:row>
      <xdr:rowOff>173355</xdr:rowOff>
    </xdr:to>
    <xdr:graphicFrame macro="">
      <xdr:nvGraphicFramePr>
        <xdr:cNvPr id="2" name="Chart 2">
          <a:extLst>
            <a:ext uri="{FF2B5EF4-FFF2-40B4-BE49-F238E27FC236}">
              <a16:creationId xmlns:a16="http://schemas.microsoft.com/office/drawing/2014/main" id="{1D9A74A5-BC4C-4153-B0ED-FD71ECD36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a:extLst>
            <a:ext uri="{FF2B5EF4-FFF2-40B4-BE49-F238E27FC236}">
              <a16:creationId xmlns:a16="http://schemas.microsoft.com/office/drawing/2014/main" id="{F85A7C77-ADD9-41F2-A2D9-FAB631B92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71CCAFEB-7424-403B-8851-08960934F6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53.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E138279-B9FA-4066-A8D4-7C65FA64A36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54.xml><?xml version="1.0" encoding="utf-8"?>
<xdr:wsDr xmlns:xdr="http://schemas.openxmlformats.org/drawingml/2006/spreadsheetDrawing" xmlns:a="http://schemas.openxmlformats.org/drawingml/2006/main">
  <xdr:twoCellAnchor>
    <xdr:from>
      <xdr:col>3</xdr:col>
      <xdr:colOff>619820</xdr:colOff>
      <xdr:row>14</xdr:row>
      <xdr:rowOff>25762</xdr:rowOff>
    </xdr:from>
    <xdr:to>
      <xdr:col>6</xdr:col>
      <xdr:colOff>484293</xdr:colOff>
      <xdr:row>27</xdr:row>
      <xdr:rowOff>175259</xdr:rowOff>
    </xdr:to>
    <xdr:graphicFrame macro="">
      <xdr:nvGraphicFramePr>
        <xdr:cNvPr id="2" name="Chart 3">
          <a:extLst>
            <a:ext uri="{FF2B5EF4-FFF2-40B4-BE49-F238E27FC236}">
              <a16:creationId xmlns:a16="http://schemas.microsoft.com/office/drawing/2014/main" id="{8EB23F92-67BE-436F-B0CE-8557EF175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18627</xdr:colOff>
      <xdr:row>13</xdr:row>
      <xdr:rowOff>39158</xdr:rowOff>
    </xdr:from>
    <xdr:to>
      <xdr:col>21</xdr:col>
      <xdr:colOff>151070</xdr:colOff>
      <xdr:row>27</xdr:row>
      <xdr:rowOff>59115</xdr:rowOff>
    </xdr:to>
    <xdr:graphicFrame macro="">
      <xdr:nvGraphicFramePr>
        <xdr:cNvPr id="3" name="Chart 2">
          <a:extLst>
            <a:ext uri="{FF2B5EF4-FFF2-40B4-BE49-F238E27FC236}">
              <a16:creationId xmlns:a16="http://schemas.microsoft.com/office/drawing/2014/main" id="{1DF182D0-E9C4-4996-9B44-734A30A33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129540</xdr:colOff>
      <xdr:row>28</xdr:row>
      <xdr:rowOff>60960</xdr:rowOff>
    </xdr:from>
    <xdr:to>
      <xdr:col>20</xdr:col>
      <xdr:colOff>579120</xdr:colOff>
      <xdr:row>43</xdr:row>
      <xdr:rowOff>83820</xdr:rowOff>
    </xdr:to>
    <xdr:graphicFrame macro="">
      <xdr:nvGraphicFramePr>
        <xdr:cNvPr id="2" name="Chart 1">
          <a:extLst>
            <a:ext uri="{FF2B5EF4-FFF2-40B4-BE49-F238E27FC236}">
              <a16:creationId xmlns:a16="http://schemas.microsoft.com/office/drawing/2014/main" id="{03D14B78-09F1-4345-A25C-C73471737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15</xdr:col>
      <xdr:colOff>0</xdr:colOff>
      <xdr:row>81</xdr:row>
      <xdr:rowOff>11723</xdr:rowOff>
    </xdr:to>
    <xdr:sp macro="" textlink="">
      <xdr:nvSpPr>
        <xdr:cNvPr id="3" name="Rectangle 2">
          <a:extLst>
            <a:ext uri="{FF2B5EF4-FFF2-40B4-BE49-F238E27FC236}">
              <a16:creationId xmlns:a16="http://schemas.microsoft.com/office/drawing/2014/main" id="{09A470F7-7E2A-42A0-AE7E-FB4203EAE52C}"/>
            </a:ext>
          </a:extLst>
        </xdr:cNvPr>
        <xdr:cNvSpPr/>
      </xdr:nvSpPr>
      <xdr:spPr>
        <a:xfrm>
          <a:off x="3536950" y="11131550"/>
          <a:ext cx="6096000" cy="28692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65</xdr:row>
      <xdr:rowOff>0</xdr:rowOff>
    </xdr:from>
    <xdr:to>
      <xdr:col>15</xdr:col>
      <xdr:colOff>22860</xdr:colOff>
      <xdr:row>81</xdr:row>
      <xdr:rowOff>22860</xdr:rowOff>
    </xdr:to>
    <xdr:graphicFrame macro="">
      <xdr:nvGraphicFramePr>
        <xdr:cNvPr id="4" name="Chart 3">
          <a:extLst>
            <a:ext uri="{FF2B5EF4-FFF2-40B4-BE49-F238E27FC236}">
              <a16:creationId xmlns:a16="http://schemas.microsoft.com/office/drawing/2014/main" id="{A11F3EF7-E98A-421A-945C-2C3B172B6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47625</xdr:colOff>
      <xdr:row>27</xdr:row>
      <xdr:rowOff>38100</xdr:rowOff>
    </xdr:from>
    <xdr:to>
      <xdr:col>23</xdr:col>
      <xdr:colOff>190500</xdr:colOff>
      <xdr:row>43</xdr:row>
      <xdr:rowOff>135255</xdr:rowOff>
    </xdr:to>
    <xdr:graphicFrame macro="">
      <xdr:nvGraphicFramePr>
        <xdr:cNvPr id="2" name="Chart 1">
          <a:extLst>
            <a:ext uri="{FF2B5EF4-FFF2-40B4-BE49-F238E27FC236}">
              <a16:creationId xmlns:a16="http://schemas.microsoft.com/office/drawing/2014/main" id="{AAF30A56-ABDD-4B5A-8BB1-8D033C526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48</xdr:row>
      <xdr:rowOff>0</xdr:rowOff>
    </xdr:from>
    <xdr:to>
      <xdr:col>17</xdr:col>
      <xdr:colOff>152400</xdr:colOff>
      <xdr:row>48</xdr:row>
      <xdr:rowOff>0</xdr:rowOff>
    </xdr:to>
    <xdr:graphicFrame macro="">
      <xdr:nvGraphicFramePr>
        <xdr:cNvPr id="3" name="Chart 1026">
          <a:extLst>
            <a:ext uri="{FF2B5EF4-FFF2-40B4-BE49-F238E27FC236}">
              <a16:creationId xmlns:a16="http://schemas.microsoft.com/office/drawing/2014/main" id="{B19F1837-A5DF-44B9-BB5D-A3BB22991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57150</xdr:colOff>
      <xdr:row>18</xdr:row>
      <xdr:rowOff>71437</xdr:rowOff>
    </xdr:from>
    <xdr:to>
      <xdr:col>52</xdr:col>
      <xdr:colOff>438150</xdr:colOff>
      <xdr:row>37</xdr:row>
      <xdr:rowOff>176212</xdr:rowOff>
    </xdr:to>
    <xdr:graphicFrame macro="">
      <xdr:nvGraphicFramePr>
        <xdr:cNvPr id="4" name="Chart 3">
          <a:extLst>
            <a:ext uri="{FF2B5EF4-FFF2-40B4-BE49-F238E27FC236}">
              <a16:creationId xmlns:a16="http://schemas.microsoft.com/office/drawing/2014/main" id="{95A405FD-9EAC-4DEF-80AA-EB41D284A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99060</xdr:colOff>
      <xdr:row>26</xdr:row>
      <xdr:rowOff>0</xdr:rowOff>
    </xdr:from>
    <xdr:to>
      <xdr:col>19</xdr:col>
      <xdr:colOff>0</xdr:colOff>
      <xdr:row>26</xdr:row>
      <xdr:rowOff>0</xdr:rowOff>
    </xdr:to>
    <xdr:graphicFrame macro="">
      <xdr:nvGraphicFramePr>
        <xdr:cNvPr id="2" name="Chart 1026">
          <a:extLst>
            <a:ext uri="{FF2B5EF4-FFF2-40B4-BE49-F238E27FC236}">
              <a16:creationId xmlns:a16="http://schemas.microsoft.com/office/drawing/2014/main" id="{876F814A-5A4C-4581-B357-1FBA91EF7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30</xdr:row>
      <xdr:rowOff>137160</xdr:rowOff>
    </xdr:from>
    <xdr:to>
      <xdr:col>19</xdr:col>
      <xdr:colOff>0</xdr:colOff>
      <xdr:row>52</xdr:row>
      <xdr:rowOff>76200</xdr:rowOff>
    </xdr:to>
    <xdr:graphicFrame macro="">
      <xdr:nvGraphicFramePr>
        <xdr:cNvPr id="3" name="Chart 6">
          <a:extLst>
            <a:ext uri="{FF2B5EF4-FFF2-40B4-BE49-F238E27FC236}">
              <a16:creationId xmlns:a16="http://schemas.microsoft.com/office/drawing/2014/main" id="{68F2FF28-ED16-4AA3-B95C-47EEB31B7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56</xdr:row>
      <xdr:rowOff>0</xdr:rowOff>
    </xdr:from>
    <xdr:to>
      <xdr:col>19</xdr:col>
      <xdr:colOff>0</xdr:colOff>
      <xdr:row>79</xdr:row>
      <xdr:rowOff>91440</xdr:rowOff>
    </xdr:to>
    <xdr:graphicFrame macro="">
      <xdr:nvGraphicFramePr>
        <xdr:cNvPr id="4" name="Chart 7">
          <a:extLst>
            <a:ext uri="{FF2B5EF4-FFF2-40B4-BE49-F238E27FC236}">
              <a16:creationId xmlns:a16="http://schemas.microsoft.com/office/drawing/2014/main" id="{E8630675-2494-4EC5-8B6D-07F5BB419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28</xdr:row>
      <xdr:rowOff>137160</xdr:rowOff>
    </xdr:from>
    <xdr:to>
      <xdr:col>9</xdr:col>
      <xdr:colOff>259080</xdr:colOff>
      <xdr:row>60</xdr:row>
      <xdr:rowOff>68580</xdr:rowOff>
    </xdr:to>
    <xdr:graphicFrame macro="">
      <xdr:nvGraphicFramePr>
        <xdr:cNvPr id="5" name="Chart 4">
          <a:extLst>
            <a:ext uri="{FF2B5EF4-FFF2-40B4-BE49-F238E27FC236}">
              <a16:creationId xmlns:a16="http://schemas.microsoft.com/office/drawing/2014/main" id="{8AEB48F4-6D19-4FEA-975C-75A56844F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28</xdr:row>
      <xdr:rowOff>121920</xdr:rowOff>
    </xdr:from>
    <xdr:to>
      <xdr:col>18</xdr:col>
      <xdr:colOff>0</xdr:colOff>
      <xdr:row>60</xdr:row>
      <xdr:rowOff>76200</xdr:rowOff>
    </xdr:to>
    <xdr:graphicFrame macro="">
      <xdr:nvGraphicFramePr>
        <xdr:cNvPr id="6" name="Chart 5">
          <a:extLst>
            <a:ext uri="{FF2B5EF4-FFF2-40B4-BE49-F238E27FC236}">
              <a16:creationId xmlns:a16="http://schemas.microsoft.com/office/drawing/2014/main" id="{55BA80DD-1AD7-4772-9A59-E0B6A5BC8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99060</xdr:colOff>
      <xdr:row>40</xdr:row>
      <xdr:rowOff>0</xdr:rowOff>
    </xdr:from>
    <xdr:to>
      <xdr:col>25</xdr:col>
      <xdr:colOff>152400</xdr:colOff>
      <xdr:row>40</xdr:row>
      <xdr:rowOff>0</xdr:rowOff>
    </xdr:to>
    <xdr:graphicFrame macro="">
      <xdr:nvGraphicFramePr>
        <xdr:cNvPr id="2" name="Chart 1026">
          <a:extLst>
            <a:ext uri="{FF2B5EF4-FFF2-40B4-BE49-F238E27FC236}">
              <a16:creationId xmlns:a16="http://schemas.microsoft.com/office/drawing/2014/main" id="{504C7CF2-B220-461B-A948-3A8B9C93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99060</xdr:colOff>
      <xdr:row>22</xdr:row>
      <xdr:rowOff>0</xdr:rowOff>
    </xdr:from>
    <xdr:to>
      <xdr:col>22</xdr:col>
      <xdr:colOff>0</xdr:colOff>
      <xdr:row>22</xdr:row>
      <xdr:rowOff>0</xdr:rowOff>
    </xdr:to>
    <xdr:graphicFrame macro="">
      <xdr:nvGraphicFramePr>
        <xdr:cNvPr id="2" name="Chart 1026">
          <a:extLst>
            <a:ext uri="{FF2B5EF4-FFF2-40B4-BE49-F238E27FC236}">
              <a16:creationId xmlns:a16="http://schemas.microsoft.com/office/drawing/2014/main" id="{DFAE939C-EA6D-4861-8A8E-1F94BE7D9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60.xml><?xml version="1.0" encoding="utf-8"?>
<xdr:wsDr xmlns:xdr="http://schemas.openxmlformats.org/drawingml/2006/spreadsheetDrawing" xmlns:a="http://schemas.openxmlformats.org/drawingml/2006/main">
  <xdr:twoCellAnchor>
    <xdr:from>
      <xdr:col>2</xdr:col>
      <xdr:colOff>167640</xdr:colOff>
      <xdr:row>42</xdr:row>
      <xdr:rowOff>0</xdr:rowOff>
    </xdr:from>
    <xdr:to>
      <xdr:col>17</xdr:col>
      <xdr:colOff>312420</xdr:colOff>
      <xdr:row>42</xdr:row>
      <xdr:rowOff>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18</xdr:row>
      <xdr:rowOff>66676</xdr:rowOff>
    </xdr:from>
    <xdr:to>
      <xdr:col>18</xdr:col>
      <xdr:colOff>276225</xdr:colOff>
      <xdr:row>37</xdr:row>
      <xdr:rowOff>76200</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373380</xdr:colOff>
      <xdr:row>58</xdr:row>
      <xdr:rowOff>144780</xdr:rowOff>
    </xdr:from>
    <xdr:to>
      <xdr:col>13</xdr:col>
      <xdr:colOff>83820</xdr:colOff>
      <xdr:row>76</xdr:row>
      <xdr:rowOff>121920</xdr:rowOff>
    </xdr:to>
    <xdr:sp macro="" textlink="">
      <xdr:nvSpPr>
        <xdr:cNvPr id="4" name="Rectangle 1">
          <a:extLst>
            <a:ext uri="{FF2B5EF4-FFF2-40B4-BE49-F238E27FC236}">
              <a16:creationId xmlns:a16="http://schemas.microsoft.com/office/drawing/2014/main" id="{00000000-0008-0000-3300-000004000000}"/>
            </a:ext>
          </a:extLst>
        </xdr:cNvPr>
        <xdr:cNvSpPr>
          <a:spLocks noChangeArrowheads="1"/>
        </xdr:cNvSpPr>
      </xdr:nvSpPr>
      <xdr:spPr bwMode="auto">
        <a:xfrm>
          <a:off x="1891030" y="9263380"/>
          <a:ext cx="6689090" cy="260604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twoCellAnchor>
    <xdr:from>
      <xdr:col>3</xdr:col>
      <xdr:colOff>373380</xdr:colOff>
      <xdr:row>58</xdr:row>
      <xdr:rowOff>144780</xdr:rowOff>
    </xdr:from>
    <xdr:to>
      <xdr:col>13</xdr:col>
      <xdr:colOff>171450</xdr:colOff>
      <xdr:row>76</xdr:row>
      <xdr:rowOff>144780</xdr:rowOff>
    </xdr:to>
    <xdr:graphicFrame macro="">
      <xdr:nvGraphicFramePr>
        <xdr:cNvPr id="5" name="Chart 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11</xdr:row>
      <xdr:rowOff>7338</xdr:rowOff>
    </xdr:from>
    <xdr:to>
      <xdr:col>37</xdr:col>
      <xdr:colOff>472722</xdr:colOff>
      <xdr:row>30</xdr:row>
      <xdr:rowOff>107527</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71</xdr:row>
      <xdr:rowOff>160020</xdr:rowOff>
    </xdr:from>
    <xdr:to>
      <xdr:col>20</xdr:col>
      <xdr:colOff>129540</xdr:colOff>
      <xdr:row>83</xdr:row>
      <xdr:rowOff>137160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47623</xdr:colOff>
      <xdr:row>58</xdr:row>
      <xdr:rowOff>115357</xdr:rowOff>
    </xdr:from>
    <xdr:to>
      <xdr:col>50</xdr:col>
      <xdr:colOff>158750</xdr:colOff>
      <xdr:row>73</xdr:row>
      <xdr:rowOff>0</xdr:rowOff>
    </xdr:to>
    <xdr:graphicFrame macro="">
      <xdr:nvGraphicFramePr>
        <xdr:cNvPr id="4" name="Chart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16</xdr:col>
      <xdr:colOff>300990</xdr:colOff>
      <xdr:row>54</xdr:row>
      <xdr:rowOff>15240</xdr:rowOff>
    </xdr:from>
    <xdr:to>
      <xdr:col>44</xdr:col>
      <xdr:colOff>419100</xdr:colOff>
      <xdr:row>72</xdr:row>
      <xdr:rowOff>57150</xdr:rowOff>
    </xdr:to>
    <xdr:graphicFrame macro="">
      <xdr:nvGraphicFramePr>
        <xdr:cNvPr id="2" name="Chart 2">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171449</xdr:colOff>
      <xdr:row>10</xdr:row>
      <xdr:rowOff>85725</xdr:rowOff>
    </xdr:from>
    <xdr:to>
      <xdr:col>21</xdr:col>
      <xdr:colOff>19050</xdr:colOff>
      <xdr:row>29</xdr:row>
      <xdr:rowOff>9525</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xdr:col>
      <xdr:colOff>205740</xdr:colOff>
      <xdr:row>14</xdr:row>
      <xdr:rowOff>114300</xdr:rowOff>
    </xdr:from>
    <xdr:to>
      <xdr:col>14</xdr:col>
      <xdr:colOff>342900</xdr:colOff>
      <xdr:row>29</xdr:row>
      <xdr:rowOff>171450</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16</xdr:col>
      <xdr:colOff>86360</xdr:colOff>
      <xdr:row>69</xdr:row>
      <xdr:rowOff>142240</xdr:rowOff>
    </xdr:to>
    <xdr:sp macro="" textlink="">
      <xdr:nvSpPr>
        <xdr:cNvPr id="3" name="Rectangle 2">
          <a:extLst>
            <a:ext uri="{FF2B5EF4-FFF2-40B4-BE49-F238E27FC236}">
              <a16:creationId xmlns:a16="http://schemas.microsoft.com/office/drawing/2014/main" id="{00000000-0008-0000-3900-000003000000}"/>
            </a:ext>
          </a:extLst>
        </xdr:cNvPr>
        <xdr:cNvSpPr/>
      </xdr:nvSpPr>
      <xdr:spPr>
        <a:xfrm>
          <a:off x="1517650" y="12204700"/>
          <a:ext cx="7680960" cy="23520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57</xdr:row>
      <xdr:rowOff>0</xdr:rowOff>
    </xdr:from>
    <xdr:to>
      <xdr:col>16</xdr:col>
      <xdr:colOff>91440</xdr:colOff>
      <xdr:row>69</xdr:row>
      <xdr:rowOff>114300</xdr:rowOff>
    </xdr:to>
    <xdr:graphicFrame macro="">
      <xdr:nvGraphicFramePr>
        <xdr:cNvPr id="4" name="Chart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0.59004</cdr:x>
      <cdr:y>0.46289</cdr:y>
    </cdr:from>
    <cdr:to>
      <cdr:x>0.85057</cdr:x>
      <cdr:y>0.60126</cdr:y>
    </cdr:to>
    <cdr:cxnSp macro="">
      <cdr:nvCxnSpPr>
        <cdr:cNvPr id="3" name="Straight Connector 2">
          <a:extLst xmlns:a="http://schemas.openxmlformats.org/drawingml/2006/main">
            <a:ext uri="{FF2B5EF4-FFF2-40B4-BE49-F238E27FC236}">
              <a16:creationId xmlns:a16="http://schemas.microsoft.com/office/drawing/2014/main" id="{5A5EA58F-A777-4B5D-B3A1-72F2A210C9C6}"/>
            </a:ext>
          </a:extLst>
        </cdr:cNvPr>
        <cdr:cNvCxnSpPr/>
      </cdr:nvCxnSpPr>
      <cdr:spPr>
        <a:xfrm xmlns:a="http://schemas.openxmlformats.org/drawingml/2006/main">
          <a:off x="3520440" y="1402080"/>
          <a:ext cx="1554480" cy="419100"/>
        </a:xfrm>
        <a:prstGeom xmlns:a="http://schemas.openxmlformats.org/drawingml/2006/main" prst="line">
          <a:avLst/>
        </a:prstGeom>
        <a:ln xmlns:a="http://schemas.openxmlformats.org/drawingml/2006/main" w="15875">
          <a:solidFill>
            <a:srgbClr val="FF66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a:extLst xmlns:a="http://schemas.openxmlformats.org/drawingml/2006/main">
            <a:ext uri="{FF2B5EF4-FFF2-40B4-BE49-F238E27FC236}">
              <a16:creationId xmlns:a16="http://schemas.microsoft.com/office/drawing/2014/main" id="{5E5E87C7-1A38-4899-8F45-95034AA62EFC}"/>
            </a:ext>
          </a:extLst>
        </cdr:cNvPr>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2</xdr:col>
      <xdr:colOff>243840</xdr:colOff>
      <xdr:row>13</xdr:row>
      <xdr:rowOff>121920</xdr:rowOff>
    </xdr:from>
    <xdr:to>
      <xdr:col>11</xdr:col>
      <xdr:colOff>335280</xdr:colOff>
      <xdr:row>28</xdr:row>
      <xdr:rowOff>106680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247650</xdr:colOff>
      <xdr:row>11</xdr:row>
      <xdr:rowOff>126999</xdr:rowOff>
    </xdr:from>
    <xdr:to>
      <xdr:col>27</xdr:col>
      <xdr:colOff>19050</xdr:colOff>
      <xdr:row>28</xdr:row>
      <xdr:rowOff>79374</xdr:rowOff>
    </xdr:to>
    <xdr:graphicFrame macro="">
      <xdr:nvGraphicFramePr>
        <xdr:cNvPr id="2" name="Chart 2">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59</xdr:row>
      <xdr:rowOff>0</xdr:rowOff>
    </xdr:from>
    <xdr:to>
      <xdr:col>15</xdr:col>
      <xdr:colOff>124851</xdr:colOff>
      <xdr:row>75</xdr:row>
      <xdr:rowOff>6350</xdr:rowOff>
    </xdr:to>
    <xdr:sp macro="" textlink="">
      <xdr:nvSpPr>
        <xdr:cNvPr id="3" name="Rectangle 2">
          <a:extLst>
            <a:ext uri="{FF2B5EF4-FFF2-40B4-BE49-F238E27FC236}">
              <a16:creationId xmlns:a16="http://schemas.microsoft.com/office/drawing/2014/main" id="{00000000-0008-0000-3B00-000003000000}"/>
            </a:ext>
          </a:extLst>
        </xdr:cNvPr>
        <xdr:cNvSpPr/>
      </xdr:nvSpPr>
      <xdr:spPr>
        <a:xfrm>
          <a:off x="3022600" y="11385550"/>
          <a:ext cx="7452751" cy="2952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59</xdr:row>
      <xdr:rowOff>0</xdr:rowOff>
    </xdr:from>
    <xdr:to>
      <xdr:col>15</xdr:col>
      <xdr:colOff>114300</xdr:colOff>
      <xdr:row>75</xdr:row>
      <xdr:rowOff>38100</xdr:rowOff>
    </xdr:to>
    <xdr:graphicFrame macro="">
      <xdr:nvGraphicFramePr>
        <xdr:cNvPr id="4" name="Chart 2">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631189</xdr:colOff>
      <xdr:row>28</xdr:row>
      <xdr:rowOff>101600</xdr:rowOff>
    </xdr:from>
    <xdr:to>
      <xdr:col>24</xdr:col>
      <xdr:colOff>57149</xdr:colOff>
      <xdr:row>38</xdr:row>
      <xdr:rowOff>142875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63</xdr:row>
      <xdr:rowOff>0</xdr:rowOff>
    </xdr:from>
    <xdr:to>
      <xdr:col>15</xdr:col>
      <xdr:colOff>320040</xdr:colOff>
      <xdr:row>76</xdr:row>
      <xdr:rowOff>137160</xdr:rowOff>
    </xdr:to>
    <xdr:sp macro="" textlink="">
      <xdr:nvSpPr>
        <xdr:cNvPr id="2" name="Rectangle 1">
          <a:extLst>
            <a:ext uri="{FF2B5EF4-FFF2-40B4-BE49-F238E27FC236}">
              <a16:creationId xmlns:a16="http://schemas.microsoft.com/office/drawing/2014/main" id="{00000000-0008-0000-3D00-000002000000}"/>
            </a:ext>
          </a:extLst>
        </xdr:cNvPr>
        <xdr:cNvSpPr/>
      </xdr:nvSpPr>
      <xdr:spPr>
        <a:xfrm>
          <a:off x="3886200" y="11468100"/>
          <a:ext cx="5082540" cy="25311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1342390</xdr:colOff>
      <xdr:row>60</xdr:row>
      <xdr:rowOff>127000</xdr:rowOff>
    </xdr:from>
    <xdr:to>
      <xdr:col>22</xdr:col>
      <xdr:colOff>260350</xdr:colOff>
      <xdr:row>76</xdr:row>
      <xdr:rowOff>182880</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1549401</xdr:colOff>
      <xdr:row>15</xdr:row>
      <xdr:rowOff>63500</xdr:rowOff>
    </xdr:from>
    <xdr:to>
      <xdr:col>30</xdr:col>
      <xdr:colOff>44450</xdr:colOff>
      <xdr:row>33</xdr:row>
      <xdr:rowOff>25400</xdr:rowOff>
    </xdr:to>
    <xdr:graphicFrame macro="">
      <xdr:nvGraphicFramePr>
        <xdr:cNvPr id="4" name="Chart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27940</xdr:colOff>
      <xdr:row>11</xdr:row>
      <xdr:rowOff>68581</xdr:rowOff>
    </xdr:from>
    <xdr:to>
      <xdr:col>27</xdr:col>
      <xdr:colOff>54610</xdr:colOff>
      <xdr:row>27</xdr:row>
      <xdr:rowOff>121921</xdr:rowOff>
    </xdr:to>
    <xdr:graphicFrame macro="">
      <xdr:nvGraphicFramePr>
        <xdr:cNvPr id="2" name="Chart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41</xdr:row>
      <xdr:rowOff>0</xdr:rowOff>
    </xdr:from>
    <xdr:to>
      <xdr:col>17</xdr:col>
      <xdr:colOff>536575</xdr:colOff>
      <xdr:row>57</xdr:row>
      <xdr:rowOff>170180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3079750" y="7727950"/>
          <a:ext cx="4187825" cy="31165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41</xdr:row>
      <xdr:rowOff>15240</xdr:rowOff>
    </xdr:from>
    <xdr:to>
      <xdr:col>17</xdr:col>
      <xdr:colOff>533400</xdr:colOff>
      <xdr:row>58</xdr:row>
      <xdr:rowOff>0</xdr:rowOff>
    </xdr:to>
    <xdr:graphicFrame macro="">
      <xdr:nvGraphicFramePr>
        <xdr:cNvPr id="4" name="Chart 2">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412750</xdr:colOff>
      <xdr:row>15</xdr:row>
      <xdr:rowOff>13970</xdr:rowOff>
    </xdr:from>
    <xdr:to>
      <xdr:col>29</xdr:col>
      <xdr:colOff>469900</xdr:colOff>
      <xdr:row>31</xdr:row>
      <xdr:rowOff>38100</xdr:rowOff>
    </xdr:to>
    <xdr:graphicFrame macro="">
      <xdr:nvGraphicFramePr>
        <xdr:cNvPr id="2" name="Chart 6">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a:extLst>
            <a:ext uri="{FF2B5EF4-FFF2-40B4-BE49-F238E27FC236}">
              <a16:creationId xmlns:a16="http://schemas.microsoft.com/office/drawing/2014/main" id="{00000000-0008-0000-3E00-000003000000}"/>
            </a:ext>
          </a:extLst>
        </xdr:cNvPr>
        <xdr:cNvSpPr/>
      </xdr:nvSpPr>
      <xdr:spPr>
        <a:xfrm>
          <a:off x="1231900" y="11144250"/>
          <a:ext cx="6189980" cy="2381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1</xdr:col>
      <xdr:colOff>697228</xdr:colOff>
      <xdr:row>56</xdr:row>
      <xdr:rowOff>107950</xdr:rowOff>
    </xdr:from>
    <xdr:to>
      <xdr:col>24</xdr:col>
      <xdr:colOff>222249</xdr:colOff>
      <xdr:row>76</xdr:row>
      <xdr:rowOff>107950</xdr:rowOff>
    </xdr:to>
    <xdr:graphicFrame macro="">
      <xdr:nvGraphicFramePr>
        <xdr:cNvPr id="4" name="Chart 6">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7620</xdr:colOff>
      <xdr:row>40</xdr:row>
      <xdr:rowOff>0</xdr:rowOff>
    </xdr:from>
    <xdr:to>
      <xdr:col>24</xdr:col>
      <xdr:colOff>320040</xdr:colOff>
      <xdr:row>40</xdr:row>
      <xdr:rowOff>0</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1060450</xdr:colOff>
      <xdr:row>16</xdr:row>
      <xdr:rowOff>120649</xdr:rowOff>
    </xdr:from>
    <xdr:to>
      <xdr:col>28</xdr:col>
      <xdr:colOff>190500</xdr:colOff>
      <xdr:row>35</xdr:row>
      <xdr:rowOff>69850</xdr:rowOff>
    </xdr:to>
    <xdr:graphicFrame macro="">
      <xdr:nvGraphicFramePr>
        <xdr:cNvPr id="3" name="Chart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777240</xdr:colOff>
      <xdr:row>15</xdr:row>
      <xdr:rowOff>99060</xdr:rowOff>
    </xdr:from>
    <xdr:to>
      <xdr:col>16</xdr:col>
      <xdr:colOff>434340</xdr:colOff>
      <xdr:row>35</xdr:row>
      <xdr:rowOff>160020</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84667</xdr:colOff>
      <xdr:row>15</xdr:row>
      <xdr:rowOff>94192</xdr:rowOff>
    </xdr:from>
    <xdr:to>
      <xdr:col>28</xdr:col>
      <xdr:colOff>550334</xdr:colOff>
      <xdr:row>36</xdr:row>
      <xdr:rowOff>127000</xdr:rowOff>
    </xdr:to>
    <xdr:graphicFrame macro="">
      <xdr:nvGraphicFramePr>
        <xdr:cNvPr id="3" name="Chart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243416</xdr:colOff>
      <xdr:row>66</xdr:row>
      <xdr:rowOff>74083</xdr:rowOff>
    </xdr:from>
    <xdr:to>
      <xdr:col>18</xdr:col>
      <xdr:colOff>476250</xdr:colOff>
      <xdr:row>82</xdr:row>
      <xdr:rowOff>68580</xdr:rowOff>
    </xdr:to>
    <xdr:graphicFrame macro="">
      <xdr:nvGraphicFramePr>
        <xdr:cNvPr id="4" name="Chart 3">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0</xdr:colOff>
      <xdr:row>52</xdr:row>
      <xdr:rowOff>0</xdr:rowOff>
    </xdr:from>
    <xdr:to>
      <xdr:col>18</xdr:col>
      <xdr:colOff>320040</xdr:colOff>
      <xdr:row>52</xdr:row>
      <xdr:rowOff>0</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357909</xdr:colOff>
      <xdr:row>54</xdr:row>
      <xdr:rowOff>133349</xdr:rowOff>
    </xdr:from>
    <xdr:to>
      <xdr:col>18</xdr:col>
      <xdr:colOff>71006</xdr:colOff>
      <xdr:row>67</xdr:row>
      <xdr:rowOff>95250</xdr:rowOff>
    </xdr:to>
    <xdr:graphicFrame macro="">
      <xdr:nvGraphicFramePr>
        <xdr:cNvPr id="3" name="Chart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7620</xdr:colOff>
      <xdr:row>52</xdr:row>
      <xdr:rowOff>0</xdr:rowOff>
    </xdr:from>
    <xdr:to>
      <xdr:col>16</xdr:col>
      <xdr:colOff>320040</xdr:colOff>
      <xdr:row>52</xdr:row>
      <xdr:rowOff>0</xdr:rowOff>
    </xdr:to>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923925</xdr:colOff>
      <xdr:row>54</xdr:row>
      <xdr:rowOff>130175</xdr:rowOff>
    </xdr:from>
    <xdr:to>
      <xdr:col>16</xdr:col>
      <xdr:colOff>457199</xdr:colOff>
      <xdr:row>69</xdr:row>
      <xdr:rowOff>171450</xdr:rowOff>
    </xdr:to>
    <xdr:graphicFrame macro="">
      <xdr:nvGraphicFramePr>
        <xdr:cNvPr id="3" name="Chart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323297</xdr:colOff>
      <xdr:row>16</xdr:row>
      <xdr:rowOff>90003</xdr:rowOff>
    </xdr:from>
    <xdr:to>
      <xdr:col>15</xdr:col>
      <xdr:colOff>21130</xdr:colOff>
      <xdr:row>31</xdr:row>
      <xdr:rowOff>196850</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285749</xdr:colOff>
      <xdr:row>14</xdr:row>
      <xdr:rowOff>8466</xdr:rowOff>
    </xdr:from>
    <xdr:to>
      <xdr:col>23</xdr:col>
      <xdr:colOff>514350</xdr:colOff>
      <xdr:row>32</xdr:row>
      <xdr:rowOff>127000</xdr:rowOff>
    </xdr:to>
    <xdr:graphicFrame macro="">
      <xdr:nvGraphicFramePr>
        <xdr:cNvPr id="2" name="Chart 2">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190501</xdr:colOff>
      <xdr:row>34</xdr:row>
      <xdr:rowOff>131761</xdr:rowOff>
    </xdr:from>
    <xdr:to>
      <xdr:col>26</xdr:col>
      <xdr:colOff>107951</xdr:colOff>
      <xdr:row>53</xdr:row>
      <xdr:rowOff>82549</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22225</xdr:colOff>
      <xdr:row>24</xdr:row>
      <xdr:rowOff>58739</xdr:rowOff>
    </xdr:from>
    <xdr:to>
      <xdr:col>28</xdr:col>
      <xdr:colOff>85724</xdr:colOff>
      <xdr:row>43</xdr:row>
      <xdr:rowOff>15875</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390525</xdr:colOff>
      <xdr:row>17</xdr:row>
      <xdr:rowOff>104775</xdr:rowOff>
    </xdr:from>
    <xdr:to>
      <xdr:col>28</xdr:col>
      <xdr:colOff>504825</xdr:colOff>
      <xdr:row>32</xdr:row>
      <xdr:rowOff>0</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215900</xdr:colOff>
      <xdr:row>14</xdr:row>
      <xdr:rowOff>158749</xdr:rowOff>
    </xdr:from>
    <xdr:to>
      <xdr:col>27</xdr:col>
      <xdr:colOff>400050</xdr:colOff>
      <xdr:row>30</xdr:row>
      <xdr:rowOff>72678</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10</xdr:row>
      <xdr:rowOff>85725</xdr:rowOff>
    </xdr:from>
    <xdr:to>
      <xdr:col>26</xdr:col>
      <xdr:colOff>581025</xdr:colOff>
      <xdr:row>29</xdr:row>
      <xdr:rowOff>76200</xdr:rowOff>
    </xdr:to>
    <xdr:graphicFrame macro="">
      <xdr:nvGraphicFramePr>
        <xdr:cNvPr id="2" name="Chart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40</xdr:row>
      <xdr:rowOff>0</xdr:rowOff>
    </xdr:from>
    <xdr:to>
      <xdr:col>17</xdr:col>
      <xdr:colOff>164123</xdr:colOff>
      <xdr:row>53</xdr:row>
      <xdr:rowOff>154744</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3479800" y="7359650"/>
          <a:ext cx="5879123" cy="25486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40</xdr:row>
      <xdr:rowOff>0</xdr:rowOff>
    </xdr:from>
    <xdr:to>
      <xdr:col>17</xdr:col>
      <xdr:colOff>167639</xdr:colOff>
      <xdr:row>53</xdr:row>
      <xdr:rowOff>152399</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411338</xdr:colOff>
      <xdr:row>10</xdr:row>
      <xdr:rowOff>106680</xdr:rowOff>
    </xdr:from>
    <xdr:to>
      <xdr:col>21</xdr:col>
      <xdr:colOff>49389</xdr:colOff>
      <xdr:row>30</xdr:row>
      <xdr:rowOff>83820</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261936</xdr:colOff>
      <xdr:row>28</xdr:row>
      <xdr:rowOff>63500</xdr:rowOff>
    </xdr:from>
    <xdr:to>
      <xdr:col>18</xdr:col>
      <xdr:colOff>444499</xdr:colOff>
      <xdr:row>53</xdr:row>
      <xdr:rowOff>111125</xdr:rowOff>
    </xdr:to>
    <xdr:graphicFrame macro="">
      <xdr:nvGraphicFramePr>
        <xdr:cNvPr id="5" name="Chart 4">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130968</xdr:colOff>
      <xdr:row>81</xdr:row>
      <xdr:rowOff>65088</xdr:rowOff>
    </xdr:from>
    <xdr:to>
      <xdr:col>15</xdr:col>
      <xdr:colOff>484187</xdr:colOff>
      <xdr:row>101</xdr:row>
      <xdr:rowOff>109538</xdr:rowOff>
    </xdr:to>
    <xdr:graphicFrame macro="">
      <xdr:nvGraphicFramePr>
        <xdr:cNvPr id="6" name="Chart 5">
          <a:extLst>
            <a:ext uri="{FF2B5EF4-FFF2-40B4-BE49-F238E27FC236}">
              <a16:creationId xmlns:a16="http://schemas.microsoft.com/office/drawing/2014/main" id="{8F000E59-6573-4E3E-8058-4B888FEEBF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0.07237</cdr:x>
      <cdr:y>0.20232</cdr:y>
    </cdr:from>
    <cdr:to>
      <cdr:x>0.08721</cdr:x>
      <cdr:y>0.51372</cdr:y>
    </cdr:to>
    <cdr:sp macro="" textlink="">
      <cdr:nvSpPr>
        <cdr:cNvPr id="2" name="TextBox 1"/>
        <cdr:cNvSpPr txBox="1"/>
      </cdr:nvSpPr>
      <cdr:spPr>
        <a:xfrm xmlns:a="http://schemas.openxmlformats.org/drawingml/2006/main">
          <a:off x="614855" y="604345"/>
          <a:ext cx="126124" cy="930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ZA" sz="1100"/>
        </a:p>
      </cdr:txBody>
    </cdr:sp>
  </cdr:relSizeAnchor>
  <cdr:relSizeAnchor xmlns:cdr="http://schemas.openxmlformats.org/drawingml/2006/chartDrawing">
    <cdr:from>
      <cdr:x>0</cdr:x>
      <cdr:y>0.0588</cdr:y>
    </cdr:from>
    <cdr:to>
      <cdr:x>0.05645</cdr:x>
      <cdr:y>0.60294</cdr:y>
    </cdr:to>
    <cdr:sp macro="" textlink="">
      <cdr:nvSpPr>
        <cdr:cNvPr id="3" name="TextBox 2"/>
        <cdr:cNvSpPr txBox="1"/>
      </cdr:nvSpPr>
      <cdr:spPr>
        <a:xfrm xmlns:a="http://schemas.openxmlformats.org/drawingml/2006/main">
          <a:off x="0" y="190419"/>
          <a:ext cx="368327" cy="1762205"/>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endParaRPr lang="en-ZA" sz="1100"/>
        </a:p>
      </cdr:txBody>
    </cdr:sp>
  </cdr:relSizeAnchor>
</c:userShapes>
</file>

<file path=xl/drawings/drawing83.xml><?xml version="1.0" encoding="utf-8"?>
<xdr:wsDr xmlns:xdr="http://schemas.openxmlformats.org/drawingml/2006/spreadsheetDrawing" xmlns:a="http://schemas.openxmlformats.org/drawingml/2006/main">
  <xdr:twoCellAnchor>
    <xdr:from>
      <xdr:col>3</xdr:col>
      <xdr:colOff>85724</xdr:colOff>
      <xdr:row>32</xdr:row>
      <xdr:rowOff>19050</xdr:rowOff>
    </xdr:from>
    <xdr:to>
      <xdr:col>14</xdr:col>
      <xdr:colOff>561974</xdr:colOff>
      <xdr:row>46</xdr:row>
      <xdr:rowOff>47625</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215900</xdr:colOff>
      <xdr:row>32</xdr:row>
      <xdr:rowOff>39523</xdr:rowOff>
    </xdr:from>
    <xdr:to>
      <xdr:col>22</xdr:col>
      <xdr:colOff>19050</xdr:colOff>
      <xdr:row>47</xdr:row>
      <xdr:rowOff>44451</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333374</xdr:colOff>
      <xdr:row>11</xdr:row>
      <xdr:rowOff>68580</xdr:rowOff>
    </xdr:from>
    <xdr:to>
      <xdr:col>22</xdr:col>
      <xdr:colOff>342900</xdr:colOff>
      <xdr:row>31</xdr:row>
      <xdr:rowOff>45720</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a:extLst>
            <a:ext uri="{FF2B5EF4-FFF2-40B4-BE49-F238E27FC236}">
              <a16:creationId xmlns:a16="http://schemas.microsoft.com/office/drawing/2014/main" id="{85495ACB-ED5B-4EF4-8446-DC8AD16B8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a:extLst>
            <a:ext uri="{FF2B5EF4-FFF2-40B4-BE49-F238E27FC236}">
              <a16:creationId xmlns:a16="http://schemas.microsoft.com/office/drawing/2014/main" id="{1113DFA0-30D9-45E7-9391-6F216C9B3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20</xdr:col>
      <xdr:colOff>495300</xdr:colOff>
      <xdr:row>44</xdr:row>
      <xdr:rowOff>45720</xdr:rowOff>
    </xdr:to>
    <xdr:graphicFrame macro="">
      <xdr:nvGraphicFramePr>
        <xdr:cNvPr id="4" name="Chart 3">
          <a:extLst>
            <a:ext uri="{FF2B5EF4-FFF2-40B4-BE49-F238E27FC236}">
              <a16:creationId xmlns:a16="http://schemas.microsoft.com/office/drawing/2014/main" id="{1B4F1EA4-CE98-4204-8C88-4962326F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219076</xdr:colOff>
      <xdr:row>23</xdr:row>
      <xdr:rowOff>81915</xdr:rowOff>
    </xdr:from>
    <xdr:to>
      <xdr:col>19</xdr:col>
      <xdr:colOff>561975</xdr:colOff>
      <xdr:row>37</xdr:row>
      <xdr:rowOff>142875</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213360</xdr:colOff>
      <xdr:row>11</xdr:row>
      <xdr:rowOff>0</xdr:rowOff>
    </xdr:from>
    <xdr:to>
      <xdr:col>21</xdr:col>
      <xdr:colOff>133350</xdr:colOff>
      <xdr:row>31</xdr:row>
      <xdr:rowOff>22860</xdr:rowOff>
    </xdr:to>
    <xdr:graphicFrame macro="">
      <xdr:nvGraphicFramePr>
        <xdr:cNvPr id="2" name="Chart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548640</xdr:colOff>
      <xdr:row>43</xdr:row>
      <xdr:rowOff>0</xdr:rowOff>
    </xdr:from>
    <xdr:to>
      <xdr:col>3</xdr:col>
      <xdr:colOff>632460</xdr:colOff>
      <xdr:row>44</xdr:row>
      <xdr:rowOff>45720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2078990" y="7416800"/>
          <a:ext cx="83820" cy="191770"/>
        </a:xfrm>
        <a:prstGeom prst="rect">
          <a:avLst/>
        </a:prstGeom>
        <a:noFill/>
        <a:ln w="9525">
          <a:noFill/>
          <a:miter lim="800000"/>
          <a:headEnd/>
          <a:tailEnd/>
        </a:ln>
      </xdr:spPr>
    </xdr:sp>
    <xdr:clientData/>
  </xdr:twoCellAnchor>
  <xdr:twoCellAnchor>
    <xdr:from>
      <xdr:col>5</xdr:col>
      <xdr:colOff>55880</xdr:colOff>
      <xdr:row>15</xdr:row>
      <xdr:rowOff>32385</xdr:rowOff>
    </xdr:from>
    <xdr:to>
      <xdr:col>17</xdr:col>
      <xdr:colOff>368299</xdr:colOff>
      <xdr:row>38</xdr:row>
      <xdr:rowOff>79375</xdr:rowOff>
    </xdr:to>
    <xdr:graphicFrame macro="">
      <xdr:nvGraphicFramePr>
        <xdr:cNvPr id="3" name="Chart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55</xdr:row>
      <xdr:rowOff>57150</xdr:rowOff>
    </xdr:from>
    <xdr:to>
      <xdr:col>19</xdr:col>
      <xdr:colOff>68580</xdr:colOff>
      <xdr:row>73</xdr:row>
      <xdr:rowOff>57150</xdr:rowOff>
    </xdr:to>
    <xdr:graphicFrame macro="">
      <xdr:nvGraphicFramePr>
        <xdr:cNvPr id="4" name="Chart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60325</xdr:colOff>
      <xdr:row>14</xdr:row>
      <xdr:rowOff>82550</xdr:rowOff>
    </xdr:from>
    <xdr:to>
      <xdr:col>31</xdr:col>
      <xdr:colOff>134619</xdr:colOff>
      <xdr:row>38</xdr:row>
      <xdr:rowOff>18415</xdr:rowOff>
    </xdr:to>
    <xdr:graphicFrame macro="">
      <xdr:nvGraphicFramePr>
        <xdr:cNvPr id="5" name="Chart 4">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22224</xdr:colOff>
      <xdr:row>21</xdr:row>
      <xdr:rowOff>101600</xdr:rowOff>
    </xdr:from>
    <xdr:to>
      <xdr:col>12</xdr:col>
      <xdr:colOff>19050</xdr:colOff>
      <xdr:row>38</xdr:row>
      <xdr:rowOff>38100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0.06305</cdr:x>
      <cdr:y>0.29853</cdr:y>
    </cdr:from>
    <cdr:to>
      <cdr:x>0.98508</cdr:x>
      <cdr:y>0.29853</cdr:y>
    </cdr:to>
    <cdr:sp macro="" textlink="">
      <cdr:nvSpPr>
        <cdr:cNvPr id="202753" name="Line 1025"/>
        <cdr:cNvSpPr>
          <a:spLocks xmlns:a="http://schemas.openxmlformats.org/drawingml/2006/main" noChangeShapeType="1"/>
        </cdr:cNvSpPr>
      </cdr:nvSpPr>
      <cdr:spPr bwMode="auto">
        <a:xfrm xmlns:a="http://schemas.openxmlformats.org/drawingml/2006/main">
          <a:off x="792160" y="1077698"/>
          <a:ext cx="11583901"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90.xml><?xml version="1.0" encoding="utf-8"?>
<xdr:wsDr xmlns:xdr="http://schemas.openxmlformats.org/drawingml/2006/spreadsheetDrawing" xmlns:a="http://schemas.openxmlformats.org/drawingml/2006/main">
  <xdr:twoCellAnchor>
    <xdr:from>
      <xdr:col>3</xdr:col>
      <xdr:colOff>640080</xdr:colOff>
      <xdr:row>18</xdr:row>
      <xdr:rowOff>142875</xdr:rowOff>
    </xdr:from>
    <xdr:to>
      <xdr:col>9</xdr:col>
      <xdr:colOff>348594</xdr:colOff>
      <xdr:row>20</xdr:row>
      <xdr:rowOff>9525</xdr:rowOff>
    </xdr:to>
    <xdr:sp macro="" textlink="">
      <xdr:nvSpPr>
        <xdr:cNvPr id="2" name="Rectangle 1">
          <a:extLst>
            <a:ext uri="{FF2B5EF4-FFF2-40B4-BE49-F238E27FC236}">
              <a16:creationId xmlns:a16="http://schemas.microsoft.com/office/drawing/2014/main" id="{00000000-0008-0000-5300-000002000000}"/>
            </a:ext>
          </a:extLst>
        </xdr:cNvPr>
        <xdr:cNvSpPr>
          <a:spLocks noChangeArrowheads="1"/>
        </xdr:cNvSpPr>
      </xdr:nvSpPr>
      <xdr:spPr bwMode="auto">
        <a:xfrm>
          <a:off x="2170430" y="3127375"/>
          <a:ext cx="4959964" cy="158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11</xdr:row>
      <xdr:rowOff>81914</xdr:rowOff>
    </xdr:from>
    <xdr:to>
      <xdr:col>16</xdr:col>
      <xdr:colOff>57150</xdr:colOff>
      <xdr:row>40</xdr:row>
      <xdr:rowOff>57149</xdr:rowOff>
    </xdr:to>
    <xdr:graphicFrame macro="">
      <xdr:nvGraphicFramePr>
        <xdr:cNvPr id="3" name="Chart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a:extLst>
            <a:ext uri="{FF2B5EF4-FFF2-40B4-BE49-F238E27FC236}">
              <a16:creationId xmlns:a16="http://schemas.microsoft.com/office/drawing/2014/main" id="{00000000-0008-0000-5400-000002000000}"/>
            </a:ext>
          </a:extLst>
        </xdr:cNvPr>
        <xdr:cNvSpPr>
          <a:spLocks noChangeArrowheads="1"/>
        </xdr:cNvSpPr>
      </xdr:nvSpPr>
      <xdr:spPr bwMode="auto">
        <a:xfrm>
          <a:off x="2170430" y="3457575"/>
          <a:ext cx="3315314" cy="158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81915</xdr:rowOff>
    </xdr:from>
    <xdr:to>
      <xdr:col>17</xdr:col>
      <xdr:colOff>82550</xdr:colOff>
      <xdr:row>38</xdr:row>
      <xdr:rowOff>63500</xdr:rowOff>
    </xdr:to>
    <xdr:graphicFrame macro="">
      <xdr:nvGraphicFramePr>
        <xdr:cNvPr id="3" name="Chart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3</xdr:col>
      <xdr:colOff>640080</xdr:colOff>
      <xdr:row>20</xdr:row>
      <xdr:rowOff>142875</xdr:rowOff>
    </xdr:from>
    <xdr:to>
      <xdr:col>4</xdr:col>
      <xdr:colOff>0</xdr:colOff>
      <xdr:row>22</xdr:row>
      <xdr:rowOff>9525</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170430" y="5108575"/>
          <a:ext cx="191262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15</xdr:row>
      <xdr:rowOff>100965</xdr:rowOff>
    </xdr:from>
    <xdr:to>
      <xdr:col>12</xdr:col>
      <xdr:colOff>222250</xdr:colOff>
      <xdr:row>37</xdr:row>
      <xdr:rowOff>76201</xdr:rowOff>
    </xdr:to>
    <xdr:graphicFrame macro="">
      <xdr:nvGraphicFramePr>
        <xdr:cNvPr id="3" name="Chart 2">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1</xdr:colOff>
      <xdr:row>12</xdr:row>
      <xdr:rowOff>57150</xdr:rowOff>
    </xdr:from>
    <xdr:to>
      <xdr:col>13</xdr:col>
      <xdr:colOff>44451</xdr:colOff>
      <xdr:row>39</xdr:row>
      <xdr:rowOff>139700</xdr:rowOff>
    </xdr:to>
    <xdr:graphicFrame macro="">
      <xdr:nvGraphicFramePr>
        <xdr:cNvPr id="3" name="Chart 2">
          <a:extLst>
            <a:ext uri="{FF2B5EF4-FFF2-40B4-BE49-F238E27FC236}">
              <a16:creationId xmlns:a16="http://schemas.microsoft.com/office/drawing/2014/main" id="{C3341ECE-761E-42F5-A73E-0F1B462E4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20PME\1.%20Indicators\1.%20Development%20Indicators\2010\Temporary%20files\2011\3.%20INDICATORS\2.%20Economic%20Growth%20and%20Transformation\Economy%20and%20budget_NT%20updated%20ver%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Tovhowani.Tharaga\Desktop\Docs\Development%20Indicator%202012--\2020\Dev%20Indicators\Dev%20Indicaors%202020\Themes\Combined%20Dev_Ind%202019\Combined%20Sheet...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pme-ptaho-fnp01\dpme\Users\mandla.tshabalala\AppData\Local\Microsoft\Windows\Temporary%20Internet%20Files\Content.Outlook\UEQM1G47\Combined%20Version%202012%20ver%204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GWME\5.%20Development%20Indicators\2009\3.%20INDICATORS\4.%20Household%20&amp;%20Community%20Assets\Development%20Indicators%202009_HH%20Community%20Assets%20(Ver%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WME\5.%20Development%20Indicators\2008\Indicators\Documents%20and%20Settings\lufuno\Local%20Settings\Temporary%20Internet%20Files\OLK2\Social%20Sector%20MTR%20indicators%20(revised%20version%2021%20March%2007)%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GWME\5.%20Development%20Indicators\2009\3.%20INDICATORS\4.%20Household%20&amp;%20Community%20Assets\Development%20Indicators%202009_HH%20Community%20Assets%20(Ver%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enneth.Matlala\AppData\Local\Microsoft\Windows\INetCache\Content.Outlook\QDXLTA1L\Health_2019_.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6.%20Education\Development%20Indicators%202009_%20EDUCATION%20(Ve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mpme-ptaho-fnp01\dpme\Users\Thabo.Mabogoane\AppData\Local\Microsoft\Windows\Temporary%20Internet%20Files\Content.Outlook\W02ZPCFK\Educational%20Performance%20Indicator%20reformat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Maria.Mashao\Desktop\Short%20list%20GA%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8.%20Safety%20and%20Security\Development%20Indicators%202009_Safety%20and%20Security%20(Ve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Sseema\AppData\Local\Microsoft\Windows\Temporary%20Internet%20Files\Content.Outlook\830GZUIM\Graph%20290520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PA%20Perform%2020091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mpme-ptaho-fnp01\dpme\Users\Tovhowani.Tharaga\AppData\Local\Microsoft\Windows\Temporary%20Internet%20Files\Content.Outlook\EC4OVTDE\Copy%20of%20Book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mpme-ptaho-fnp01\dpme\STATISTICS\Annual%20Reports\2014%20to%202015\National%20Annual%20Progress%20Sheet%20Apr%2014%20to%20Mar%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ISTICS\Annual%20Reports\2018%20to%202019\NPS%20PERFOR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STATISTICS\Annual%20Reports\2018%20to%202019\National%20Annual%20Progress%20Sheet%20Apr%2018%20to%20Mar%20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mpme-ptaho-fnp01\dpme\STATISTICS\Annual%20Reports\2002%20to%202003\National%20Cluster%20Sheet%20Apr%202002%20to%20Mar%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pme-ptaho-fnp01\dpme\STATISTICS\Annual%20Reports\2003%20to%202004\National%20Cluster%20Sheet%20Apr%2003%20to%20Mar%2004%20SAT%20INC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pme-ptaho-fnp01\dpme\STATISTICS\Annual%20Reports\2004%20to%202005\National%20Progress%20Sheet%20Apr%2004%20to%20Mar%2005%202005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enneth.Matlala\AppData\Local\Microsoft\Windows\Temporary%20Internet%20Files\Content.Outlook\XT3LAW7G\Copy%20of%20version._analysis%20V1%20(000000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mpme-ptaho-fnp01\dpme\STATISTICS\Annual%20Reports\2005%20to%202006\National%20Annual%20Progress%20Sheet%20Apr%2005%20to%20Mar%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mpme-ptaho-fnp01\dpme\STATISTICS\Annual%20Reports\2007%20to%202008\National%20Annual%20Progress%20Sheet%20Apr%2007%20to%20Mar%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ational%20Annual%20Progress%20Sheet%20Apr%2009%20to%20Mar%2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Andr&#233;\Documents\WORK%20FILES\DIRCO\DPME\Inputs%20from%20OCSL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GWME\5.%20Development%20Indicators\2008\Indicators\Short%20list%20GA%20da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mpme-ptaho-fnp03\Users\GWME\5.%20Development%20Indicators\Development%20Indicators-%20Additional\2.%20BASE%20DATA\11.%20Good%20Governance\Audits\Auditor%20General%20SA_ver01_13May201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vmpme-ptaho-fnp03\Users\Users\Mosa.Mojapelo\Documents\Development%20Indicators\DI%202016\3.%20INDICATORS\0.Combined%20Themes\Development%20Indicators%20Combined%20version%202014%20%20V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mpme-ptaho-fnp01\dpme\15.%20Development%20Indicators\1.%20Development%20Indicators\2015\3.%20INDICATORS\11.%20Good%20Governance\Good%20Governance%20V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Tovhowani.Tharaga\Desktop\Docs\Development%20Indicator%202012--\2020\Dev%20Indicators\Dev%20Indicaors%202020\Themes\Environmental%20Sustainability\Updated%20till%202019%20data%20point%20%20Marine%20Biodiversity%20Protection%20Index.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Tovhowani.Tharaga\AppData\Local\Microsoft\Windows\INetCache\Content.Outlook\IPDGY17R\Tax_Final_2019_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20PME\1.%20Indicators\1.%20Development%20Indicators\2010\Temporary%20files\2011\3.%20INDICATORS\2.%20Economic%20Growth%20and%20Transformation\Economy%20and%20budget_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heladi.Sibanyoni\AppData\Local\Microsoft\Windows\Temporary%20Internet%20Files\Content.Outlook\49JSM339\Combined%20Version%20for%20web%20publish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onde.maluleka\Desktop\Dev%20Ind.%202012\0.Combined%20Themes\Combined%20Version%20for%20web%20publish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pme-fnp04\dpme\15.%20Development%20Indicators\1.%20Development%20Indicators\2015\3.%20INDICATORS\3.%20Employment\Analysis\Employment.%20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3.%20Poverty%20and%20Inequality\Development%20Indicators%202009_Poverty%20and%20Inequalit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NFDI"/>
      <sheetName val="GFCF"/>
      <sheetName val="B deficit"/>
      <sheetName val="G debt"/>
      <sheetName val="Interest"/>
      <sheetName val="Inflation"/>
      <sheetName val="Bondpoints Spread"/>
      <sheetName val="Foreign Trade"/>
      <sheetName val="Dwellings"/>
    </sheetNames>
    <sheetDataSet>
      <sheetData sheetId="0">
        <row r="2">
          <cell r="C2">
            <v>1</v>
          </cell>
        </row>
      </sheetData>
      <sheetData sheetId="1">
        <row r="2">
          <cell r="C2">
            <v>2</v>
          </cell>
        </row>
      </sheetData>
      <sheetData sheetId="2">
        <row r="2">
          <cell r="C2">
            <v>3</v>
          </cell>
        </row>
      </sheetData>
      <sheetData sheetId="3">
        <row r="2">
          <cell r="C2">
            <v>4</v>
          </cell>
        </row>
      </sheetData>
      <sheetData sheetId="4">
        <row r="2">
          <cell r="C2">
            <v>5</v>
          </cell>
        </row>
      </sheetData>
      <sheetData sheetId="5">
        <row r="2">
          <cell r="C2">
            <v>6</v>
          </cell>
        </row>
      </sheetData>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
      <sheetName val="GFCF  "/>
      <sheetName val="B balance  "/>
      <sheetName val="G debt  "/>
      <sheetName val="Interest   "/>
      <sheetName val="Inflation  "/>
      <sheetName val="Bond Points Spread "/>
      <sheetName val="R&amp;D  "/>
      <sheetName val="ICT  "/>
      <sheetName val="Patents  "/>
      <sheetName val="Balance of Payments"/>
      <sheetName val="Competitiveness  "/>
      <sheetName val="BM "/>
      <sheetName val="Employed  "/>
      <sheetName val="Unempl "/>
      <sheetName val="EPWP"/>
      <sheetName val="CWP "/>
      <sheetName val="Multidimensional poverty Index"/>
      <sheetName val="Inequality"/>
      <sheetName val="Poverty Headcount"/>
      <sheetName val="Poverty Gap indices  "/>
      <sheetName val="Grants"/>
      <sheetName val="Persons with disability "/>
      <sheetName val="Dwellings "/>
      <sheetName val="Water"/>
      <sheetName val="Sanitation"/>
      <sheetName val="Electricity "/>
      <sheetName val="Land restitution"/>
      <sheetName val="Land redistribution  "/>
      <sheetName val="Life Expectancy "/>
      <sheetName val="Infant &amp; Child mortality"/>
      <sheetName val="Severe Acute Malnutrition"/>
      <sheetName val="Immunization (2)"/>
      <sheetName val="Maternal mortality"/>
      <sheetName val="HIV Prevalance  (2)"/>
      <sheetName val="ART new TROA (2)"/>
      <sheetName val="TB (2)"/>
      <sheetName val="Malaria"/>
      <sheetName val="ECD"/>
      <sheetName val="Educator Learner ratio"/>
      <sheetName val="Gender parity index"/>
      <sheetName val="Education Attainment and NEET"/>
      <sheetName val="Matric pass rate"/>
      <sheetName val="Mathematics pass rate (2)"/>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
      <sheetName val="Property crime"/>
      <sheetName val="Contact crime"/>
      <sheetName val="Serious robberies"/>
      <sheetName val="Drug-Related Crime "/>
      <sheetName val="Sexual offences "/>
      <sheetName val="Corruption Cases "/>
      <sheetName val="Conviction rate "/>
      <sheetName val="Inmates "/>
      <sheetName val="Rehabilitation  "/>
      <sheetName val="Parolees  "/>
      <sheetName val="Road Accident "/>
      <sheetName val="Development cooperation"/>
      <sheetName val="Tourism"/>
      <sheetName val="Missions"/>
      <sheetName val="International Agreements"/>
      <sheetName val="Tax Admin"/>
      <sheetName val="Qualified Audits "/>
      <sheetName val="Corruption "/>
      <sheetName val="Budget Process "/>
      <sheetName val="Public Opinion  "/>
      <sheetName val="Doing Business "/>
      <sheetName val="Greenhouse Gas Emissions "/>
      <sheetName val="Air Quality Indicators (2)"/>
      <sheetName val="Terresterial BIo (2)"/>
      <sheetName val="Marine Biodiverity Prot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8">
          <cell r="L48" t="str">
            <v>2003/04</v>
          </cell>
          <cell r="M48" t="str">
            <v>2004/05</v>
          </cell>
          <cell r="N48" t="str">
            <v>2005/06</v>
          </cell>
          <cell r="O48" t="str">
            <v>2006/07</v>
          </cell>
          <cell r="P48" t="str">
            <v>2007/08</v>
          </cell>
          <cell r="Q48" t="str">
            <v>2008/09</v>
          </cell>
          <cell r="R48" t="str">
            <v>2009/10</v>
          </cell>
          <cell r="S48" t="str">
            <v>2010/11</v>
          </cell>
          <cell r="T48" t="str">
            <v>2011/12</v>
          </cell>
          <cell r="U48" t="str">
            <v>2012/13</v>
          </cell>
          <cell r="V48" t="str">
            <v xml:space="preserve">
2013/14 </v>
          </cell>
          <cell r="W48" t="str">
            <v xml:space="preserve">
2014/15</v>
          </cell>
          <cell r="X48" t="str">
            <v xml:space="preserve">
2015/16</v>
          </cell>
          <cell r="Y48" t="str">
            <v>2016/17</v>
          </cell>
          <cell r="Z48" t="str">
            <v>2017/18</v>
          </cell>
          <cell r="AA48" t="str">
            <v>2018/19</v>
          </cell>
        </row>
        <row r="49">
          <cell r="K49" t="str">
            <v>Expenditure (R million)</v>
          </cell>
          <cell r="L49">
            <v>36982</v>
          </cell>
          <cell r="M49">
            <v>44885</v>
          </cell>
          <cell r="N49">
            <v>50708</v>
          </cell>
          <cell r="O49">
            <v>57032</v>
          </cell>
          <cell r="P49">
            <v>62467</v>
          </cell>
          <cell r="Q49">
            <v>70715</v>
          </cell>
          <cell r="R49">
            <v>80080</v>
          </cell>
          <cell r="S49">
            <v>87493</v>
          </cell>
          <cell r="T49">
            <v>95973</v>
          </cell>
          <cell r="U49">
            <v>103899</v>
          </cell>
          <cell r="V49">
            <v>109597</v>
          </cell>
          <cell r="W49">
            <v>120702</v>
          </cell>
          <cell r="X49">
            <v>128868</v>
          </cell>
          <cell r="Y49">
            <v>164936</v>
          </cell>
          <cell r="Z49">
            <v>178330</v>
          </cell>
          <cell r="AA49">
            <v>192714</v>
          </cell>
        </row>
        <row r="50">
          <cell r="K50" t="str">
            <v>% of GDP</v>
          </cell>
          <cell r="L50">
            <v>2.9000000000000001E-2</v>
          </cell>
          <cell r="M50">
            <v>3.1E-2</v>
          </cell>
          <cell r="N50">
            <v>3.2000000000000001E-2</v>
          </cell>
          <cell r="O50">
            <v>3.3000000000000002E-2</v>
          </cell>
          <cell r="P50">
            <v>3.2000000000000001E-2</v>
          </cell>
          <cell r="Q50">
            <v>3.3000000000000002E-2</v>
          </cell>
          <cell r="R50">
            <v>3.5000000000000003E-2</v>
          </cell>
          <cell r="S50">
            <v>3.4000000000000002E-2</v>
          </cell>
          <cell r="T50">
            <v>3.1E-2</v>
          </cell>
          <cell r="U50">
            <v>3.1E-2</v>
          </cell>
          <cell r="V50">
            <v>0.03</v>
          </cell>
          <cell r="W50">
            <v>3.1E-2</v>
          </cell>
          <cell r="X50">
            <v>3.2000000000000001E-2</v>
          </cell>
          <cell r="Y50">
            <v>3.1E-2</v>
          </cell>
          <cell r="Z50">
            <v>3.2000000000000001E-2</v>
          </cell>
          <cell r="AA50">
            <v>3.2000000000000001E-2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cell r="F8">
            <v>1995</v>
          </cell>
          <cell r="G8">
            <v>1996</v>
          </cell>
          <cell r="H8">
            <v>1997</v>
          </cell>
          <cell r="I8">
            <v>1998</v>
          </cell>
          <cell r="J8">
            <v>1999</v>
          </cell>
          <cell r="K8">
            <v>2000</v>
          </cell>
          <cell r="L8">
            <v>2001</v>
          </cell>
          <cell r="M8">
            <v>2002</v>
          </cell>
          <cell r="N8">
            <v>2003</v>
          </cell>
          <cell r="O8">
            <v>2004</v>
          </cell>
          <cell r="P8">
            <v>2005</v>
          </cell>
          <cell r="Q8">
            <v>2006</v>
          </cell>
          <cell r="R8">
            <v>2007</v>
          </cell>
        </row>
        <row r="9">
          <cell r="D9" t="str">
            <v>Number of households (HH)</v>
          </cell>
          <cell r="E9">
            <v>8584556</v>
          </cell>
          <cell r="G9">
            <v>9059606</v>
          </cell>
          <cell r="H9">
            <v>9256706.9999995604</v>
          </cell>
          <cell r="I9">
            <v>9287695.6120841391</v>
          </cell>
          <cell r="J9">
            <v>10770793.000000101</v>
          </cell>
          <cell r="L9">
            <v>11205705</v>
          </cell>
          <cell r="M9">
            <v>11479000</v>
          </cell>
          <cell r="N9">
            <v>12041000</v>
          </cell>
          <cell r="O9">
            <v>12194000</v>
          </cell>
          <cell r="P9">
            <v>12726000</v>
          </cell>
          <cell r="Q9">
            <v>12972000</v>
          </cell>
          <cell r="R9">
            <v>12500610</v>
          </cell>
        </row>
        <row r="10">
          <cell r="D10" t="str">
            <v>HH in formal dwelling</v>
          </cell>
          <cell r="G10">
            <v>5794386</v>
          </cell>
          <cell r="H10">
            <v>6832118.9999995902</v>
          </cell>
          <cell r="I10">
            <v>6624272.6928029303</v>
          </cell>
          <cell r="J10">
            <v>7957934.0000000903</v>
          </cell>
          <cell r="L10">
            <v>7680422</v>
          </cell>
          <cell r="M10">
            <v>8349000</v>
          </cell>
          <cell r="N10">
            <v>8865000</v>
          </cell>
          <cell r="O10">
            <v>8974000</v>
          </cell>
          <cell r="P10">
            <v>8878000</v>
          </cell>
          <cell r="Q10">
            <v>9111000</v>
          </cell>
          <cell r="R10">
            <v>8812930</v>
          </cell>
        </row>
        <row r="20">
          <cell r="D20" t="str">
            <v>Subsidised Housing units completed / in progress</v>
          </cell>
        </row>
      </sheetData>
      <sheetData sheetId="1"/>
      <sheetData sheetId="2"/>
      <sheetData sheetId="3">
        <row r="59">
          <cell r="E59">
            <v>1995</v>
          </cell>
          <cell r="F59">
            <v>1996</v>
          </cell>
          <cell r="G59">
            <v>1997</v>
          </cell>
          <cell r="H59">
            <v>1998</v>
          </cell>
          <cell r="I59">
            <v>1999</v>
          </cell>
          <cell r="J59">
            <v>2000</v>
          </cell>
          <cell r="K59">
            <v>2001</v>
          </cell>
          <cell r="L59">
            <v>2002</v>
          </cell>
          <cell r="M59">
            <v>2003</v>
          </cell>
          <cell r="N59">
            <v>2004</v>
          </cell>
          <cell r="O59">
            <v>2005</v>
          </cell>
          <cell r="P59">
            <v>2006</v>
          </cell>
        </row>
        <row r="60">
          <cell r="D60" t="str">
            <v>Total number of households</v>
          </cell>
          <cell r="E60">
            <v>8802000</v>
          </cell>
          <cell r="F60">
            <v>9059571</v>
          </cell>
          <cell r="G60">
            <v>9258000</v>
          </cell>
          <cell r="H60">
            <v>9288000</v>
          </cell>
          <cell r="I60">
            <v>11077100</v>
          </cell>
          <cell r="J60">
            <v>11098642</v>
          </cell>
          <cell r="K60">
            <v>11205705</v>
          </cell>
          <cell r="L60">
            <v>11147900</v>
          </cell>
          <cell r="M60">
            <v>11205706</v>
          </cell>
          <cell r="N60">
            <v>11634817</v>
          </cell>
          <cell r="O60">
            <v>12726000</v>
          </cell>
          <cell r="P60">
            <v>12980520</v>
          </cell>
        </row>
        <row r="61">
          <cell r="D61" t="str">
            <v>HH with access to electricity</v>
          </cell>
          <cell r="E61">
            <v>4477400</v>
          </cell>
          <cell r="F61">
            <v>4900694</v>
          </cell>
          <cell r="G61">
            <v>5544968</v>
          </cell>
          <cell r="H61">
            <v>5801242</v>
          </cell>
          <cell r="I61">
            <v>6774207</v>
          </cell>
          <cell r="J61">
            <v>6777997</v>
          </cell>
          <cell r="K61">
            <v>7735748</v>
          </cell>
          <cell r="L61">
            <v>8459895</v>
          </cell>
          <cell r="M61">
            <v>8571043</v>
          </cell>
          <cell r="N61">
            <v>8677400</v>
          </cell>
          <cell r="O61">
            <v>9508000</v>
          </cell>
          <cell r="P61">
            <v>9563987</v>
          </cell>
        </row>
        <row r="63">
          <cell r="D63" t="str">
            <v>New electrical connections</v>
          </cell>
          <cell r="F63">
            <v>932762</v>
          </cell>
          <cell r="G63">
            <v>1432073</v>
          </cell>
          <cell r="H63">
            <v>1859499</v>
          </cell>
          <cell r="I63">
            <v>2302789</v>
          </cell>
          <cell r="J63">
            <v>2699808</v>
          </cell>
          <cell r="K63">
            <v>3036726</v>
          </cell>
          <cell r="L63">
            <v>3375298</v>
          </cell>
          <cell r="M63">
            <v>3654060</v>
          </cell>
          <cell r="N63">
            <v>3900899</v>
          </cell>
          <cell r="O63">
            <v>4124912</v>
          </cell>
          <cell r="P63">
            <v>4283396</v>
          </cell>
        </row>
      </sheetData>
      <sheetData sheetId="4">
        <row r="12">
          <cell r="K12" t="str">
            <v xml:space="preserve">GRANTS IN RANDS </v>
          </cell>
        </row>
      </sheetData>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Gini Coefficient"/>
      <sheetName val="HCI"/>
      <sheetName val="PGI"/>
      <sheetName val="Theil Index of Inequality"/>
      <sheetName val="Squared PGI"/>
      <sheetName val="Grants"/>
      <sheetName val="HDI"/>
      <sheetName val="student teacher ratio"/>
      <sheetName val="gender parity index"/>
      <sheetName val="Matric pass rate"/>
      <sheetName val="S&amp;M matric"/>
      <sheetName val="literacy"/>
      <sheetName val="Science gender parity"/>
      <sheetName val="Maths gender parity"/>
      <sheetName val="Life Expectancy"/>
      <sheetName val="Infant Mortality"/>
      <sheetName val="Matenal Mortality"/>
      <sheetName val="HIV and AIDS"/>
      <sheetName val="TB Notification"/>
      <sheetName val="Malaria"/>
      <sheetName val="Kwashiokor"/>
      <sheetName val="Stunting Prevelance Rate"/>
      <sheetName val="Dwelling"/>
      <sheetName val="water"/>
      <sheetName val="sanitation"/>
      <sheetName val="electricity"/>
      <sheetName val="land claims"/>
      <sheetName val="land restored"/>
      <sheetName val="members participation"/>
      <sheetName val="identity pride etc"/>
      <sheetName val="Race Relations"/>
      <sheetName val="Confident of Happy Future"/>
      <sheetName val="Pride in being South African"/>
      <sheetName val="Class Id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v>1994</v>
          </cell>
          <cell r="E8">
            <v>1995</v>
          </cell>
          <cell r="F8">
            <v>1996</v>
          </cell>
          <cell r="G8">
            <v>1997</v>
          </cell>
          <cell r="H8">
            <v>1998</v>
          </cell>
          <cell r="I8">
            <v>1999</v>
          </cell>
          <cell r="J8">
            <v>2000</v>
          </cell>
          <cell r="K8">
            <v>2001</v>
          </cell>
          <cell r="L8">
            <v>2002</v>
          </cell>
          <cell r="M8">
            <v>2003</v>
          </cell>
          <cell r="N8">
            <v>2004</v>
          </cell>
          <cell r="O8">
            <v>2005</v>
          </cell>
        </row>
        <row r="9">
          <cell r="C9" t="str">
            <v>Household with access to electricity for lighting</v>
          </cell>
          <cell r="D9">
            <v>0.51900000000000002</v>
          </cell>
          <cell r="F9">
            <v>0.57299999999999995</v>
          </cell>
          <cell r="I9">
            <v>0.69499999999999995</v>
          </cell>
          <cell r="L9">
            <v>0.76200000000000001</v>
          </cell>
          <cell r="M9">
            <v>0.77800000000000002</v>
          </cell>
          <cell r="N9">
            <v>0.80200000000000005</v>
          </cell>
          <cell r="O9">
            <v>0.80200000000000005</v>
          </cell>
        </row>
        <row r="10">
          <cell r="C10" t="str">
            <v>Proportion of Households with access to electricity</v>
          </cell>
        </row>
        <row r="11">
          <cell r="C11" t="str">
            <v>Total number of households</v>
          </cell>
        </row>
      </sheetData>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row>
      </sheetData>
      <sheetData sheetId="1"/>
      <sheetData sheetId="2"/>
      <sheetData sheetId="3">
        <row r="59">
          <cell r="E59">
            <v>1995</v>
          </cell>
        </row>
      </sheetData>
      <sheetData sheetId="4">
        <row r="12">
          <cell r="K12" t="str">
            <v xml:space="preserve">GRANTS IN RANDS </v>
          </cell>
        </row>
        <row r="13">
          <cell r="E13" t="str">
            <v>Claims</v>
          </cell>
          <cell r="F13" t="str">
            <v>HHs</v>
          </cell>
          <cell r="G13" t="str">
            <v>Beneficiaries</v>
          </cell>
          <cell r="H13" t="str">
            <v>Ha</v>
          </cell>
          <cell r="I13" t="str">
            <v>Land Costs</v>
          </cell>
          <cell r="J13" t="str">
            <v>Financial Compensation</v>
          </cell>
          <cell r="K13" t="str">
            <v xml:space="preserve">Development </v>
          </cell>
          <cell r="L13" t="str">
            <v>RDG</v>
          </cell>
          <cell r="M13" t="str">
            <v>SPG</v>
          </cell>
          <cell r="N13" t="str">
            <v>RSG</v>
          </cell>
          <cell r="O13" t="str">
            <v>TOTAL</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 Expectancy "/>
      <sheetName val="Infant &amp; Child mortality"/>
      <sheetName val="Stunting"/>
      <sheetName val="Immunization"/>
      <sheetName val="Martenal mortality"/>
      <sheetName val="HIV Prevalance "/>
      <sheetName val="ART new TROA"/>
      <sheetName val="TB"/>
      <sheetName val="Malaria"/>
    </sheetNames>
    <sheetDataSet>
      <sheetData sheetId="0"/>
      <sheetData sheetId="1"/>
      <sheetData sheetId="2"/>
      <sheetData sheetId="3">
        <row r="8">
          <cell r="G8">
            <v>2000</v>
          </cell>
        </row>
      </sheetData>
      <sheetData sheetId="4"/>
      <sheetData sheetId="5">
        <row r="2">
          <cell r="C2">
            <v>37</v>
          </cell>
        </row>
      </sheetData>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row r="8">
          <cell r="D8" t="str">
            <v>South Africa</v>
          </cell>
          <cell r="G8" t="str">
            <v>Chile</v>
          </cell>
          <cell r="J8" t="str">
            <v>Korea</v>
          </cell>
          <cell r="M8" t="str">
            <v>Poland</v>
          </cell>
        </row>
        <row r="9">
          <cell r="D9">
            <v>1995</v>
          </cell>
          <cell r="E9">
            <v>2001</v>
          </cell>
          <cell r="F9">
            <v>2006</v>
          </cell>
          <cell r="G9">
            <v>1995</v>
          </cell>
          <cell r="H9">
            <v>2001</v>
          </cell>
          <cell r="I9">
            <v>2006</v>
          </cell>
          <cell r="J9">
            <v>1995</v>
          </cell>
          <cell r="K9">
            <v>2001</v>
          </cell>
          <cell r="L9">
            <v>2006</v>
          </cell>
          <cell r="M9">
            <v>1995</v>
          </cell>
          <cell r="N9">
            <v>2001</v>
          </cell>
          <cell r="O9">
            <v>2006</v>
          </cell>
        </row>
        <row r="10">
          <cell r="C10" t="str">
            <v>Church or religious</v>
          </cell>
          <cell r="D10">
            <v>0.58399999999999996</v>
          </cell>
          <cell r="E10">
            <v>0.52400000000000002</v>
          </cell>
          <cell r="G10">
            <v>0.28100000000000003</v>
          </cell>
          <cell r="J10">
            <v>0.155</v>
          </cell>
          <cell r="K10">
            <v>0.43</v>
          </cell>
          <cell r="N10">
            <v>5.7000000000000002E-2</v>
          </cell>
        </row>
        <row r="13">
          <cell r="C13" t="str">
            <v>Labour union</v>
          </cell>
          <cell r="D13">
            <v>7.4999999999999997E-2</v>
          </cell>
          <cell r="E13">
            <v>9.2999999999999999E-2</v>
          </cell>
          <cell r="G13">
            <v>5.6000000000000001E-2</v>
          </cell>
          <cell r="H13">
            <v>0.03</v>
          </cell>
          <cell r="J13">
            <v>1.9E-2</v>
          </cell>
          <cell r="K13">
            <v>4.7E-2</v>
          </cell>
          <cell r="M13">
            <v>2.1000000000000001E-2</v>
          </cell>
          <cell r="N13">
            <v>0.10299999999999999</v>
          </cell>
        </row>
        <row r="14">
          <cell r="C14" t="str">
            <v xml:space="preserve">Political party </v>
          </cell>
          <cell r="D14">
            <v>0.114</v>
          </cell>
          <cell r="E14">
            <v>0.115</v>
          </cell>
          <cell r="G14">
            <v>2.8000000000000001E-2</v>
          </cell>
          <cell r="H14">
            <v>2.4E-2</v>
          </cell>
          <cell r="J14">
            <v>2.5000000000000001E-2</v>
          </cell>
          <cell r="K14">
            <v>0.02</v>
          </cell>
          <cell r="M14">
            <v>5.0000000000000001E-3</v>
          </cell>
          <cell r="N14">
            <v>7.0000000000000001E-3</v>
          </cell>
        </row>
      </sheetData>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4">
          <cell r="E4" t="str">
            <v>2011/12</v>
          </cell>
          <cell r="F4" t="str">
            <v>2012/13</v>
          </cell>
          <cell r="G4" t="str">
            <v>2013/14</v>
          </cell>
          <cell r="H4" t="str">
            <v>2014/15</v>
          </cell>
          <cell r="I4" t="str">
            <v>2015/16</v>
          </cell>
          <cell r="J4" t="str">
            <v>2016/17</v>
          </cell>
          <cell r="K4" t="str">
            <v>2017/18</v>
          </cell>
          <cell r="L4" t="str">
            <v>2018/19</v>
          </cell>
          <cell r="M4" t="str">
            <v>2019/20</v>
          </cell>
        </row>
        <row r="5">
          <cell r="B5" t="str">
            <v>Value of Forfeiture Assets(Rand in Millions)</v>
          </cell>
          <cell r="E5">
            <v>164000</v>
          </cell>
          <cell r="F5">
            <v>119000</v>
          </cell>
          <cell r="G5">
            <v>294000</v>
          </cell>
          <cell r="H5">
            <v>1940000</v>
          </cell>
          <cell r="I5">
            <v>3495000</v>
          </cell>
          <cell r="J5">
            <v>1194000</v>
          </cell>
          <cell r="K5">
            <v>4400000</v>
          </cell>
          <cell r="L5">
            <v>455000</v>
          </cell>
          <cell r="M5">
            <v>455000</v>
          </cell>
        </row>
        <row r="6">
          <cell r="B6" t="str">
            <v>Freeze Assets completed</v>
          </cell>
          <cell r="E6">
            <v>318</v>
          </cell>
          <cell r="F6">
            <v>276</v>
          </cell>
          <cell r="G6">
            <v>363</v>
          </cell>
          <cell r="H6">
            <v>342</v>
          </cell>
          <cell r="I6">
            <v>326</v>
          </cell>
          <cell r="J6">
            <v>377</v>
          </cell>
          <cell r="K6">
            <v>324</v>
          </cell>
          <cell r="L6">
            <v>273</v>
          </cell>
          <cell r="M6">
            <v>326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15">
          <cell r="K15">
            <v>331045</v>
          </cell>
        </row>
        <row r="16">
          <cell r="K16">
            <v>293673</v>
          </cell>
        </row>
        <row r="19">
          <cell r="K19">
            <v>129846</v>
          </cell>
        </row>
        <row r="23">
          <cell r="K23">
            <v>218660</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row r="79">
          <cell r="J79">
            <v>931799</v>
          </cell>
          <cell r="T79">
            <v>301798</v>
          </cell>
          <cell r="X79">
            <v>329153</v>
          </cell>
          <cell r="BA79">
            <v>176189</v>
          </cell>
          <cell r="BB79">
            <v>505342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M"/>
      <sheetName val="sccu OVERVIEW (4)"/>
      <sheetName val="NPA PERFORM OVERVIEW"/>
      <sheetName val="Sheet2"/>
      <sheetName val="Sheet1"/>
      <sheetName val="graphs"/>
      <sheetName val="Sheet3"/>
    </sheetNames>
    <sheetDataSet>
      <sheetData sheetId="0" refreshError="1"/>
      <sheetData sheetId="1" refreshError="1"/>
      <sheetData sheetId="2">
        <row r="4">
          <cell r="P4">
            <v>884088</v>
          </cell>
          <cell r="Q4">
            <v>888053</v>
          </cell>
        </row>
        <row r="28">
          <cell r="P28">
            <v>341360</v>
          </cell>
          <cell r="Q28">
            <v>335161</v>
          </cell>
        </row>
        <row r="36">
          <cell r="P36">
            <v>321190</v>
          </cell>
          <cell r="Q36">
            <v>317475</v>
          </cell>
        </row>
        <row r="40">
          <cell r="P40">
            <v>164016</v>
          </cell>
          <cell r="Q40">
            <v>159654</v>
          </cell>
        </row>
        <row r="60">
          <cell r="P60">
            <v>171312</v>
          </cell>
          <cell r="R60">
            <v>167901</v>
          </cell>
        </row>
      </sheetData>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18 ALL CRTS"/>
      <sheetName val="17.18 LC"/>
      <sheetName val="DOC17.18"/>
      <sheetName val="17.18 Q"/>
      <sheetName val="REPS 17.18"/>
      <sheetName val="18.19 ALL CRTS"/>
      <sheetName val="Sheet2"/>
      <sheetName val="18.19 LC"/>
      <sheetName val="DOC 18.19"/>
      <sheetName val="REPS 18.19"/>
      <sheetName val="18.19 (Q)"/>
      <sheetName val="GRAPHS18.19 (Q1)"/>
      <sheetName val="GRAPHS18.19 (Q1.Q2)"/>
      <sheetName val="GRAPHS18.19 (Q2)"/>
      <sheetName val="GRAPHS18.19 (Q3)"/>
      <sheetName val="GRAPHS18.19 (Q4)"/>
      <sheetName val="GRAPHS18.19"/>
      <sheetName val="MURDER"/>
      <sheetName val="SCCU"/>
      <sheetName val="SO"/>
      <sheetName val="CYBER CRIME"/>
      <sheetName val="TRIO"/>
      <sheetName val="RHINO"/>
      <sheetName val="ENVIRO"/>
      <sheetName val="APPEALS.ORG CRIME.TAX"/>
      <sheetName val="Sheet1"/>
    </sheetNames>
    <sheetDataSet>
      <sheetData sheetId="0">
        <row r="66">
          <cell r="O66">
            <v>5952</v>
          </cell>
        </row>
      </sheetData>
      <sheetData sheetId="1">
        <row r="31">
          <cell r="B31">
            <v>1032.9166666666667</v>
          </cell>
        </row>
      </sheetData>
      <sheetData sheetId="2">
        <row r="217">
          <cell r="U217">
            <v>0.94503470428356429</v>
          </cell>
        </row>
      </sheetData>
      <sheetData sheetId="3"/>
      <sheetData sheetId="4"/>
      <sheetData sheetId="5">
        <row r="19">
          <cell r="R19">
            <v>66</v>
          </cell>
        </row>
        <row r="32">
          <cell r="S32">
            <v>0.89958592132505177</v>
          </cell>
        </row>
        <row r="75">
          <cell r="AF75">
            <v>181912</v>
          </cell>
        </row>
        <row r="77">
          <cell r="R77">
            <v>260456</v>
          </cell>
          <cell r="S77">
            <v>0.94262582832987707</v>
          </cell>
          <cell r="U77">
            <v>276309</v>
          </cell>
          <cell r="AD77">
            <v>149469</v>
          </cell>
          <cell r="AE77">
            <v>425778</v>
          </cell>
          <cell r="AL77">
            <v>792895</v>
          </cell>
        </row>
      </sheetData>
      <sheetData sheetId="6" refreshError="1"/>
      <sheetData sheetId="7">
        <row r="24">
          <cell r="AH24">
            <v>14529</v>
          </cell>
        </row>
        <row r="32">
          <cell r="S32">
            <v>0.95699476837738839</v>
          </cell>
        </row>
        <row r="62">
          <cell r="S62">
            <v>0.8171851005321239</v>
          </cell>
        </row>
      </sheetData>
      <sheetData sheetId="8">
        <row r="231">
          <cell r="L231">
            <v>0.92591804434277203</v>
          </cell>
        </row>
      </sheetData>
      <sheetData sheetId="9"/>
      <sheetData sheetId="10">
        <row r="39">
          <cell r="S39">
            <v>0.89230769230769236</v>
          </cell>
        </row>
      </sheetData>
      <sheetData sheetId="11"/>
      <sheetData sheetId="12"/>
      <sheetData sheetId="13"/>
      <sheetData sheetId="14"/>
      <sheetData sheetId="15"/>
      <sheetData sheetId="16"/>
      <sheetData sheetId="17">
        <row r="3">
          <cell r="B3">
            <v>283</v>
          </cell>
        </row>
      </sheetData>
      <sheetData sheetId="18">
        <row r="3">
          <cell r="B3">
            <v>65</v>
          </cell>
        </row>
      </sheetData>
      <sheetData sheetId="19">
        <row r="3">
          <cell r="B3">
            <v>386</v>
          </cell>
        </row>
      </sheetData>
      <sheetData sheetId="20">
        <row r="3">
          <cell r="B3">
            <v>35</v>
          </cell>
        </row>
      </sheetData>
      <sheetData sheetId="21">
        <row r="3">
          <cell r="B3">
            <v>110</v>
          </cell>
        </row>
      </sheetData>
      <sheetData sheetId="22"/>
      <sheetData sheetId="23">
        <row r="3">
          <cell r="B3">
            <v>82</v>
          </cell>
        </row>
      </sheetData>
      <sheetData sheetId="24">
        <row r="3">
          <cell r="C3">
            <v>86</v>
          </cell>
        </row>
      </sheetData>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Trade (2)"/>
      <sheetName val="Intro "/>
      <sheetName val="GDP "/>
      <sheetName val="GDP per Capita "/>
      <sheetName val="R&amp;D "/>
      <sheetName val="Competitiveness "/>
      <sheetName val="Inflation "/>
      <sheetName val="Patents"/>
      <sheetName val="Foreign Trade"/>
      <sheetName val="GFCF "/>
      <sheetName val="NFDI "/>
      <sheetName val="B deficit "/>
      <sheetName val="G debt "/>
      <sheetName val="Interest "/>
      <sheetName val="Bondpoints Spread "/>
      <sheetName val="Patents_T"/>
      <sheetName val="ICT_T"/>
    </sheetNames>
    <sheetDataSet>
      <sheetData sheetId="0" refreshError="1"/>
      <sheetData sheetId="1" refreshError="1"/>
      <sheetData sheetId="2" refreshError="1"/>
      <sheetData sheetId="3" refreshError="1"/>
      <sheetData sheetId="4" refreshError="1"/>
      <sheetData sheetId="5" refreshError="1"/>
      <sheetData sheetId="6">
        <row r="2">
          <cell r="C2">
            <v>8</v>
          </cell>
        </row>
        <row r="46">
          <cell r="G46">
            <v>9.7990149990723641</v>
          </cell>
        </row>
      </sheetData>
      <sheetData sheetId="7">
        <row r="8">
          <cell r="E8">
            <v>2003</v>
          </cell>
        </row>
      </sheetData>
      <sheetData sheetId="8">
        <row r="8">
          <cell r="E8">
            <v>35064</v>
          </cell>
        </row>
      </sheetData>
      <sheetData sheetId="9">
        <row r="8">
          <cell r="F8">
            <v>1995</v>
          </cell>
        </row>
      </sheetData>
      <sheetData sheetId="10">
        <row r="8">
          <cell r="E8" t="str">
            <v>1994</v>
          </cell>
        </row>
      </sheetData>
      <sheetData sheetId="11">
        <row r="9">
          <cell r="E9" t="str">
            <v>1993/94</v>
          </cell>
        </row>
      </sheetData>
      <sheetData sheetId="12">
        <row r="8">
          <cell r="E8" t="str">
            <v>1994/95</v>
          </cell>
        </row>
      </sheetData>
      <sheetData sheetId="13">
        <row r="9">
          <cell r="E9" t="str">
            <v>1994</v>
          </cell>
        </row>
      </sheetData>
      <sheetData sheetId="14">
        <row r="8">
          <cell r="E8">
            <v>36160</v>
          </cell>
        </row>
      </sheetData>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cooperation"/>
      <sheetName val="Tourism"/>
      <sheetName val="Missions"/>
      <sheetName val="International Agreements"/>
    </sheetNames>
    <sheetDataSet>
      <sheetData sheetId="0"/>
      <sheetData sheetId="1"/>
      <sheetData sheetId="2">
        <row r="2">
          <cell r="C2">
            <v>76</v>
          </cell>
        </row>
      </sheetData>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sheetData sheetId="5">
        <row r="8">
          <cell r="E8">
            <v>1996</v>
          </cell>
          <cell r="F8">
            <v>1997</v>
          </cell>
          <cell r="G8">
            <v>1998</v>
          </cell>
          <cell r="H8">
            <v>1999</v>
          </cell>
          <cell r="I8">
            <v>2000</v>
          </cell>
          <cell r="J8">
            <v>2001</v>
          </cell>
          <cell r="K8">
            <v>2002</v>
          </cell>
          <cell r="L8">
            <v>2003</v>
          </cell>
          <cell r="M8">
            <v>2004</v>
          </cell>
          <cell r="N8">
            <v>2005</v>
          </cell>
          <cell r="O8">
            <v>2006</v>
          </cell>
        </row>
        <row r="9">
          <cell r="C9" t="str">
            <v>Revenue collection</v>
          </cell>
          <cell r="E9">
            <v>147.30000000000001</v>
          </cell>
          <cell r="F9">
            <v>165.3</v>
          </cell>
          <cell r="G9">
            <v>184.8</v>
          </cell>
          <cell r="H9">
            <v>201.4</v>
          </cell>
          <cell r="I9">
            <v>220.3</v>
          </cell>
          <cell r="J9">
            <v>252.3</v>
          </cell>
          <cell r="K9">
            <v>282.2</v>
          </cell>
          <cell r="L9">
            <v>302.5</v>
          </cell>
          <cell r="M9">
            <v>355</v>
          </cell>
          <cell r="N9">
            <v>417.3</v>
          </cell>
          <cell r="O9">
            <v>486.4</v>
          </cell>
        </row>
        <row r="10">
          <cell r="C10" t="str">
            <v>Annual tax relief</v>
          </cell>
          <cell r="D10" t="str">
            <v>R'billion</v>
          </cell>
          <cell r="E10">
            <v>2.4</v>
          </cell>
          <cell r="F10">
            <v>0.90800000000000003</v>
          </cell>
          <cell r="H10">
            <v>3.57</v>
          </cell>
          <cell r="I10">
            <v>8.48</v>
          </cell>
          <cell r="J10">
            <v>9.06</v>
          </cell>
          <cell r="K10">
            <v>15.17</v>
          </cell>
          <cell r="L10">
            <v>15.06</v>
          </cell>
          <cell r="M10">
            <v>2.2999999999999998</v>
          </cell>
          <cell r="N10">
            <v>9.3800000000000008</v>
          </cell>
          <cell r="O10">
            <v>19.3</v>
          </cell>
        </row>
        <row r="11">
          <cell r="C11" t="str">
            <v>Tax register</v>
          </cell>
          <cell r="D11" t="str">
            <v>no</v>
          </cell>
          <cell r="E11">
            <v>3166795</v>
          </cell>
          <cell r="F11">
            <v>3568089</v>
          </cell>
          <cell r="G11">
            <v>3671130</v>
          </cell>
          <cell r="H11">
            <v>3941375</v>
          </cell>
          <cell r="I11">
            <v>4094271</v>
          </cell>
          <cell r="J11">
            <v>4623870</v>
          </cell>
          <cell r="K11">
            <v>5102227</v>
          </cell>
          <cell r="L11">
            <v>5608223</v>
          </cell>
          <cell r="M11">
            <v>6085436</v>
          </cell>
          <cell r="N11">
            <v>6624767</v>
          </cell>
          <cell r="O11">
            <v>7277006</v>
          </cell>
        </row>
      </sheetData>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 val="Tax Admin"/>
    </sheetNames>
    <sheetDataSet>
      <sheetData sheetId="0" refreshError="1"/>
      <sheetData sheetId="1" refreshError="1">
        <row r="17">
          <cell r="I17">
            <v>33</v>
          </cell>
        </row>
        <row r="18">
          <cell r="I18">
            <v>12</v>
          </cell>
        </row>
      </sheetData>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s>
    <sheetDataSet>
      <sheetData sheetId="0"/>
      <sheetData sheetId="1"/>
      <sheetData sheetId="2"/>
      <sheetData sheetId="3"/>
      <sheetData sheetId="4">
        <row r="53">
          <cell r="E53">
            <v>2000</v>
          </cell>
          <cell r="F53">
            <v>2001</v>
          </cell>
          <cell r="G53">
            <v>2002</v>
          </cell>
          <cell r="H53">
            <v>2003</v>
          </cell>
          <cell r="I53">
            <v>2004</v>
          </cell>
          <cell r="J53">
            <v>2005</v>
          </cell>
          <cell r="K53">
            <v>2006</v>
          </cell>
          <cell r="L53">
            <v>2007</v>
          </cell>
          <cell r="M53">
            <v>2008</v>
          </cell>
          <cell r="N53">
            <v>2009</v>
          </cell>
          <cell r="O53">
            <v>2010</v>
          </cell>
          <cell r="P53">
            <v>2011</v>
          </cell>
          <cell r="Q53">
            <v>2012</v>
          </cell>
          <cell r="R53">
            <v>2013</v>
          </cell>
          <cell r="S53">
            <v>2014</v>
          </cell>
        </row>
      </sheetData>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or"/>
      <sheetName val="Data"/>
      <sheetName val="Register of MPAs"/>
      <sheetName val="Zonation"/>
    </sheetNames>
    <sheetDataSet>
      <sheetData sheetId="0">
        <row r="49">
          <cell r="E49">
            <v>1990</v>
          </cell>
          <cell r="F49">
            <v>2000</v>
          </cell>
          <cell r="G49">
            <v>2010</v>
          </cell>
          <cell r="H49">
            <v>2015</v>
          </cell>
          <cell r="I49">
            <v>2016</v>
          </cell>
          <cell r="J49">
            <v>2017</v>
          </cell>
          <cell r="K49">
            <v>2018</v>
          </cell>
          <cell r="L49">
            <v>2019</v>
          </cell>
        </row>
        <row r="50">
          <cell r="D50" t="str">
            <v>Protected Areas as a percentage of the continental EEZ</v>
          </cell>
          <cell r="E50">
            <v>4.3787933530970103E-5</v>
          </cell>
          <cell r="F50">
            <v>2.0372856900803416E-3</v>
          </cell>
          <cell r="G50">
            <v>4.3860445009339796E-3</v>
          </cell>
          <cell r="H50">
            <v>4.6138695117436219E-3</v>
          </cell>
          <cell r="I50">
            <v>4.6138695117436219E-3</v>
          </cell>
          <cell r="J50">
            <v>4.6140885833889367E-3</v>
          </cell>
          <cell r="K50">
            <v>4.6143962094089925E-3</v>
          </cell>
          <cell r="L50">
            <v>5.3699999999999998E-2</v>
          </cell>
        </row>
        <row r="51">
          <cell r="D51" t="str">
            <v>MBPI (Protected Areas that contribute to continental</v>
          </cell>
          <cell r="E51">
            <v>4.079413245217085E-5</v>
          </cell>
          <cell r="F51">
            <v>1.451082553212261E-3</v>
          </cell>
          <cell r="G51">
            <v>3.2859231407263226E-3</v>
          </cell>
          <cell r="H51">
            <v>3.4881459016867437E-3</v>
          </cell>
          <cell r="I51">
            <v>3.4881459016867437E-3</v>
          </cell>
          <cell r="J51">
            <v>3.4882453159784657E-3</v>
          </cell>
          <cell r="K51">
            <v>3.4884447191288843E-3</v>
          </cell>
          <cell r="L51">
            <v>4.1099999999999998E-2</v>
          </cell>
        </row>
        <row r="52">
          <cell r="D52" t="str">
            <v>Protected Areas as a percentage of the PEI EEZ</v>
          </cell>
          <cell r="E52">
            <v>0</v>
          </cell>
          <cell r="F52">
            <v>7.8608093629437781E-9</v>
          </cell>
          <cell r="G52">
            <v>0.35799284525443442</v>
          </cell>
          <cell r="H52">
            <v>0.35799284525443442</v>
          </cell>
          <cell r="I52">
            <v>0.35799284525443442</v>
          </cell>
          <cell r="J52">
            <v>0.35799284525443442</v>
          </cell>
          <cell r="K52">
            <v>0.35799284525443442</v>
          </cell>
          <cell r="L52">
            <v>0.35799284525443442</v>
          </cell>
        </row>
        <row r="53">
          <cell r="D53" t="str">
            <v>Protected Areas that contribute to PEI biodiversity targets</v>
          </cell>
          <cell r="E53">
            <v>0</v>
          </cell>
          <cell r="F53">
            <v>7.8608093629437798E-9</v>
          </cell>
          <cell r="G53">
            <v>0.18720008518874226</v>
          </cell>
          <cell r="H53">
            <v>0.18720008518874226</v>
          </cell>
          <cell r="I53">
            <v>0.18720008518874226</v>
          </cell>
          <cell r="J53">
            <v>0.18720008518874226</v>
          </cell>
          <cell r="K53">
            <v>0.18720008518874226</v>
          </cell>
          <cell r="L53">
            <v>0.18720008518874226</v>
          </cell>
        </row>
        <row r="54">
          <cell r="D54" t="str">
            <v>Outcome 10 target(linked to Total MPAs)</v>
          </cell>
          <cell r="G54">
            <v>4.3860445009339796E-3</v>
          </cell>
          <cell r="H54">
            <v>2.0394766687850244E-2</v>
          </cell>
          <cell r="I54">
            <v>2.3596511125233498E-2</v>
          </cell>
          <cell r="J54">
            <v>2.6798255562616752E-2</v>
          </cell>
          <cell r="K54">
            <v>3.0000000000000006E-2</v>
          </cell>
          <cell r="L54">
            <v>3.32E-2</v>
          </cell>
        </row>
        <row r="55">
          <cell r="D55" t="str">
            <v>Aichi target (linked to MBP Index)</v>
          </cell>
          <cell r="G55">
            <v>4.3860445009339796E-3</v>
          </cell>
          <cell r="H55">
            <v>5.2193022250467E-2</v>
          </cell>
          <cell r="I55">
            <v>6.1754417800373607E-2</v>
          </cell>
          <cell r="J55">
            <v>7.1315813350280213E-2</v>
          </cell>
          <cell r="K55">
            <v>8.087720890018682E-2</v>
          </cell>
          <cell r="L55">
            <v>9.0399999999999994E-2</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s>
    <sheetDataSet>
      <sheetData sheetId="0">
        <row r="10">
          <cell r="D10" t="str">
            <v>Income Tax register</v>
          </cell>
        </row>
        <row r="67">
          <cell r="F67" t="str">
            <v>1996/97</v>
          </cell>
          <cell r="G67" t="str">
            <v>1997/98</v>
          </cell>
          <cell r="H67" t="str">
            <v>1998/99</v>
          </cell>
          <cell r="I67" t="str">
            <v>1999/00</v>
          </cell>
          <cell r="J67" t="str">
            <v>2000/01</v>
          </cell>
          <cell r="K67" t="str">
            <v>2001/02</v>
          </cell>
          <cell r="L67" t="str">
            <v>2002/03</v>
          </cell>
          <cell r="M67" t="str">
            <v>2003/04</v>
          </cell>
          <cell r="N67" t="str">
            <v>2004/05</v>
          </cell>
          <cell r="O67" t="str">
            <v>2005/06</v>
          </cell>
          <cell r="P67" t="str">
            <v>2006/07</v>
          </cell>
          <cell r="Q67" t="str">
            <v>2007/08</v>
          </cell>
          <cell r="R67" t="str">
            <v>2008/09</v>
          </cell>
          <cell r="S67" t="str">
            <v>2009/10</v>
          </cell>
          <cell r="T67" t="str">
            <v>2010/11</v>
          </cell>
          <cell r="U67" t="str">
            <v>2011/12</v>
          </cell>
          <cell r="V67" t="str">
            <v>2012/13</v>
          </cell>
          <cell r="W67" t="str">
            <v>2013/14</v>
          </cell>
          <cell r="X67" t="str">
            <v>2014/15</v>
          </cell>
          <cell r="Y67" t="str">
            <v>2015/16</v>
          </cell>
          <cell r="Z67" t="str">
            <v>2016/17</v>
          </cell>
          <cell r="AA67" t="str">
            <v>2017/18</v>
          </cell>
          <cell r="AB67" t="str">
            <v>2018/19</v>
          </cell>
          <cell r="AC67" t="str">
            <v>2019/20</v>
          </cell>
        </row>
        <row r="68">
          <cell r="D68" t="str">
            <v>Personal Income Tax (PIT)</v>
          </cell>
          <cell r="F68">
            <v>59.519830999999996</v>
          </cell>
          <cell r="G68">
            <v>68.342382000000001</v>
          </cell>
          <cell r="H68">
            <v>77.733899999999991</v>
          </cell>
          <cell r="I68">
            <v>85.883786999999998</v>
          </cell>
          <cell r="J68">
            <v>86.477998000000014</v>
          </cell>
          <cell r="K68">
            <v>90.389505</v>
          </cell>
          <cell r="L68">
            <v>94.336679000000004</v>
          </cell>
          <cell r="M68">
            <v>98.495130000000003</v>
          </cell>
          <cell r="N68">
            <v>111.696561</v>
          </cell>
          <cell r="O68">
            <v>126.41636699999999</v>
          </cell>
          <cell r="P68">
            <v>141.39708000000002</v>
          </cell>
          <cell r="Q68">
            <v>169.53925300000003</v>
          </cell>
          <cell r="R68">
            <v>196.068037</v>
          </cell>
          <cell r="S68">
            <v>206.48353338388009</v>
          </cell>
          <cell r="T68">
            <v>228.09611159448002</v>
          </cell>
          <cell r="U68">
            <v>251.33914729868999</v>
          </cell>
          <cell r="V68">
            <v>276.67857430246005</v>
          </cell>
          <cell r="W68">
            <v>310.92899241367002</v>
          </cell>
          <cell r="X68">
            <v>353.91810976956992</v>
          </cell>
          <cell r="Y68">
            <v>389.27970173759996</v>
          </cell>
          <cell r="Z68">
            <v>425.92406663148006</v>
          </cell>
          <cell r="AA68">
            <v>462.90313275247996</v>
          </cell>
          <cell r="AB68">
            <v>493.82877995540997</v>
          </cell>
          <cell r="AC68">
            <v>529.17200000000003</v>
          </cell>
        </row>
        <row r="69">
          <cell r="D69" t="str">
            <v>Corporate Income Tax (CIT)</v>
          </cell>
          <cell r="F69">
            <v>16.985002000000001</v>
          </cell>
          <cell r="G69">
            <v>19.696403999999998</v>
          </cell>
          <cell r="H69">
            <v>20.388000000000002</v>
          </cell>
          <cell r="I69">
            <v>20.971606999999999</v>
          </cell>
          <cell r="J69">
            <v>29.491826</v>
          </cell>
          <cell r="K69">
            <v>42.354472000000001</v>
          </cell>
          <cell r="L69">
            <v>55.745053999999996</v>
          </cell>
          <cell r="M69">
            <v>60.880803</v>
          </cell>
          <cell r="N69">
            <v>71.62936000000002</v>
          </cell>
          <cell r="O69">
            <v>87.326989999999995</v>
          </cell>
          <cell r="P69">
            <v>120.11144</v>
          </cell>
          <cell r="Q69">
            <v>141.635435</v>
          </cell>
          <cell r="R69">
            <v>167.20223999999999</v>
          </cell>
          <cell r="S69">
            <v>136.97793176756997</v>
          </cell>
          <cell r="T69">
            <v>134.63507949267003</v>
          </cell>
          <cell r="U69">
            <v>153.27217884888</v>
          </cell>
          <cell r="V69">
            <v>160.89579553077999</v>
          </cell>
          <cell r="W69">
            <v>179.52012193793001</v>
          </cell>
          <cell r="X69">
            <v>186.62155362948002</v>
          </cell>
          <cell r="Y69">
            <v>193.38529987314004</v>
          </cell>
          <cell r="Z69">
            <v>207.0273</v>
          </cell>
          <cell r="AA69">
            <v>220.23855604764</v>
          </cell>
          <cell r="AB69">
            <v>214.38837708902</v>
          </cell>
          <cell r="AC69">
            <v>214.98599999999999</v>
          </cell>
        </row>
        <row r="70">
          <cell r="D70" t="str">
            <v>Value Added Tax (VAT)</v>
          </cell>
          <cell r="F70">
            <v>35.902887</v>
          </cell>
          <cell r="G70">
            <v>40.095641000000001</v>
          </cell>
          <cell r="H70">
            <v>43.985399999999998</v>
          </cell>
          <cell r="I70">
            <v>48.376839999999994</v>
          </cell>
          <cell r="J70">
            <v>54.455193000000001</v>
          </cell>
          <cell r="K70">
            <v>61.056608999999995</v>
          </cell>
          <cell r="L70">
            <v>70.149851999999996</v>
          </cell>
          <cell r="M70">
            <v>80.68175500000001</v>
          </cell>
          <cell r="N70">
            <v>98.157875000000004</v>
          </cell>
          <cell r="O70">
            <v>114.35163799999998</v>
          </cell>
          <cell r="P70">
            <v>134.46259899999998</v>
          </cell>
          <cell r="Q70">
            <v>150.442849</v>
          </cell>
          <cell r="R70">
            <v>154.34312100000002</v>
          </cell>
          <cell r="S70">
            <v>147.94132226163995</v>
          </cell>
          <cell r="T70">
            <v>183.57143947361001</v>
          </cell>
          <cell r="U70">
            <v>191.02019853625001</v>
          </cell>
          <cell r="V70">
            <v>215.02303517332999</v>
          </cell>
          <cell r="W70">
            <v>237.66657887254004</v>
          </cell>
          <cell r="X70">
            <v>261.29478794094996</v>
          </cell>
          <cell r="Y70">
            <v>281.11141002235991</v>
          </cell>
          <cell r="Z70">
            <v>289.16672246190001</v>
          </cell>
          <cell r="AA70">
            <v>297.99759999999998</v>
          </cell>
          <cell r="AB70">
            <v>324.76596133560002</v>
          </cell>
          <cell r="AC70">
            <v>346.76100000000002</v>
          </cell>
        </row>
        <row r="72">
          <cell r="D72" t="str">
            <v>Other tax types</v>
          </cell>
          <cell r="F72">
            <v>27.724160000000005</v>
          </cell>
          <cell r="G72">
            <v>31.554447000000014</v>
          </cell>
          <cell r="H72">
            <v>36.683800000000019</v>
          </cell>
          <cell r="I72">
            <v>39.375679000000005</v>
          </cell>
          <cell r="J72">
            <v>41.682559000000012</v>
          </cell>
          <cell r="K72">
            <v>49.817583999999975</v>
          </cell>
          <cell r="L72">
            <v>52.358309999999967</v>
          </cell>
          <cell r="M72">
            <v>54.035543000000004</v>
          </cell>
          <cell r="N72">
            <v>60.605877999999969</v>
          </cell>
          <cell r="O72">
            <v>70.797258622029915</v>
          </cell>
          <cell r="P72">
            <v>75.881034530130094</v>
          </cell>
          <cell r="Q72">
            <v>84.727221093109932</v>
          </cell>
          <cell r="R72">
            <v>84.73574639876</v>
          </cell>
          <cell r="S72">
            <v>87.725541454540036</v>
          </cell>
          <cell r="T72">
            <v>101.24307753865025</v>
          </cell>
          <cell r="U72">
            <v>112.82028786277992</v>
          </cell>
          <cell r="V72">
            <v>122.23047644532006</v>
          </cell>
          <cell r="W72">
            <v>127.72029897502985</v>
          </cell>
          <cell r="X72">
            <v>143.78177298686978</v>
          </cell>
          <cell r="Y72">
            <v>159.95603369855996</v>
          </cell>
          <cell r="Z72">
            <v>176.38379999999998</v>
          </cell>
          <cell r="AA72">
            <v>186.173</v>
          </cell>
          <cell r="AB72">
            <v>199.73906791325999</v>
          </cell>
          <cell r="AC72">
            <v>209.41900000000001</v>
          </cell>
        </row>
        <row r="76">
          <cell r="F76">
            <v>2.7626879999999998</v>
          </cell>
          <cell r="G76">
            <v>3.02393</v>
          </cell>
          <cell r="H76">
            <v>3.260567</v>
          </cell>
          <cell r="I76">
            <v>3.6377169999999999</v>
          </cell>
          <cell r="J76">
            <v>4.1637919999999999</v>
          </cell>
          <cell r="K76">
            <v>4.6378110000000001</v>
          </cell>
          <cell r="L76">
            <v>4.4849189999999997</v>
          </cell>
          <cell r="M76">
            <v>4.8782110000000003</v>
          </cell>
          <cell r="N76">
            <v>5.3673960000000003</v>
          </cell>
          <cell r="O76">
            <v>5.876112</v>
          </cell>
          <cell r="P76">
            <v>6.3574210000000004</v>
          </cell>
          <cell r="Q76">
            <v>7.1735540000000002</v>
          </cell>
          <cell r="R76">
            <v>7.766915</v>
          </cell>
          <cell r="S76">
            <v>8.1314220000000006</v>
          </cell>
          <cell r="T76">
            <v>12.751006</v>
          </cell>
          <cell r="U76">
            <v>16.039801000000001</v>
          </cell>
          <cell r="V76">
            <v>17.926869</v>
          </cell>
          <cell r="W76">
            <v>19.787303999999999</v>
          </cell>
          <cell r="X76">
            <v>21.452507000000001</v>
          </cell>
          <cell r="Y76">
            <v>22.693978000000001</v>
          </cell>
          <cell r="Z76">
            <v>24.057573999999999</v>
          </cell>
          <cell r="AA76">
            <v>24.447133999999998</v>
          </cell>
          <cell r="AB76">
            <v>24.54917</v>
          </cell>
          <cell r="AC76">
            <v>25.832536000000001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FDI"/>
      <sheetName val="GFCF"/>
      <sheetName val="B deficit"/>
      <sheetName val="G debt"/>
      <sheetName val="Interest"/>
      <sheetName val="Inflation"/>
      <sheetName val="Bondpoints Spread"/>
      <sheetName val="Foreign 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9</v>
          </cell>
        </row>
      </sheetData>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C2">
            <v>11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v>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row>
        <row r="103">
          <cell r="E103" t="str">
            <v>S</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6.bin"/><Relationship Id="rId1" Type="http://schemas.openxmlformats.org/officeDocument/2006/relationships/hyperlink" Target="https://bhekisisa.org/article/2018-03-28-00-maternal-mortality-ratio-south-africa-decreased-by-29"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0.bin"/><Relationship Id="rId1" Type="http://schemas.openxmlformats.org/officeDocument/2006/relationships/hyperlink" Target="http://www.transparency.org/"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www.internationalbudget.org/open-budget-survey/results-by-country/country-info/?country=af" TargetMode="External"/><Relationship Id="rId1" Type="http://schemas.openxmlformats.org/officeDocument/2006/relationships/hyperlink" Target="http://www.openbudgetindex.org/"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9.xml"/><Relationship Id="rId1" Type="http://schemas.openxmlformats.org/officeDocument/2006/relationships/printerSettings" Target="../printerSettings/printerSettings83.bin"/><Relationship Id="rId4" Type="http://schemas.openxmlformats.org/officeDocument/2006/relationships/comments" Target="../comments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Q92"/>
  <sheetViews>
    <sheetView showGridLines="0" view="pageBreakPreview" zoomScale="110" zoomScaleNormal="100" zoomScaleSheetLayoutView="110" workbookViewId="0">
      <selection activeCell="T10" sqref="T10"/>
    </sheetView>
  </sheetViews>
  <sheetFormatPr defaultColWidth="9.1796875" defaultRowHeight="14.5" x14ac:dyDescent="0.35"/>
  <cols>
    <col min="1" max="1" width="3.81640625" style="5" customWidth="1"/>
    <col min="2" max="2" width="12.81640625" style="2" customWidth="1"/>
    <col min="3" max="3" width="3.81640625" style="3" customWidth="1"/>
    <col min="4" max="4" width="14.453125" style="4" bestFit="1" customWidth="1"/>
    <col min="5" max="5" width="6" style="4" customWidth="1"/>
    <col min="6" max="26" width="6.1796875" style="4" customWidth="1"/>
    <col min="27" max="27" width="7.81640625" style="4" customWidth="1"/>
    <col min="28" max="28" width="6.1796875" style="4" customWidth="1"/>
    <col min="29" max="29" width="7.1796875" style="4" customWidth="1"/>
    <col min="30" max="30" width="7" style="4" customWidth="1"/>
    <col min="31" max="32" width="10" style="4" customWidth="1"/>
    <col min="33" max="33" width="10" style="4" bestFit="1" customWidth="1"/>
    <col min="34" max="34" width="9.453125" style="4" customWidth="1"/>
    <col min="35" max="36" width="10" style="4" customWidth="1"/>
    <col min="37" max="37" width="10" style="4" bestFit="1" customWidth="1"/>
    <col min="38" max="38" width="9.81640625" style="4" customWidth="1"/>
    <col min="39" max="40" width="10" style="4" customWidth="1"/>
    <col min="41" max="41" width="10" style="4" bestFit="1" customWidth="1"/>
    <col min="42" max="42" width="9.81640625" style="4" customWidth="1"/>
    <col min="43" max="44" width="10" style="4" customWidth="1"/>
    <col min="45" max="45" width="10" style="4" bestFit="1" customWidth="1"/>
    <col min="46" max="46" width="9.81640625" style="4" customWidth="1"/>
    <col min="47" max="48" width="10" style="4" customWidth="1"/>
    <col min="49" max="49" width="10" style="4" bestFit="1" customWidth="1"/>
    <col min="50" max="50" width="9.81640625" style="4" customWidth="1"/>
    <col min="51" max="52" width="10" style="4" customWidth="1"/>
    <col min="53" max="53" width="10" style="4" bestFit="1" customWidth="1"/>
    <col min="54" max="54" width="9.81640625" style="4" customWidth="1"/>
    <col min="55" max="56" width="10" style="4" customWidth="1"/>
    <col min="57" max="57" width="10" style="4" bestFit="1" customWidth="1"/>
    <col min="58" max="58" width="10.81640625" style="4" customWidth="1"/>
    <col min="59" max="59" width="13.1796875" style="4" customWidth="1"/>
    <col min="60" max="60" width="10.1796875" style="4" bestFit="1" customWidth="1"/>
    <col min="61" max="61" width="10" style="4" bestFit="1" customWidth="1"/>
    <col min="62" max="62" width="9.81640625" style="4" bestFit="1" customWidth="1"/>
    <col min="63" max="64" width="10.1796875" style="4" bestFit="1" customWidth="1"/>
    <col min="65" max="65" width="10.453125" style="4" bestFit="1" customWidth="1"/>
    <col min="66" max="66" width="10.1796875" style="4" bestFit="1" customWidth="1"/>
    <col min="67" max="67" width="10.453125" style="4" bestFit="1" customWidth="1"/>
    <col min="68" max="68" width="10.1796875" style="4" bestFit="1" customWidth="1"/>
    <col min="69" max="69" width="9.1796875" style="4" customWidth="1"/>
    <col min="70" max="83" width="9.54296875" style="4" bestFit="1" customWidth="1"/>
    <col min="84" max="84" width="10.1796875" style="4" bestFit="1" customWidth="1"/>
    <col min="85" max="85" width="10.1796875" style="4" customWidth="1"/>
    <col min="86" max="87" width="9.54296875" style="4" bestFit="1" customWidth="1"/>
    <col min="88" max="16384" width="9.1796875" style="4"/>
  </cols>
  <sheetData>
    <row r="1" spans="1:71" x14ac:dyDescent="0.35">
      <c r="A1" s="1"/>
    </row>
    <row r="2" spans="1:71" ht="12.75" customHeight="1" x14ac:dyDescent="0.35">
      <c r="A2" s="5">
        <v>1</v>
      </c>
      <c r="B2" s="6" t="s">
        <v>0</v>
      </c>
      <c r="C2" s="5">
        <f>1</f>
        <v>1</v>
      </c>
      <c r="D2" s="4626" t="s">
        <v>1</v>
      </c>
      <c r="E2" s="4627"/>
      <c r="F2" s="4627"/>
      <c r="G2" s="4627"/>
      <c r="H2" s="4627"/>
      <c r="I2" s="4627"/>
      <c r="J2" s="4627"/>
      <c r="K2" s="4627"/>
      <c r="L2" s="4627"/>
      <c r="M2" s="4627"/>
      <c r="N2" s="4627"/>
      <c r="O2" s="4627"/>
      <c r="P2" s="4627"/>
      <c r="Q2" s="4627"/>
      <c r="R2" s="4627"/>
      <c r="S2" s="4627"/>
      <c r="T2" s="4627"/>
      <c r="U2" s="4627"/>
      <c r="V2" s="4627"/>
      <c r="W2" s="4627"/>
      <c r="X2" s="4627"/>
      <c r="Y2" s="4627"/>
      <c r="Z2" s="4627"/>
      <c r="AA2" s="4627"/>
      <c r="AB2" s="4627"/>
      <c r="AC2" s="4628"/>
    </row>
    <row r="3" spans="1:71" ht="12.75" customHeight="1" x14ac:dyDescent="0.35">
      <c r="A3" s="5">
        <v>2</v>
      </c>
      <c r="B3" s="6" t="s">
        <v>2</v>
      </c>
      <c r="C3" s="5"/>
      <c r="D3" s="4626" t="s">
        <v>3</v>
      </c>
      <c r="E3" s="4627"/>
      <c r="F3" s="4627"/>
      <c r="G3" s="4627"/>
      <c r="H3" s="4627"/>
      <c r="I3" s="4627"/>
      <c r="J3" s="4627"/>
      <c r="K3" s="4627"/>
      <c r="L3" s="4627"/>
      <c r="M3" s="4627"/>
      <c r="N3" s="4627"/>
      <c r="O3" s="4627"/>
      <c r="P3" s="4627"/>
      <c r="Q3" s="4627"/>
      <c r="R3" s="4627"/>
      <c r="S3" s="4627"/>
      <c r="T3" s="4627"/>
      <c r="U3" s="4627"/>
      <c r="V3" s="4627"/>
      <c r="W3" s="4627"/>
      <c r="X3" s="4627"/>
      <c r="Y3" s="4627"/>
      <c r="Z3" s="4627"/>
      <c r="AA3" s="4627"/>
      <c r="AB3" s="4627"/>
      <c r="AC3" s="4628"/>
    </row>
    <row r="4" spans="1:71" ht="12.75" customHeight="1" x14ac:dyDescent="0.35">
      <c r="A4" s="5">
        <v>3</v>
      </c>
      <c r="B4" s="6" t="s">
        <v>4</v>
      </c>
      <c r="C4" s="5"/>
      <c r="D4" s="4626" t="s">
        <v>5</v>
      </c>
      <c r="E4" s="4627"/>
      <c r="F4" s="4627"/>
      <c r="G4" s="4627"/>
      <c r="H4" s="4627"/>
      <c r="I4" s="4627"/>
      <c r="J4" s="4627"/>
      <c r="K4" s="4627"/>
      <c r="L4" s="4627"/>
      <c r="M4" s="4627"/>
      <c r="N4" s="4627"/>
      <c r="O4" s="4627"/>
      <c r="P4" s="4627"/>
      <c r="Q4" s="4627"/>
      <c r="R4" s="4627"/>
      <c r="S4" s="4627"/>
      <c r="T4" s="4627"/>
      <c r="U4" s="4627"/>
      <c r="V4" s="4627"/>
      <c r="W4" s="4627"/>
      <c r="X4" s="4627"/>
      <c r="Y4" s="4627"/>
      <c r="Z4" s="4627"/>
      <c r="AA4" s="4627"/>
      <c r="AB4" s="4627"/>
      <c r="AC4" s="4628"/>
    </row>
    <row r="5" spans="1:71" s="4355" customFormat="1" ht="14.25" customHeight="1" x14ac:dyDescent="0.35">
      <c r="A5" s="5"/>
      <c r="B5" s="6"/>
      <c r="C5" s="5"/>
      <c r="D5" s="4629"/>
      <c r="E5" s="4629"/>
      <c r="F5" s="4629"/>
      <c r="G5" s="4629"/>
      <c r="H5" s="4629"/>
      <c r="I5" s="4629"/>
      <c r="J5" s="4629"/>
      <c r="K5" s="4629"/>
      <c r="L5" s="4629"/>
      <c r="M5" s="4629"/>
      <c r="N5" s="4629"/>
      <c r="O5" s="4629"/>
      <c r="P5" s="4629"/>
      <c r="Q5" s="4629"/>
      <c r="R5" s="4629"/>
      <c r="S5" s="4629"/>
      <c r="T5" s="4629"/>
      <c r="U5" s="4629"/>
      <c r="V5" s="4629"/>
      <c r="W5" s="4629"/>
      <c r="X5" s="4629"/>
      <c r="Y5" s="4629"/>
      <c r="Z5" s="4629"/>
      <c r="AA5" s="4629"/>
      <c r="AB5" s="4629"/>
      <c r="AC5" s="4629"/>
      <c r="AD5" s="8"/>
      <c r="AE5" s="8"/>
      <c r="AF5" s="4354"/>
      <c r="AG5" s="4354"/>
      <c r="AH5" s="4354"/>
      <c r="AI5" s="4354"/>
      <c r="AJ5" s="4354"/>
      <c r="AK5" s="4354"/>
      <c r="AL5" s="4354"/>
      <c r="AM5" s="4354"/>
      <c r="AN5" s="4354"/>
      <c r="AO5" s="4354"/>
      <c r="AP5" s="4354"/>
    </row>
    <row r="6" spans="1:71" x14ac:dyDescent="0.35">
      <c r="A6" s="5">
        <v>5</v>
      </c>
      <c r="B6" s="9" t="s">
        <v>6</v>
      </c>
      <c r="D6" s="10" t="s">
        <v>7</v>
      </c>
      <c r="E6" s="10"/>
      <c r="F6" s="10" t="s">
        <v>372</v>
      </c>
      <c r="G6" s="10"/>
      <c r="H6" s="10"/>
      <c r="I6" s="10"/>
      <c r="J6" s="10"/>
      <c r="K6" s="10"/>
      <c r="L6" s="10"/>
      <c r="M6" s="10"/>
      <c r="N6" s="11"/>
      <c r="O6" s="11"/>
      <c r="P6" s="11"/>
      <c r="Q6" s="11"/>
      <c r="R6" s="11"/>
      <c r="S6" s="11"/>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row>
    <row r="7" spans="1:71" x14ac:dyDescent="0.35">
      <c r="D7" s="13"/>
      <c r="E7" s="14" t="s">
        <v>8</v>
      </c>
      <c r="F7" s="14" t="s">
        <v>9</v>
      </c>
      <c r="G7" s="14" t="s">
        <v>10</v>
      </c>
      <c r="H7" s="14" t="s">
        <v>11</v>
      </c>
      <c r="I7" s="14" t="s">
        <v>12</v>
      </c>
      <c r="J7" s="14" t="s">
        <v>13</v>
      </c>
      <c r="K7" s="14" t="s">
        <v>14</v>
      </c>
      <c r="L7" s="14" t="s">
        <v>15</v>
      </c>
      <c r="M7" s="14" t="s">
        <v>16</v>
      </c>
      <c r="N7" s="14" t="s">
        <v>17</v>
      </c>
      <c r="O7" s="14" t="s">
        <v>18</v>
      </c>
      <c r="P7" s="14" t="s">
        <v>19</v>
      </c>
      <c r="Q7" s="14" t="s">
        <v>20</v>
      </c>
      <c r="R7" s="14" t="s">
        <v>21</v>
      </c>
      <c r="S7" s="14" t="s">
        <v>22</v>
      </c>
      <c r="T7" s="14" t="s">
        <v>23</v>
      </c>
      <c r="U7" s="14" t="s">
        <v>24</v>
      </c>
      <c r="V7" s="14" t="s">
        <v>25</v>
      </c>
      <c r="W7" s="14" t="s">
        <v>26</v>
      </c>
      <c r="X7" s="14" t="s">
        <v>27</v>
      </c>
      <c r="Y7" s="14" t="s">
        <v>28</v>
      </c>
      <c r="Z7" s="14" t="s">
        <v>29</v>
      </c>
      <c r="AA7" s="14" t="s">
        <v>30</v>
      </c>
      <c r="AB7" s="14" t="s">
        <v>31</v>
      </c>
      <c r="AC7" s="14" t="s">
        <v>32</v>
      </c>
      <c r="AD7" s="15" t="s">
        <v>33</v>
      </c>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pans="1:71" x14ac:dyDescent="0.35">
      <c r="D8" s="16" t="s">
        <v>34</v>
      </c>
      <c r="E8" s="17">
        <v>3.2341429521176792</v>
      </c>
      <c r="F8" s="18">
        <v>3.115633609815859</v>
      </c>
      <c r="G8" s="18">
        <v>4.3067278682366208</v>
      </c>
      <c r="H8" s="17">
        <v>2.6468290948052697</v>
      </c>
      <c r="I8" s="18">
        <v>0.51736038204737156</v>
      </c>
      <c r="J8" s="18">
        <v>2.3581077543326927</v>
      </c>
      <c r="K8" s="17">
        <v>4.1545445826273237</v>
      </c>
      <c r="L8" s="18">
        <v>2.7354952908615644</v>
      </c>
      <c r="M8" s="18">
        <v>3.6677968768751299</v>
      </c>
      <c r="N8" s="17">
        <v>2.9490781458875119</v>
      </c>
      <c r="O8" s="18">
        <v>4.5545699205685537</v>
      </c>
      <c r="P8" s="18">
        <v>5.2771117349823555</v>
      </c>
      <c r="Q8" s="17">
        <v>5.6036647889724094</v>
      </c>
      <c r="R8" s="18">
        <v>5.3604651396161387</v>
      </c>
      <c r="S8" s="18">
        <v>3.1910516450526387</v>
      </c>
      <c r="T8" s="17">
        <v>-1.5381008639149343</v>
      </c>
      <c r="U8" s="18">
        <v>3.0397770627674561</v>
      </c>
      <c r="V8" s="18">
        <v>3.2841650533768529</v>
      </c>
      <c r="W8" s="17">
        <v>2.2133536525899444</v>
      </c>
      <c r="X8" s="18">
        <v>2.4851858349998821</v>
      </c>
      <c r="Y8" s="18">
        <v>1.8470084416527328</v>
      </c>
      <c r="Z8" s="17">
        <v>1.2</v>
      </c>
      <c r="AA8" s="18">
        <v>0.4</v>
      </c>
      <c r="AB8" s="18">
        <v>1.4</v>
      </c>
      <c r="AC8" s="19">
        <v>0.8</v>
      </c>
      <c r="AD8" s="20">
        <v>0.2</v>
      </c>
      <c r="AE8" s="12"/>
      <c r="AF8" s="12"/>
      <c r="AG8" s="12"/>
      <c r="AH8" s="12"/>
      <c r="AI8" s="12"/>
      <c r="AJ8" s="12"/>
      <c r="AK8" s="12"/>
      <c r="AL8" s="12"/>
      <c r="AM8" s="12"/>
      <c r="AN8" s="12"/>
      <c r="AO8" s="12"/>
      <c r="AP8" s="12"/>
      <c r="AQ8" s="12"/>
      <c r="AR8" s="12"/>
      <c r="AS8" s="12"/>
      <c r="AT8" s="12"/>
      <c r="AU8" s="12"/>
      <c r="AV8" s="12"/>
      <c r="AW8" s="12"/>
      <c r="AX8" s="12"/>
      <c r="AY8" s="12"/>
      <c r="AZ8" s="21"/>
      <c r="BA8" s="12"/>
      <c r="BB8" s="12"/>
      <c r="BC8" s="12"/>
      <c r="BD8" s="12"/>
      <c r="BE8" s="12"/>
      <c r="BF8" s="12"/>
      <c r="BG8" s="12"/>
      <c r="BH8" s="12"/>
      <c r="BI8" s="12"/>
      <c r="BJ8" s="12"/>
      <c r="BK8" s="12"/>
      <c r="BL8" s="12"/>
      <c r="BM8" s="12"/>
      <c r="BN8" s="12"/>
      <c r="BO8" s="12"/>
      <c r="BP8" s="12"/>
      <c r="BQ8" s="12"/>
      <c r="BR8" s="12"/>
      <c r="BS8" s="12"/>
    </row>
    <row r="9" spans="1:71" x14ac:dyDescent="0.35">
      <c r="D9" s="22"/>
      <c r="E9" s="23"/>
      <c r="F9" s="23"/>
      <c r="G9" s="23"/>
      <c r="H9" s="23"/>
      <c r="I9" s="23"/>
      <c r="J9" s="23"/>
      <c r="K9" s="23"/>
      <c r="L9" s="23"/>
      <c r="M9" s="23"/>
      <c r="N9" s="23"/>
      <c r="O9" s="23"/>
      <c r="P9" s="23"/>
      <c r="Q9" s="23"/>
      <c r="R9" s="23"/>
      <c r="S9" s="23"/>
      <c r="T9" s="23"/>
      <c r="U9" s="23"/>
      <c r="V9" s="23"/>
      <c r="W9" s="23"/>
      <c r="X9" s="23"/>
      <c r="Y9" s="23"/>
      <c r="Z9" s="23"/>
      <c r="AA9" s="23"/>
      <c r="AB9" s="23"/>
      <c r="AC9" s="23"/>
      <c r="AD9" s="12"/>
      <c r="AE9" s="12"/>
      <c r="AF9" s="12"/>
      <c r="AG9" s="12"/>
      <c r="AH9" s="12"/>
      <c r="AI9" s="12"/>
      <c r="AJ9" s="12"/>
      <c r="AK9" s="12"/>
      <c r="AL9" s="12"/>
      <c r="AM9" s="12"/>
      <c r="AN9" s="12"/>
      <c r="AO9" s="12"/>
      <c r="AP9" s="12"/>
      <c r="AQ9" s="12"/>
      <c r="AR9" s="12"/>
      <c r="AS9" s="12"/>
      <c r="AT9" s="12"/>
      <c r="AU9" s="12"/>
      <c r="AV9" s="12"/>
      <c r="AW9" s="12"/>
      <c r="AX9" s="12"/>
      <c r="AY9" s="21"/>
      <c r="AZ9" s="12"/>
      <c r="BA9" s="12"/>
      <c r="BB9" s="12"/>
      <c r="BC9" s="12"/>
      <c r="BD9" s="12"/>
      <c r="BE9" s="12"/>
      <c r="BF9" s="12"/>
      <c r="BG9" s="12"/>
      <c r="BH9" s="12"/>
      <c r="BI9" s="12"/>
      <c r="BJ9" s="12"/>
      <c r="BK9" s="12"/>
      <c r="BL9" s="12"/>
      <c r="BM9" s="12"/>
      <c r="BN9" s="12"/>
      <c r="BO9" s="12"/>
      <c r="BP9" s="12"/>
      <c r="BQ9" s="12"/>
      <c r="BR9" s="12"/>
    </row>
    <row r="10" spans="1:71" x14ac:dyDescent="0.35">
      <c r="D10" s="22"/>
      <c r="E10" s="22"/>
      <c r="F10" s="24"/>
      <c r="G10" s="24"/>
      <c r="H10" s="24"/>
      <c r="I10" s="24"/>
      <c r="J10" s="25"/>
      <c r="K10" s="24"/>
      <c r="L10" s="24"/>
      <c r="M10" s="24"/>
      <c r="N10" s="24"/>
      <c r="O10" s="24"/>
      <c r="P10" s="24"/>
      <c r="Q10" s="24"/>
      <c r="R10" s="24"/>
      <c r="S10" s="24"/>
      <c r="T10" s="24"/>
      <c r="U10" s="24"/>
      <c r="V10" s="26"/>
      <c r="W10" s="26"/>
      <c r="X10" s="26"/>
      <c r="Y10" s="26"/>
      <c r="Z10" s="12"/>
      <c r="AA10" s="24"/>
      <c r="AB10" s="24"/>
      <c r="AC10" s="12"/>
      <c r="AD10" s="12"/>
      <c r="AE10" s="12"/>
      <c r="AF10" s="12"/>
      <c r="AG10" s="12"/>
      <c r="AH10" s="12"/>
      <c r="AI10" s="12"/>
      <c r="AJ10" s="12"/>
      <c r="AK10" s="12"/>
      <c r="AL10" s="12"/>
      <c r="AM10" s="12"/>
      <c r="AN10" s="12"/>
      <c r="AO10" s="12"/>
      <c r="AP10" s="12"/>
      <c r="AQ10" s="12"/>
      <c r="AR10" s="12"/>
      <c r="AS10" s="12"/>
      <c r="AT10" s="12"/>
      <c r="AU10" s="12"/>
      <c r="AV10" s="12"/>
      <c r="AW10" s="12"/>
      <c r="AX10" s="12"/>
      <c r="AY10" s="21"/>
      <c r="AZ10" s="12"/>
      <c r="BA10" s="12"/>
      <c r="BB10" s="12"/>
      <c r="BC10" s="12"/>
      <c r="BD10" s="12"/>
      <c r="BE10" s="12"/>
      <c r="BF10" s="12"/>
      <c r="BG10" s="12"/>
      <c r="BH10" s="12"/>
      <c r="BI10" s="12"/>
      <c r="BJ10" s="12"/>
      <c r="BK10" s="12"/>
      <c r="BL10" s="12"/>
      <c r="BM10" s="12"/>
      <c r="BN10" s="12"/>
      <c r="BO10" s="12"/>
      <c r="BP10" s="12"/>
      <c r="BQ10" s="12"/>
      <c r="BR10" s="12"/>
    </row>
    <row r="11" spans="1:71" s="33" customFormat="1" ht="11" thickBot="1" x14ac:dyDescent="0.3">
      <c r="A11" s="27"/>
      <c r="B11" s="28"/>
      <c r="C11" s="29"/>
      <c r="D11" s="30" t="s">
        <v>35</v>
      </c>
      <c r="E11" s="30"/>
      <c r="F11" s="31" t="s">
        <v>36</v>
      </c>
      <c r="G11" s="31"/>
      <c r="H11" s="31"/>
      <c r="I11" s="31"/>
      <c r="J11" s="32"/>
      <c r="K11" s="24"/>
      <c r="L11" s="24"/>
      <c r="M11" s="24"/>
      <c r="N11" s="24"/>
      <c r="O11" s="24"/>
      <c r="P11" s="24"/>
      <c r="Q11" s="24"/>
      <c r="R11" s="24"/>
      <c r="S11" s="24"/>
      <c r="T11" s="24"/>
      <c r="U11" s="24"/>
      <c r="V11" s="26"/>
      <c r="W11" s="26"/>
      <c r="X11" s="11"/>
      <c r="Y11" s="11"/>
      <c r="Z11" s="11"/>
      <c r="AA11" s="24"/>
      <c r="AB11" s="24"/>
      <c r="AC11" s="11"/>
      <c r="AD11" s="11"/>
      <c r="AE11" s="11"/>
      <c r="AF11" s="11"/>
      <c r="AG11" s="11"/>
      <c r="AH11" s="11"/>
      <c r="AI11" s="11"/>
      <c r="AJ11" s="11"/>
      <c r="AK11" s="11"/>
      <c r="AL11" s="11"/>
      <c r="AM11" s="11"/>
      <c r="AN11" s="11"/>
      <c r="AO11" s="11"/>
      <c r="AP11" s="11"/>
      <c r="AQ11" s="11"/>
      <c r="AR11" s="11"/>
      <c r="AS11" s="11"/>
      <c r="AT11" s="11"/>
      <c r="AU11" s="11"/>
      <c r="AV11" s="11"/>
      <c r="AW11" s="11"/>
      <c r="AX11" s="11"/>
      <c r="AY11" s="21"/>
      <c r="AZ11" s="11"/>
      <c r="BA11" s="11"/>
      <c r="BB11" s="11"/>
      <c r="BC11" s="11"/>
      <c r="BD11" s="11"/>
      <c r="BE11" s="11"/>
      <c r="BF11" s="11"/>
      <c r="BG11" s="11"/>
      <c r="BH11" s="11"/>
      <c r="BI11" s="11"/>
      <c r="BJ11" s="11"/>
      <c r="BK11" s="11"/>
      <c r="BL11" s="11"/>
      <c r="BM11" s="11"/>
      <c r="BN11" s="11"/>
      <c r="BO11" s="11"/>
      <c r="BP11" s="11"/>
      <c r="BQ11" s="11"/>
      <c r="BR11" s="11"/>
    </row>
    <row r="12" spans="1:71" s="33" customFormat="1" ht="11" thickBot="1" x14ac:dyDescent="0.3">
      <c r="A12" s="27"/>
      <c r="B12" s="28"/>
      <c r="C12" s="29"/>
      <c r="D12" s="34"/>
      <c r="E12" s="35" t="s">
        <v>8</v>
      </c>
      <c r="F12" s="36" t="s">
        <v>9</v>
      </c>
      <c r="G12" s="36">
        <v>1996</v>
      </c>
      <c r="H12" s="36">
        <v>1997</v>
      </c>
      <c r="I12" s="36">
        <v>1998</v>
      </c>
      <c r="J12" s="36">
        <v>1999</v>
      </c>
      <c r="K12" s="36">
        <v>2000</v>
      </c>
      <c r="L12" s="36">
        <v>2001</v>
      </c>
      <c r="M12" s="36">
        <v>2002</v>
      </c>
      <c r="N12" s="36">
        <v>2003</v>
      </c>
      <c r="O12" s="36">
        <v>2004</v>
      </c>
      <c r="P12" s="36">
        <v>2005</v>
      </c>
      <c r="Q12" s="36">
        <v>2006</v>
      </c>
      <c r="R12" s="36">
        <v>2007</v>
      </c>
      <c r="S12" s="36">
        <v>2008</v>
      </c>
      <c r="T12" s="36">
        <v>2009</v>
      </c>
      <c r="U12" s="36">
        <v>2010</v>
      </c>
      <c r="V12" s="36">
        <v>2011</v>
      </c>
      <c r="W12" s="36">
        <v>2012</v>
      </c>
      <c r="X12" s="36">
        <v>2013</v>
      </c>
      <c r="Y12" s="36">
        <v>2014</v>
      </c>
      <c r="Z12" s="36">
        <v>2015</v>
      </c>
      <c r="AA12" s="37">
        <v>2016</v>
      </c>
      <c r="AB12" s="37">
        <v>2017</v>
      </c>
      <c r="AC12" s="37">
        <v>2018</v>
      </c>
      <c r="AD12" s="38">
        <v>2019</v>
      </c>
      <c r="AE12" s="11"/>
      <c r="AF12" s="11"/>
      <c r="AG12" s="11"/>
      <c r="AH12" s="11"/>
      <c r="AI12" s="11"/>
      <c r="AJ12" s="11"/>
      <c r="AK12" s="11"/>
      <c r="AL12" s="11"/>
      <c r="AM12" s="11"/>
      <c r="AN12" s="11"/>
      <c r="AO12" s="11"/>
      <c r="AP12" s="11"/>
      <c r="AQ12" s="11"/>
      <c r="AR12" s="11"/>
      <c r="AS12" s="11"/>
      <c r="AT12" s="11"/>
      <c r="AU12" s="11"/>
      <c r="AV12" s="11"/>
      <c r="AW12" s="11"/>
      <c r="AX12" s="11"/>
      <c r="AY12" s="11"/>
      <c r="AZ12" s="21"/>
      <c r="BA12" s="11"/>
      <c r="BB12" s="11"/>
      <c r="BC12" s="11"/>
      <c r="BD12" s="11"/>
      <c r="BE12" s="11"/>
      <c r="BF12" s="11"/>
      <c r="BG12" s="11"/>
      <c r="BH12" s="11"/>
      <c r="BI12" s="11"/>
      <c r="BJ12" s="11"/>
      <c r="BK12" s="11"/>
      <c r="BL12" s="11"/>
      <c r="BM12" s="11"/>
      <c r="BN12" s="11"/>
      <c r="BO12" s="11"/>
      <c r="BP12" s="11"/>
      <c r="BQ12" s="11"/>
      <c r="BR12" s="11"/>
      <c r="BS12" s="11"/>
    </row>
    <row r="13" spans="1:71" s="33" customFormat="1" ht="12" customHeight="1" x14ac:dyDescent="0.2">
      <c r="A13" s="27"/>
      <c r="B13" s="28"/>
      <c r="C13" s="29"/>
      <c r="D13" s="39" t="s">
        <v>37</v>
      </c>
      <c r="E13" s="40">
        <v>5.8362007036852646</v>
      </c>
      <c r="F13" s="40">
        <v>-2.8452096105708051</v>
      </c>
      <c r="G13" s="40">
        <v>5.5266898271523388</v>
      </c>
      <c r="H13" s="40">
        <v>8.1110467707457019</v>
      </c>
      <c r="I13" s="40">
        <v>3.8501788515622906</v>
      </c>
      <c r="J13" s="40">
        <v>-3.3854570406327014</v>
      </c>
      <c r="K13" s="40">
        <v>-0.78899893905690988</v>
      </c>
      <c r="L13" s="40">
        <v>-4.4088396825855654</v>
      </c>
      <c r="M13" s="40">
        <v>-10.894484828590279</v>
      </c>
      <c r="N13" s="40">
        <v>8.8370407957692407</v>
      </c>
      <c r="O13" s="40">
        <v>9.0295733006815482</v>
      </c>
      <c r="P13" s="40">
        <v>8.8516599201343524</v>
      </c>
      <c r="Q13" s="40">
        <v>8.0471515004302745</v>
      </c>
      <c r="R13" s="40">
        <v>9.0076508750475739</v>
      </c>
      <c r="S13" s="40">
        <v>4.057233103464057</v>
      </c>
      <c r="T13" s="40">
        <v>-5.9185250763494679</v>
      </c>
      <c r="U13" s="40">
        <v>10.125398156100232</v>
      </c>
      <c r="V13" s="40">
        <v>6.003951692805785</v>
      </c>
      <c r="W13" s="40">
        <v>-1.0264204544320847</v>
      </c>
      <c r="X13" s="40">
        <v>2.4053237807943617</v>
      </c>
      <c r="Y13" s="40">
        <v>-2.5126153208139641</v>
      </c>
      <c r="Z13" s="40">
        <v>2.7311598282894636</v>
      </c>
      <c r="AA13" s="40">
        <v>-2.0803278437781074</v>
      </c>
      <c r="AB13" s="40">
        <v>2.6685903793530343</v>
      </c>
      <c r="AC13" s="40">
        <v>-2.4817924450927364</v>
      </c>
      <c r="AD13" s="41">
        <v>-2.1629521209166569</v>
      </c>
      <c r="AE13" s="11"/>
      <c r="AF13" s="11"/>
      <c r="AG13" s="11"/>
      <c r="AH13" s="11"/>
      <c r="AI13" s="11"/>
      <c r="AJ13" s="11"/>
      <c r="AK13" s="11"/>
      <c r="AL13" s="11"/>
      <c r="AM13" s="11"/>
      <c r="AN13" s="11"/>
      <c r="AO13" s="11"/>
      <c r="AP13" s="11"/>
      <c r="AQ13" s="11"/>
      <c r="AR13" s="11"/>
      <c r="AS13" s="11"/>
      <c r="AT13" s="11"/>
      <c r="AU13" s="11"/>
      <c r="AV13" s="11"/>
      <c r="AW13" s="11"/>
      <c r="AX13" s="11"/>
      <c r="AY13" s="11"/>
      <c r="AZ13" s="21"/>
      <c r="BA13" s="11"/>
      <c r="BB13" s="11"/>
      <c r="BC13" s="11"/>
      <c r="BD13" s="11"/>
      <c r="BE13" s="11"/>
      <c r="BF13" s="11"/>
      <c r="BG13" s="11"/>
      <c r="BH13" s="11"/>
      <c r="BI13" s="11"/>
      <c r="BJ13" s="11"/>
      <c r="BK13" s="11"/>
      <c r="BL13" s="11"/>
      <c r="BM13" s="11"/>
      <c r="BN13" s="11"/>
      <c r="BO13" s="11"/>
      <c r="BP13" s="11"/>
      <c r="BQ13" s="11"/>
      <c r="BR13" s="11"/>
      <c r="BS13" s="11"/>
    </row>
    <row r="14" spans="1:71" s="33" customFormat="1" ht="12" customHeight="1" x14ac:dyDescent="0.2">
      <c r="A14" s="27"/>
      <c r="B14" s="28"/>
      <c r="C14" s="29"/>
      <c r="D14" s="39" t="s">
        <v>38</v>
      </c>
      <c r="E14" s="40">
        <v>3.9826952445645531</v>
      </c>
      <c r="F14" s="40">
        <v>3.8360591178651049</v>
      </c>
      <c r="G14" s="40">
        <v>3.8786184617821391</v>
      </c>
      <c r="H14" s="40">
        <v>3.9664966442952903</v>
      </c>
      <c r="I14" s="40">
        <v>4.5766937826124661</v>
      </c>
      <c r="J14" s="40">
        <v>5.0735852578619927</v>
      </c>
      <c r="K14" s="40">
        <v>3.933097026043626</v>
      </c>
      <c r="L14" s="40">
        <v>1.930882544460033</v>
      </c>
      <c r="M14" s="40">
        <v>4.0013770316096071</v>
      </c>
      <c r="N14" s="40">
        <v>2.9859404859405032</v>
      </c>
      <c r="O14" s="40">
        <v>4.0555518738195389</v>
      </c>
      <c r="P14" s="40">
        <v>3.204160122026849</v>
      </c>
      <c r="Q14" s="40">
        <v>2.7945833156557001</v>
      </c>
      <c r="R14" s="40">
        <v>3.8443095528792384</v>
      </c>
      <c r="S14" s="40">
        <v>3.6579126506154864</v>
      </c>
      <c r="T14" s="40">
        <v>1.9369217695255401</v>
      </c>
      <c r="U14" s="40">
        <v>2.0674656773068705</v>
      </c>
      <c r="V14" s="40">
        <v>2.4627861725906826</v>
      </c>
      <c r="W14" s="40">
        <v>3.918161772206858</v>
      </c>
      <c r="X14" s="40">
        <v>2.5848751108311632</v>
      </c>
      <c r="Y14" s="40">
        <v>2.5331154467594956</v>
      </c>
      <c r="Z14" s="40">
        <v>2.1926400283337983</v>
      </c>
      <c r="AA14" s="40">
        <v>2.7706566925289593</v>
      </c>
      <c r="AB14" s="40">
        <v>2.3676172529647204</v>
      </c>
      <c r="AC14" s="40">
        <v>2.940333581704607</v>
      </c>
      <c r="AD14" s="41">
        <v>1.8968257400479871</v>
      </c>
      <c r="AE14" s="11"/>
      <c r="AF14" s="11"/>
      <c r="AG14" s="11"/>
      <c r="AH14" s="11"/>
      <c r="AI14" s="11"/>
      <c r="AJ14" s="11"/>
      <c r="AK14" s="11"/>
      <c r="AL14" s="11"/>
      <c r="AM14" s="11"/>
      <c r="AN14" s="11"/>
      <c r="AO14" s="11"/>
      <c r="AP14" s="11"/>
      <c r="AQ14" s="11"/>
      <c r="AR14" s="11"/>
      <c r="AS14" s="11"/>
      <c r="AT14" s="11"/>
      <c r="AU14" s="11"/>
      <c r="AV14" s="11"/>
      <c r="AW14" s="11"/>
      <c r="AX14" s="11"/>
      <c r="AY14" s="11"/>
      <c r="AZ14" s="21"/>
      <c r="BA14" s="11"/>
      <c r="BB14" s="11"/>
      <c r="BC14" s="11"/>
      <c r="BD14" s="11"/>
      <c r="BE14" s="11"/>
      <c r="BF14" s="11"/>
      <c r="BG14" s="11"/>
      <c r="BH14" s="11"/>
      <c r="BI14" s="11"/>
      <c r="BJ14" s="11"/>
      <c r="BK14" s="11"/>
      <c r="BL14" s="11"/>
      <c r="BM14" s="11"/>
      <c r="BN14" s="11"/>
      <c r="BO14" s="11"/>
      <c r="BP14" s="11"/>
      <c r="BQ14" s="11"/>
      <c r="BR14" s="11"/>
      <c r="BS14" s="11"/>
    </row>
    <row r="15" spans="1:71" s="33" customFormat="1" ht="12" customHeight="1" x14ac:dyDescent="0.2">
      <c r="A15" s="27"/>
      <c r="B15" s="28"/>
      <c r="C15" s="29"/>
      <c r="D15" s="39" t="s">
        <v>39</v>
      </c>
      <c r="E15" s="40">
        <v>3.6279160209385708</v>
      </c>
      <c r="F15" s="40">
        <v>7.03041026074564</v>
      </c>
      <c r="G15" s="40">
        <v>5.8298000784227497</v>
      </c>
      <c r="H15" s="40">
        <v>8.3258908984286535</v>
      </c>
      <c r="I15" s="40">
        <v>0.44366348033824465</v>
      </c>
      <c r="J15" s="40">
        <v>9.6672407415119466</v>
      </c>
      <c r="K15" s="40">
        <v>1.9876958543875389</v>
      </c>
      <c r="L15" s="40">
        <v>0.25057386672273196</v>
      </c>
      <c r="M15" s="40">
        <v>6.069530867650144</v>
      </c>
      <c r="N15" s="40">
        <v>4.625894791915556</v>
      </c>
      <c r="O15" s="40">
        <v>2.70582173663567</v>
      </c>
      <c r="P15" s="40">
        <v>4.5566456573284313</v>
      </c>
      <c r="Q15" s="40">
        <v>8.3638710689572662</v>
      </c>
      <c r="R15" s="40">
        <v>8.2767637934696836</v>
      </c>
      <c r="S15" s="40">
        <v>6.245437362908774</v>
      </c>
      <c r="T15" s="40">
        <v>-7.652310202534764</v>
      </c>
      <c r="U15" s="40">
        <v>8.5636317477326713</v>
      </c>
      <c r="V15" s="40">
        <v>6.0483163670680824</v>
      </c>
      <c r="W15" s="40">
        <v>4.4561672130978707</v>
      </c>
      <c r="X15" s="40">
        <v>11.343424252775236</v>
      </c>
      <c r="Y15" s="40">
        <v>4.1492898931352045</v>
      </c>
      <c r="Z15" s="40">
        <v>-1.6979656158822252</v>
      </c>
      <c r="AA15" s="40">
        <v>4.3037374568147442</v>
      </c>
      <c r="AB15" s="40">
        <v>2.9040063498196673</v>
      </c>
      <c r="AC15" s="40">
        <v>4.4788234835726541</v>
      </c>
      <c r="AD15" s="41">
        <v>2.9661359327898253</v>
      </c>
      <c r="AE15" s="11"/>
      <c r="AF15" s="11"/>
      <c r="AG15" s="11"/>
      <c r="AH15" s="11"/>
      <c r="AI15" s="11"/>
      <c r="AJ15" s="11"/>
      <c r="AK15" s="11"/>
      <c r="AL15" s="11"/>
      <c r="AM15" s="11"/>
      <c r="AN15" s="11"/>
      <c r="AO15" s="11"/>
      <c r="AP15" s="11"/>
      <c r="AQ15" s="11"/>
      <c r="AR15" s="11"/>
      <c r="AS15" s="11"/>
      <c r="AT15" s="11"/>
      <c r="AU15" s="11"/>
      <c r="AV15" s="11"/>
      <c r="AW15" s="11"/>
      <c r="AX15" s="11"/>
      <c r="AY15" s="11"/>
      <c r="AZ15" s="21"/>
      <c r="BA15" s="11"/>
      <c r="BB15" s="11"/>
      <c r="BC15" s="11"/>
      <c r="BD15" s="11"/>
      <c r="BE15" s="11"/>
      <c r="BF15" s="11"/>
      <c r="BG15" s="11"/>
      <c r="BH15" s="11"/>
      <c r="BI15" s="11"/>
      <c r="BJ15" s="11"/>
      <c r="BK15" s="11"/>
      <c r="BL15" s="11"/>
      <c r="BM15" s="11"/>
      <c r="BN15" s="11"/>
      <c r="BO15" s="11"/>
      <c r="BP15" s="11"/>
      <c r="BQ15" s="11"/>
      <c r="BR15" s="11"/>
      <c r="BS15" s="11"/>
    </row>
    <row r="16" spans="1:71" s="33" customFormat="1" ht="12" customHeight="1" x14ac:dyDescent="0.2">
      <c r="A16" s="27"/>
      <c r="B16" s="28"/>
      <c r="C16" s="29"/>
      <c r="D16" s="39" t="s">
        <v>40</v>
      </c>
      <c r="E16" s="40">
        <v>5.3345517016817041</v>
      </c>
      <c r="F16" s="40">
        <v>4.4167313554373493</v>
      </c>
      <c r="G16" s="40">
        <v>2.2075355267745778</v>
      </c>
      <c r="H16" s="40">
        <v>3.3948459848441672</v>
      </c>
      <c r="I16" s="40">
        <v>0.33809790295245534</v>
      </c>
      <c r="J16" s="40">
        <v>0.46793756737825731</v>
      </c>
      <c r="K16" s="40">
        <v>4.387949442673829</v>
      </c>
      <c r="L16" s="40">
        <v>1.3898964032589447</v>
      </c>
      <c r="M16" s="40">
        <v>3.0534618579525414</v>
      </c>
      <c r="N16" s="40">
        <v>1.1408289981000905</v>
      </c>
      <c r="O16" s="40">
        <v>5.7599646387177472</v>
      </c>
      <c r="P16" s="40">
        <v>3.2021313799023545</v>
      </c>
      <c r="Q16" s="40">
        <v>3.9619887218498917</v>
      </c>
      <c r="R16" s="40">
        <v>6.0698706077183715</v>
      </c>
      <c r="S16" s="40">
        <v>5.0941954473271664</v>
      </c>
      <c r="T16" s="40">
        <v>-0.12581199941486432</v>
      </c>
      <c r="U16" s="40">
        <v>7.5282258300556322</v>
      </c>
      <c r="V16" s="40">
        <v>3.9744254058381614</v>
      </c>
      <c r="W16" s="40">
        <v>1.9211503183630185</v>
      </c>
      <c r="X16" s="40">
        <v>3.0048463050570575</v>
      </c>
      <c r="Y16" s="40">
        <v>0.50395574024224743</v>
      </c>
      <c r="Z16" s="40">
        <v>-3.5457633926942549</v>
      </c>
      <c r="AA16" s="40">
        <v>-3.275916907821923</v>
      </c>
      <c r="AB16" s="40">
        <v>1.3228690540439914</v>
      </c>
      <c r="AC16" s="40">
        <v>1.3172239987079308</v>
      </c>
      <c r="AD16" s="41">
        <v>1.1365855720095794</v>
      </c>
      <c r="AE16" s="11"/>
      <c r="AF16" s="11"/>
      <c r="AG16" s="11"/>
      <c r="AH16" s="11"/>
      <c r="AI16" s="11"/>
      <c r="AJ16" s="11"/>
      <c r="AK16" s="11"/>
      <c r="AL16" s="11"/>
      <c r="AM16" s="11"/>
      <c r="AN16" s="11"/>
      <c r="AO16" s="11"/>
      <c r="AP16" s="11"/>
      <c r="AQ16" s="11"/>
      <c r="AR16" s="11"/>
      <c r="AS16" s="11"/>
      <c r="AT16" s="11"/>
      <c r="AU16" s="11"/>
      <c r="AV16" s="11"/>
      <c r="AW16" s="11"/>
      <c r="AX16" s="11"/>
      <c r="AY16" s="11"/>
      <c r="AZ16" s="21"/>
      <c r="BA16" s="11"/>
      <c r="BB16" s="11"/>
      <c r="BC16" s="11"/>
      <c r="BD16" s="11"/>
      <c r="BE16" s="11"/>
      <c r="BF16" s="11"/>
      <c r="BG16" s="11"/>
      <c r="BH16" s="11"/>
      <c r="BI16" s="11"/>
      <c r="BJ16" s="11"/>
      <c r="BK16" s="11"/>
      <c r="BL16" s="11"/>
      <c r="BM16" s="11"/>
      <c r="BN16" s="11"/>
      <c r="BO16" s="11"/>
      <c r="BP16" s="11"/>
      <c r="BQ16" s="11"/>
      <c r="BR16" s="11"/>
      <c r="BS16" s="11"/>
    </row>
    <row r="17" spans="1:71" s="33" customFormat="1" ht="12" customHeight="1" x14ac:dyDescent="0.2">
      <c r="A17" s="27"/>
      <c r="B17" s="28"/>
      <c r="C17" s="29"/>
      <c r="D17" s="39" t="s">
        <v>41</v>
      </c>
      <c r="E17" s="40">
        <v>4.4944662172487</v>
      </c>
      <c r="F17" s="40">
        <v>2.6939762680312782</v>
      </c>
      <c r="G17" s="40">
        <v>1.6191724655463275</v>
      </c>
      <c r="H17" s="40">
        <v>4.2800400839616515</v>
      </c>
      <c r="I17" s="40">
        <v>2.7965424624821935</v>
      </c>
      <c r="J17" s="40">
        <v>3.9704826447176913</v>
      </c>
      <c r="K17" s="40">
        <v>4.9177627192840419</v>
      </c>
      <c r="L17" s="40">
        <v>1.4055275963016811</v>
      </c>
      <c r="M17" s="40">
        <v>3.4221461492298459</v>
      </c>
      <c r="N17" s="40">
        <v>3.8110901963668056</v>
      </c>
      <c r="O17" s="40">
        <v>3.9140287539473775</v>
      </c>
      <c r="P17" s="40">
        <v>4.9958609026390377</v>
      </c>
      <c r="Q17" s="40">
        <v>4.1658176072968871</v>
      </c>
      <c r="R17" s="40">
        <v>6.8686088626518398</v>
      </c>
      <c r="S17" s="40">
        <v>1.0076226783997129</v>
      </c>
      <c r="T17" s="40">
        <v>-2.9284001837842482</v>
      </c>
      <c r="U17" s="40">
        <v>3.0894946435811477</v>
      </c>
      <c r="V17" s="40">
        <v>3.146881366482873</v>
      </c>
      <c r="W17" s="40">
        <v>1.7622225495542665</v>
      </c>
      <c r="X17" s="40">
        <v>2.3291225223044876</v>
      </c>
      <c r="Y17" s="40">
        <v>2.8700360387422137</v>
      </c>
      <c r="Z17" s="40">
        <v>0.65917688901120641</v>
      </c>
      <c r="AA17" s="40">
        <v>1.0013944289760701</v>
      </c>
      <c r="AB17" s="40">
        <v>3.1707298662691841</v>
      </c>
      <c r="AC17" s="40">
        <v>2.0136392117321407</v>
      </c>
      <c r="AD17" s="41">
        <v>1.6560408542809455</v>
      </c>
      <c r="AE17" s="11"/>
      <c r="AF17" s="11"/>
      <c r="AG17" s="11"/>
      <c r="AH17" s="11"/>
      <c r="AI17" s="11"/>
      <c r="AJ17" s="11"/>
      <c r="AK17" s="11"/>
      <c r="AL17" s="11"/>
      <c r="AM17" s="11"/>
      <c r="AN17" s="11"/>
      <c r="AO17" s="11"/>
      <c r="AP17" s="11"/>
      <c r="AQ17" s="11"/>
      <c r="AR17" s="11"/>
      <c r="AS17" s="11"/>
      <c r="AT17" s="11"/>
      <c r="AU17" s="11"/>
      <c r="AV17" s="11"/>
      <c r="AW17" s="11"/>
      <c r="AX17" s="11"/>
      <c r="AY17" s="11"/>
      <c r="AZ17" s="21"/>
      <c r="BA17" s="11"/>
      <c r="BB17" s="11"/>
      <c r="BC17" s="11"/>
      <c r="BD17" s="11"/>
      <c r="BE17" s="11"/>
      <c r="BF17" s="11"/>
      <c r="BG17" s="11"/>
      <c r="BH17" s="11"/>
      <c r="BI17" s="11"/>
      <c r="BJ17" s="11"/>
      <c r="BK17" s="11"/>
      <c r="BL17" s="11"/>
      <c r="BM17" s="11"/>
      <c r="BN17" s="11"/>
      <c r="BO17" s="11"/>
      <c r="BP17" s="11"/>
      <c r="BQ17" s="11"/>
      <c r="BR17" s="11"/>
      <c r="BS17" s="11"/>
    </row>
    <row r="18" spans="1:71" s="33" customFormat="1" ht="12" customHeight="1" x14ac:dyDescent="0.2">
      <c r="A18" s="27"/>
      <c r="B18" s="28"/>
      <c r="C18" s="29"/>
      <c r="D18" s="39" t="s">
        <v>42</v>
      </c>
      <c r="E18" s="40">
        <v>5.0301979774230858</v>
      </c>
      <c r="F18" s="40">
        <v>8.9332958694526781</v>
      </c>
      <c r="G18" s="40">
        <v>6.8029165957768924</v>
      </c>
      <c r="H18" s="40">
        <v>7.4278898078901534</v>
      </c>
      <c r="I18" s="40">
        <v>4.3245794968563445</v>
      </c>
      <c r="J18" s="40">
        <v>-0.41209616703309848</v>
      </c>
      <c r="K18" s="40">
        <v>5.3269384191236213</v>
      </c>
      <c r="L18" s="40">
        <v>3.3030473125086957</v>
      </c>
      <c r="M18" s="40">
        <v>3.1069705322706085</v>
      </c>
      <c r="N18" s="40">
        <v>4.0910476847042077</v>
      </c>
      <c r="O18" s="40">
        <v>7.2095397094503539</v>
      </c>
      <c r="P18" s="40">
        <v>5.7428304894511655</v>
      </c>
      <c r="Q18" s="40">
        <v>6.3171763431471391</v>
      </c>
      <c r="R18" s="40">
        <v>4.9053245035615589</v>
      </c>
      <c r="S18" s="40">
        <v>3.5295305532651753</v>
      </c>
      <c r="T18" s="40">
        <v>-1.5642394429906972</v>
      </c>
      <c r="U18" s="40">
        <v>5.8441772957899616</v>
      </c>
      <c r="V18" s="40">
        <v>6.1109188291364376</v>
      </c>
      <c r="W18" s="40">
        <v>5.3186280004141651</v>
      </c>
      <c r="X18" s="40">
        <v>4.0450042981489531</v>
      </c>
      <c r="Y18" s="40">
        <v>1.766739783638684</v>
      </c>
      <c r="Z18" s="40">
        <v>2.3037670361239009</v>
      </c>
      <c r="AA18" s="40">
        <v>1.711089288673989</v>
      </c>
      <c r="AB18" s="40">
        <v>1.188572582298562</v>
      </c>
      <c r="AC18" s="40">
        <v>3.9493208909518103</v>
      </c>
      <c r="AD18" s="41">
        <v>1.0544425507399353</v>
      </c>
      <c r="AE18" s="11"/>
      <c r="AF18" s="11"/>
      <c r="AG18" s="11"/>
      <c r="AH18" s="11"/>
      <c r="AI18" s="11"/>
      <c r="AJ18" s="11"/>
      <c r="AK18" s="11"/>
      <c r="AL18" s="11"/>
      <c r="AM18" s="11"/>
      <c r="AN18" s="11"/>
      <c r="AO18" s="11"/>
      <c r="AP18" s="11"/>
      <c r="AQ18" s="11"/>
      <c r="AR18" s="11"/>
      <c r="AS18" s="11"/>
      <c r="AT18" s="11"/>
      <c r="AU18" s="11"/>
      <c r="AV18" s="11"/>
      <c r="AW18" s="11"/>
      <c r="AX18" s="11"/>
      <c r="AY18" s="11"/>
      <c r="AZ18" s="21"/>
      <c r="BA18" s="11"/>
      <c r="BB18" s="11"/>
      <c r="BC18" s="11"/>
      <c r="BD18" s="11"/>
      <c r="BE18" s="11"/>
      <c r="BF18" s="11"/>
      <c r="BG18" s="11"/>
      <c r="BH18" s="11"/>
      <c r="BI18" s="11"/>
      <c r="BJ18" s="11"/>
      <c r="BK18" s="11"/>
      <c r="BL18" s="11"/>
      <c r="BM18" s="11"/>
      <c r="BN18" s="11"/>
      <c r="BO18" s="11"/>
      <c r="BP18" s="11"/>
      <c r="BQ18" s="11"/>
      <c r="BR18" s="11"/>
      <c r="BS18" s="11"/>
    </row>
    <row r="19" spans="1:71" s="33" customFormat="1" ht="12" customHeight="1" x14ac:dyDescent="0.2">
      <c r="A19" s="27"/>
      <c r="B19" s="28"/>
      <c r="C19" s="29"/>
      <c r="D19" s="39" t="s">
        <v>43</v>
      </c>
      <c r="E19" s="40">
        <v>5.8146619078781612</v>
      </c>
      <c r="F19" s="40">
        <v>5.2024375925091988</v>
      </c>
      <c r="G19" s="40">
        <v>2.0558547121738684</v>
      </c>
      <c r="H19" s="40">
        <v>3.4302936782762288</v>
      </c>
      <c r="I19" s="40">
        <v>0.5697840898662605</v>
      </c>
      <c r="J19" s="40">
        <v>-4.2040152436992742</v>
      </c>
      <c r="K19" s="40">
        <v>2.9248614831459179</v>
      </c>
      <c r="L19" s="40">
        <v>1.6778983076995502</v>
      </c>
      <c r="M19" s="40">
        <v>2.5039804655068565</v>
      </c>
      <c r="N19" s="40">
        <v>3.918271903598324</v>
      </c>
      <c r="O19" s="40">
        <v>5.3330220674523616</v>
      </c>
      <c r="P19" s="40">
        <v>4.8287611079508537</v>
      </c>
      <c r="Q19" s="40">
        <v>6.7168686984440171</v>
      </c>
      <c r="R19" s="40">
        <v>6.7381946909097508</v>
      </c>
      <c r="S19" s="40">
        <v>3.2834461861654063</v>
      </c>
      <c r="T19" s="40">
        <v>1.1396486454806194</v>
      </c>
      <c r="U19" s="40">
        <v>4.4946589707092244</v>
      </c>
      <c r="V19" s="40">
        <v>6.9478919817355518</v>
      </c>
      <c r="W19" s="40">
        <v>3.9126357671611487</v>
      </c>
      <c r="X19" s="40">
        <v>5.1339935199566895</v>
      </c>
      <c r="Y19" s="40">
        <v>4.4990300011097446</v>
      </c>
      <c r="Z19" s="40">
        <v>2.9559013752752321</v>
      </c>
      <c r="AA19" s="40">
        <v>2.0873825016279426</v>
      </c>
      <c r="AB19" s="40">
        <v>1.3593608678874602</v>
      </c>
      <c r="AC19" s="40">
        <v>2.5153244557176038</v>
      </c>
      <c r="AD19" s="41">
        <v>3.3222127885815524</v>
      </c>
      <c r="AE19" s="11"/>
      <c r="AF19" s="11"/>
      <c r="AG19" s="11"/>
      <c r="AH19" s="11"/>
      <c r="AI19" s="11"/>
      <c r="AJ19" s="11"/>
      <c r="AK19" s="11"/>
      <c r="AL19" s="11"/>
      <c r="AM19" s="11"/>
      <c r="AN19" s="11"/>
      <c r="AO19" s="11"/>
      <c r="AP19" s="11"/>
      <c r="AQ19" s="11"/>
      <c r="AR19" s="11"/>
      <c r="AS19" s="11"/>
      <c r="AT19" s="11"/>
      <c r="AU19" s="11"/>
      <c r="AV19" s="11"/>
      <c r="AW19" s="11"/>
      <c r="AX19" s="11"/>
      <c r="AY19" s="11"/>
      <c r="AZ19" s="21"/>
      <c r="BA19" s="11"/>
      <c r="BB19" s="11"/>
      <c r="BC19" s="11"/>
      <c r="BD19" s="11"/>
      <c r="BE19" s="11"/>
      <c r="BF19" s="11"/>
      <c r="BG19" s="11"/>
      <c r="BH19" s="11"/>
      <c r="BI19" s="11"/>
      <c r="BJ19" s="11"/>
      <c r="BK19" s="11"/>
      <c r="BL19" s="11"/>
      <c r="BM19" s="11"/>
      <c r="BN19" s="11"/>
      <c r="BO19" s="11"/>
      <c r="BP19" s="11"/>
      <c r="BQ19" s="11"/>
      <c r="BR19" s="11"/>
      <c r="BS19" s="11"/>
    </row>
    <row r="20" spans="1:71" s="33" customFormat="1" ht="12" customHeight="1" x14ac:dyDescent="0.2">
      <c r="A20" s="27"/>
      <c r="B20" s="28"/>
      <c r="C20" s="29"/>
      <c r="D20" s="39" t="s">
        <v>44</v>
      </c>
      <c r="E20" s="40">
        <v>3.2999998087800009</v>
      </c>
      <c r="F20" s="40">
        <v>4.1124189286806541</v>
      </c>
      <c r="G20" s="40">
        <v>4.6024610902980498</v>
      </c>
      <c r="H20" s="40">
        <v>4.1963574580108514</v>
      </c>
      <c r="I20" s="40">
        <v>4.7003908435882664</v>
      </c>
      <c r="J20" s="40">
        <v>4.3999968863181209</v>
      </c>
      <c r="K20" s="40">
        <v>3.70000003991548</v>
      </c>
      <c r="L20" s="40">
        <v>4.0000000985984485</v>
      </c>
      <c r="M20" s="40">
        <v>4.4999995779301258</v>
      </c>
      <c r="N20" s="40">
        <v>5.2000000739746497</v>
      </c>
      <c r="O20" s="40">
        <v>5.5999999893859638</v>
      </c>
      <c r="P20" s="40">
        <v>5.9000039161938247</v>
      </c>
      <c r="Q20" s="40">
        <v>6.3999125017601983</v>
      </c>
      <c r="R20" s="40">
        <v>4.3468191641468374</v>
      </c>
      <c r="S20" s="40">
        <v>9.1497989752667053</v>
      </c>
      <c r="T20" s="40">
        <v>4.8444869984482608</v>
      </c>
      <c r="U20" s="40">
        <v>7.8997118893530995</v>
      </c>
      <c r="V20" s="40">
        <v>14.047123630319163</v>
      </c>
      <c r="W20" s="40">
        <v>9.2927894045967747</v>
      </c>
      <c r="X20" s="40">
        <v>7.31252500733126</v>
      </c>
      <c r="Y20" s="40">
        <v>2.8974388369153843</v>
      </c>
      <c r="Z20" s="40">
        <v>2.1782067443939042</v>
      </c>
      <c r="AA20" s="40">
        <v>3.4477929912972769</v>
      </c>
      <c r="AB20" s="40">
        <v>8.1434465487985221</v>
      </c>
      <c r="AC20" s="40">
        <v>6.2634807319574151</v>
      </c>
      <c r="AD20" s="41">
        <v>6.4783948053589882</v>
      </c>
      <c r="AE20" s="11"/>
      <c r="AF20" s="11"/>
      <c r="AG20" s="11"/>
      <c r="AH20" s="11"/>
      <c r="AI20" s="11"/>
      <c r="AJ20" s="11"/>
      <c r="AK20" s="11"/>
      <c r="AL20" s="11"/>
      <c r="AM20" s="11"/>
      <c r="AN20" s="11"/>
      <c r="AO20" s="11"/>
      <c r="AP20" s="11"/>
      <c r="AQ20" s="11"/>
      <c r="AR20" s="11"/>
      <c r="AS20" s="11"/>
      <c r="AT20" s="11"/>
      <c r="AU20" s="11"/>
      <c r="AV20" s="11"/>
      <c r="AW20" s="11"/>
      <c r="AX20" s="11"/>
      <c r="AY20" s="11"/>
      <c r="AZ20" s="21"/>
      <c r="BA20" s="11"/>
      <c r="BB20" s="11"/>
      <c r="BC20" s="11"/>
      <c r="BD20" s="11"/>
      <c r="BE20" s="11"/>
      <c r="BF20" s="11"/>
      <c r="BG20" s="11"/>
      <c r="BH20" s="11"/>
      <c r="BI20" s="11"/>
      <c r="BJ20" s="11"/>
      <c r="BK20" s="11"/>
      <c r="BL20" s="11"/>
      <c r="BM20" s="11"/>
      <c r="BN20" s="11"/>
      <c r="BO20" s="11"/>
      <c r="BP20" s="11"/>
      <c r="BQ20" s="11"/>
      <c r="BR20" s="11"/>
      <c r="BS20" s="11"/>
    </row>
    <row r="21" spans="1:71" s="33" customFormat="1" ht="12" customHeight="1" x14ac:dyDescent="0.2">
      <c r="A21" s="27"/>
      <c r="B21" s="28"/>
      <c r="C21" s="29"/>
      <c r="D21" s="39" t="s">
        <v>45</v>
      </c>
      <c r="E21" s="40">
        <v>3.6088579418272388</v>
      </c>
      <c r="F21" s="40">
        <v>0.1165837013683273</v>
      </c>
      <c r="G21" s="40">
        <v>4.5731637588466896</v>
      </c>
      <c r="H21" s="40">
        <v>5.7604751832471806</v>
      </c>
      <c r="I21" s="40">
        <v>7.0955605441221934</v>
      </c>
      <c r="J21" s="40">
        <v>4.0430500827045961</v>
      </c>
      <c r="K21" s="40">
        <v>4.8915933123501247</v>
      </c>
      <c r="L21" s="40">
        <v>3.8988106741635562</v>
      </c>
      <c r="M21" s="40">
        <v>0.68117099984468155</v>
      </c>
      <c r="N21" s="40">
        <v>2.2681369752335172</v>
      </c>
      <c r="O21" s="40">
        <v>8.0422048233156858</v>
      </c>
      <c r="P21" s="40">
        <v>6.3300000700232175</v>
      </c>
      <c r="Q21" s="40">
        <v>5.2488211793739055</v>
      </c>
      <c r="R21" s="40">
        <v>9.3653193658667107</v>
      </c>
      <c r="S21" s="40">
        <v>1.9919808194479742</v>
      </c>
      <c r="T21" s="40">
        <v>-6.777215089210145</v>
      </c>
      <c r="U21" s="40">
        <v>-3.4358755995507408</v>
      </c>
      <c r="V21" s="40">
        <v>1.8816203252946195</v>
      </c>
      <c r="W21" s="40">
        <v>1.2964376125609931</v>
      </c>
      <c r="X21" s="40">
        <v>4.1338511247624723</v>
      </c>
      <c r="Y21" s="40">
        <v>2.0826231596004874</v>
      </c>
      <c r="Z21" s="40">
        <v>4.7489849906331614</v>
      </c>
      <c r="AA21" s="40">
        <v>6.6270366421711202</v>
      </c>
      <c r="AB21" s="40">
        <v>4.5459828936867268</v>
      </c>
      <c r="AC21" s="40">
        <v>3.8144229764916844</v>
      </c>
      <c r="AD21" s="41">
        <v>1.9186768820640339</v>
      </c>
      <c r="AE21" s="11"/>
      <c r="AF21" s="11"/>
      <c r="AG21" s="11"/>
      <c r="AH21" s="11"/>
      <c r="AI21" s="11"/>
      <c r="AJ21" s="11"/>
      <c r="AK21" s="11"/>
      <c r="AL21" s="11"/>
      <c r="AM21" s="11"/>
      <c r="AN21" s="11"/>
      <c r="AO21" s="11"/>
      <c r="AP21" s="11"/>
      <c r="AQ21" s="11"/>
      <c r="AR21" s="11"/>
      <c r="AS21" s="11"/>
      <c r="AT21" s="11"/>
      <c r="AU21" s="11"/>
      <c r="AV21" s="11"/>
      <c r="AW21" s="11"/>
      <c r="AX21" s="11"/>
      <c r="AY21" s="11"/>
      <c r="AZ21" s="21"/>
      <c r="BA21" s="11"/>
      <c r="BB21" s="11"/>
      <c r="BC21" s="11"/>
      <c r="BD21" s="11"/>
      <c r="BE21" s="11"/>
      <c r="BF21" s="11"/>
      <c r="BG21" s="11"/>
      <c r="BH21" s="11"/>
      <c r="BI21" s="11"/>
      <c r="BJ21" s="11"/>
      <c r="BK21" s="11"/>
      <c r="BL21" s="11"/>
      <c r="BM21" s="11"/>
      <c r="BN21" s="11"/>
      <c r="BO21" s="11"/>
      <c r="BP21" s="11"/>
      <c r="BQ21" s="11"/>
      <c r="BR21" s="11"/>
      <c r="BS21" s="11"/>
    </row>
    <row r="22" spans="1:71" s="33" customFormat="1" ht="12" customHeight="1" x14ac:dyDescent="0.2">
      <c r="A22" s="27"/>
      <c r="B22" s="28"/>
      <c r="C22" s="29"/>
      <c r="D22" s="39" t="s">
        <v>46</v>
      </c>
      <c r="E22" s="40">
        <v>6.6589240673402372</v>
      </c>
      <c r="F22" s="40">
        <v>7.5744918403237875</v>
      </c>
      <c r="G22" s="40">
        <v>7.5495222488197982</v>
      </c>
      <c r="H22" s="40">
        <v>4.0498208490925975</v>
      </c>
      <c r="I22" s="40">
        <v>6.1844158209061817</v>
      </c>
      <c r="J22" s="40">
        <v>8.8457555610550855</v>
      </c>
      <c r="K22" s="40">
        <v>3.8409911568128479</v>
      </c>
      <c r="L22" s="40">
        <v>4.823966263906442</v>
      </c>
      <c r="M22" s="40">
        <v>3.8039753213757734</v>
      </c>
      <c r="N22" s="40">
        <v>7.8603814755325914</v>
      </c>
      <c r="O22" s="40">
        <v>7.9229366128650298</v>
      </c>
      <c r="P22" s="40">
        <v>7.92343062149763</v>
      </c>
      <c r="Q22" s="40">
        <v>8.0607325730327233</v>
      </c>
      <c r="R22" s="40">
        <v>7.6608150650492775</v>
      </c>
      <c r="S22" s="40">
        <v>3.0866980595328926</v>
      </c>
      <c r="T22" s="40">
        <v>7.8618888330349819</v>
      </c>
      <c r="U22" s="40">
        <v>8.4975847015810615</v>
      </c>
      <c r="V22" s="40">
        <v>5.2413447428854028</v>
      </c>
      <c r="W22" s="40">
        <v>5.4563589507228727</v>
      </c>
      <c r="X22" s="40">
        <v>6.3861064009482504</v>
      </c>
      <c r="Y22" s="40">
        <v>7.4102276050885223</v>
      </c>
      <c r="Z22" s="40">
        <v>7.9962534441387874</v>
      </c>
      <c r="AA22" s="40">
        <v>8.2563058441752304</v>
      </c>
      <c r="AB22" s="40">
        <v>7.0438208553812416</v>
      </c>
      <c r="AC22" s="40">
        <v>6.1195868413821444</v>
      </c>
      <c r="AD22" s="41">
        <v>5.0238734277170352</v>
      </c>
      <c r="AE22" s="11"/>
      <c r="AF22" s="11"/>
      <c r="AG22" s="11"/>
      <c r="AH22" s="11"/>
      <c r="AI22" s="11"/>
      <c r="AJ22" s="11"/>
      <c r="AK22" s="11"/>
      <c r="AL22" s="11"/>
      <c r="AM22" s="11"/>
      <c r="AN22" s="11"/>
      <c r="AO22" s="11"/>
      <c r="AP22" s="11"/>
      <c r="AQ22" s="11"/>
      <c r="AR22" s="11"/>
      <c r="AS22" s="11"/>
      <c r="AT22" s="11"/>
      <c r="AU22" s="11"/>
      <c r="AV22" s="11"/>
      <c r="AW22" s="11"/>
      <c r="AX22" s="11"/>
      <c r="AY22" s="11"/>
      <c r="AZ22" s="21"/>
      <c r="BA22" s="11"/>
      <c r="BB22" s="11"/>
      <c r="BC22" s="11"/>
      <c r="BD22" s="11"/>
      <c r="BE22" s="11"/>
      <c r="BF22" s="11"/>
      <c r="BG22" s="11"/>
      <c r="BH22" s="11"/>
      <c r="BI22" s="11"/>
      <c r="BJ22" s="11"/>
      <c r="BK22" s="11"/>
      <c r="BL22" s="11"/>
      <c r="BM22" s="11"/>
      <c r="BN22" s="11"/>
      <c r="BO22" s="11"/>
      <c r="BP22" s="11"/>
      <c r="BQ22" s="11"/>
      <c r="BR22" s="11"/>
      <c r="BS22" s="11"/>
    </row>
    <row r="23" spans="1:71" s="33" customFormat="1" ht="12" customHeight="1" x14ac:dyDescent="0.2">
      <c r="A23" s="27"/>
      <c r="B23" s="28"/>
      <c r="C23" s="29"/>
      <c r="D23" s="39" t="s">
        <v>47</v>
      </c>
      <c r="E23" s="40">
        <v>7.5399710955143888</v>
      </c>
      <c r="F23" s="40">
        <v>8.2200073990349267</v>
      </c>
      <c r="G23" s="40">
        <v>7.8181870767086679</v>
      </c>
      <c r="H23" s="40">
        <v>4.699878853903968</v>
      </c>
      <c r="I23" s="40">
        <v>-13.126725492381823</v>
      </c>
      <c r="J23" s="40">
        <v>0.79112608199847045</v>
      </c>
      <c r="K23" s="40">
        <v>4.9200677470169012</v>
      </c>
      <c r="L23" s="40">
        <v>3.6434664472149336</v>
      </c>
      <c r="M23" s="40">
        <v>4.4994753908576399</v>
      </c>
      <c r="N23" s="40">
        <v>4.7803691216765429</v>
      </c>
      <c r="O23" s="40">
        <v>5.0308739450168503</v>
      </c>
      <c r="P23" s="40">
        <v>5.6925713038338444</v>
      </c>
      <c r="Q23" s="40">
        <v>5.5009517852034833</v>
      </c>
      <c r="R23" s="40">
        <v>6.3450222266721426</v>
      </c>
      <c r="S23" s="40">
        <v>6.0137036000912332</v>
      </c>
      <c r="T23" s="40">
        <v>4.6288711825615394</v>
      </c>
      <c r="U23" s="40">
        <v>6.2238541806236611</v>
      </c>
      <c r="V23" s="40">
        <v>6.1697842077100802</v>
      </c>
      <c r="W23" s="40">
        <v>6.0300506530561222</v>
      </c>
      <c r="X23" s="40">
        <v>5.5572636889101261</v>
      </c>
      <c r="Y23" s="40">
        <v>5.0066684257549952</v>
      </c>
      <c r="Z23" s="40">
        <v>4.8763223002212186</v>
      </c>
      <c r="AA23" s="40">
        <v>5.0330691828017962</v>
      </c>
      <c r="AB23" s="40">
        <v>5.0697859013491637</v>
      </c>
      <c r="AC23" s="40">
        <v>5.1697056089814737</v>
      </c>
      <c r="AD23" s="41">
        <v>5.0247140221696895</v>
      </c>
      <c r="AE23" s="11"/>
      <c r="AF23" s="11"/>
      <c r="AG23" s="11"/>
      <c r="AH23" s="11"/>
      <c r="AI23" s="11"/>
      <c r="AJ23" s="11"/>
      <c r="AK23" s="11"/>
      <c r="AL23" s="11"/>
      <c r="AM23" s="11"/>
      <c r="AN23" s="11"/>
      <c r="AO23" s="11"/>
      <c r="AP23" s="11"/>
      <c r="AQ23" s="11"/>
      <c r="AR23" s="11"/>
      <c r="AS23" s="11"/>
      <c r="AT23" s="11"/>
      <c r="AU23" s="11"/>
      <c r="AV23" s="11"/>
      <c r="AW23" s="11"/>
      <c r="AX23" s="11"/>
      <c r="AY23" s="11"/>
      <c r="AZ23" s="21"/>
      <c r="BA23" s="11"/>
      <c r="BB23" s="11"/>
      <c r="BC23" s="11"/>
      <c r="BD23" s="11"/>
      <c r="BE23" s="11"/>
      <c r="BF23" s="11"/>
      <c r="BG23" s="11"/>
      <c r="BH23" s="11"/>
      <c r="BI23" s="11"/>
      <c r="BJ23" s="11"/>
      <c r="BK23" s="11"/>
      <c r="BL23" s="11"/>
      <c r="BM23" s="11"/>
      <c r="BN23" s="11"/>
      <c r="BO23" s="11"/>
      <c r="BP23" s="11"/>
      <c r="BQ23" s="11"/>
      <c r="BR23" s="11"/>
      <c r="BS23" s="11"/>
    </row>
    <row r="24" spans="1:71" s="33" customFormat="1" ht="12" customHeight="1" x14ac:dyDescent="0.2">
      <c r="A24" s="27"/>
      <c r="B24" s="28"/>
      <c r="C24" s="29"/>
      <c r="D24" s="39" t="s">
        <v>48</v>
      </c>
      <c r="E24" s="40">
        <v>2.6327845185903271</v>
      </c>
      <c r="F24" s="40">
        <v>4.4062165258050783</v>
      </c>
      <c r="G24" s="40">
        <v>4.1468392671670955</v>
      </c>
      <c r="H24" s="40">
        <v>0.47490192048410051</v>
      </c>
      <c r="I24" s="40">
        <v>3.2902137230934585</v>
      </c>
      <c r="J24" s="40">
        <v>2.3053885959187284</v>
      </c>
      <c r="K24" s="40">
        <v>0.59969539161363627</v>
      </c>
      <c r="L24" s="40">
        <v>3.7799064962898683</v>
      </c>
      <c r="M24" s="40">
        <v>0.5468595299945207</v>
      </c>
      <c r="N24" s="40">
        <v>2.9324755461927339</v>
      </c>
      <c r="O24" s="40">
        <v>5.1042997756893413</v>
      </c>
      <c r="P24" s="40">
        <v>5.9066660816801289</v>
      </c>
      <c r="Q24" s="40">
        <v>6.4724942986248237</v>
      </c>
      <c r="R24" s="40">
        <v>6.850729770631375</v>
      </c>
      <c r="S24" s="40">
        <v>0.23228274566594109</v>
      </c>
      <c r="T24" s="40">
        <v>3.306939815347576</v>
      </c>
      <c r="U24" s="40">
        <v>8.4056992242171873</v>
      </c>
      <c r="V24" s="40">
        <v>6.1082637197964971</v>
      </c>
      <c r="W24" s="40">
        <v>4.5632091307112006</v>
      </c>
      <c r="X24" s="40">
        <v>5.8786805667541842</v>
      </c>
      <c r="Y24" s="40">
        <v>5.3571256444996891</v>
      </c>
      <c r="Z24" s="40">
        <v>5.7185071326313164</v>
      </c>
      <c r="AA24" s="40">
        <v>5.8789492991830912</v>
      </c>
      <c r="AB24" s="40">
        <v>4.8056965238239684</v>
      </c>
      <c r="AC24" s="40">
        <v>6.3184507016286631</v>
      </c>
      <c r="AD24" s="41">
        <v>5.3657489654746371</v>
      </c>
      <c r="AE24" s="11"/>
      <c r="AF24" s="11"/>
      <c r="AG24" s="11"/>
      <c r="AH24" s="11"/>
      <c r="AI24" s="11"/>
      <c r="AJ24" s="11"/>
      <c r="AK24" s="11"/>
      <c r="AL24" s="11"/>
      <c r="AM24" s="11"/>
      <c r="AN24" s="11"/>
      <c r="AO24" s="11"/>
      <c r="AP24" s="11"/>
      <c r="AQ24" s="11"/>
      <c r="AR24" s="11"/>
      <c r="AS24" s="11"/>
      <c r="AT24" s="11"/>
      <c r="AU24" s="11"/>
      <c r="AV24" s="11"/>
      <c r="AW24" s="11"/>
      <c r="AX24" s="11"/>
      <c r="AY24" s="11"/>
      <c r="AZ24" s="21"/>
      <c r="BA24" s="11"/>
      <c r="BB24" s="11"/>
      <c r="BC24" s="11"/>
      <c r="BD24" s="11"/>
      <c r="BE24" s="11"/>
      <c r="BF24" s="11"/>
      <c r="BG24" s="11"/>
      <c r="BH24" s="11"/>
      <c r="BI24" s="11"/>
      <c r="BJ24" s="11"/>
      <c r="BK24" s="11"/>
      <c r="BL24" s="11"/>
      <c r="BM24" s="11"/>
      <c r="BN24" s="11"/>
      <c r="BO24" s="11"/>
      <c r="BP24" s="11"/>
      <c r="BQ24" s="11"/>
      <c r="BR24" s="11"/>
      <c r="BS24" s="11"/>
    </row>
    <row r="25" spans="1:71" s="33" customFormat="1" ht="12" customHeight="1" x14ac:dyDescent="0.2">
      <c r="A25" s="27"/>
      <c r="B25" s="28"/>
      <c r="C25" s="29"/>
      <c r="D25" s="39" t="s">
        <v>49</v>
      </c>
      <c r="E25" s="40">
        <v>9.2686663377837561</v>
      </c>
      <c r="F25" s="40">
        <v>9.6145653931996549</v>
      </c>
      <c r="G25" s="40">
        <v>7.8907033260066726</v>
      </c>
      <c r="H25" s="40">
        <v>6.1705524265897651</v>
      </c>
      <c r="I25" s="40">
        <v>-5.129448165209638</v>
      </c>
      <c r="J25" s="40">
        <v>11.466942426742492</v>
      </c>
      <c r="K25" s="40">
        <v>9.0608333250853406</v>
      </c>
      <c r="L25" s="40">
        <v>4.8523995715128052</v>
      </c>
      <c r="M25" s="40">
        <v>7.7251426754717301</v>
      </c>
      <c r="N25" s="40">
        <v>3.1472911937340768</v>
      </c>
      <c r="O25" s="40">
        <v>5.197391363243824</v>
      </c>
      <c r="P25" s="40">
        <v>4.3085427141123631</v>
      </c>
      <c r="Q25" s="40">
        <v>5.2643265946672386</v>
      </c>
      <c r="R25" s="40">
        <v>5.799548415032163</v>
      </c>
      <c r="S25" s="40">
        <v>3.0129848728116713</v>
      </c>
      <c r="T25" s="40">
        <v>0.79269898951818618</v>
      </c>
      <c r="U25" s="40">
        <v>6.8048249178367115</v>
      </c>
      <c r="V25" s="40">
        <v>3.6856677821252646</v>
      </c>
      <c r="W25" s="40">
        <v>2.4025309924618625</v>
      </c>
      <c r="X25" s="40">
        <v>3.1647086364718433</v>
      </c>
      <c r="Y25" s="40">
        <v>3.2024537945736</v>
      </c>
      <c r="Z25" s="40">
        <v>2.8091032682413299</v>
      </c>
      <c r="AA25" s="40">
        <v>2.9468817150862634</v>
      </c>
      <c r="AB25" s="40">
        <v>3.1596357401277686</v>
      </c>
      <c r="AC25" s="40">
        <v>2.6649303460364706</v>
      </c>
      <c r="AD25" s="41">
        <v>2.0331509707806248</v>
      </c>
      <c r="AE25" s="11"/>
      <c r="AF25" s="11"/>
      <c r="AG25" s="11"/>
      <c r="AH25" s="11"/>
      <c r="AI25" s="11"/>
      <c r="AJ25" s="11"/>
      <c r="AK25" s="11"/>
      <c r="AL25" s="11"/>
      <c r="AM25" s="11"/>
      <c r="AN25" s="11"/>
      <c r="AO25" s="11"/>
      <c r="AP25" s="11"/>
      <c r="AQ25" s="11"/>
      <c r="AR25" s="11"/>
      <c r="AS25" s="11"/>
      <c r="AT25" s="11"/>
      <c r="AU25" s="11"/>
      <c r="AV25" s="11"/>
      <c r="AW25" s="11"/>
      <c r="AX25" s="11"/>
      <c r="AY25" s="11"/>
      <c r="AZ25" s="21"/>
      <c r="BA25" s="11"/>
      <c r="BB25" s="11"/>
      <c r="BC25" s="11"/>
      <c r="BD25" s="11"/>
      <c r="BE25" s="11"/>
      <c r="BF25" s="11"/>
      <c r="BG25" s="11"/>
      <c r="BH25" s="11"/>
      <c r="BI25" s="11"/>
      <c r="BJ25" s="11"/>
      <c r="BK25" s="11"/>
      <c r="BL25" s="11"/>
      <c r="BM25" s="11"/>
      <c r="BN25" s="11"/>
      <c r="BO25" s="11"/>
      <c r="BP25" s="11"/>
      <c r="BQ25" s="11"/>
      <c r="BR25" s="11"/>
      <c r="BS25" s="11"/>
    </row>
    <row r="26" spans="1:71" s="33" customFormat="1" ht="12" customHeight="1" x14ac:dyDescent="0.2">
      <c r="A26" s="27"/>
      <c r="B26" s="28"/>
      <c r="C26" s="29"/>
      <c r="D26" s="39" t="s">
        <v>50</v>
      </c>
      <c r="E26" s="40">
        <v>9.2120417933486749</v>
      </c>
      <c r="F26" s="40">
        <v>9.8290851973081175</v>
      </c>
      <c r="G26" s="40">
        <v>10.002700686184411</v>
      </c>
      <c r="H26" s="40">
        <v>7.3227418503592361</v>
      </c>
      <c r="I26" s="40">
        <v>-7.3594151881755607</v>
      </c>
      <c r="J26" s="40">
        <v>6.1376120105769161</v>
      </c>
      <c r="K26" s="40">
        <v>8.8588681696938636</v>
      </c>
      <c r="L26" s="40">
        <v>0.51767531919286114</v>
      </c>
      <c r="M26" s="40">
        <v>5.3909883069279658</v>
      </c>
      <c r="N26" s="40">
        <v>5.7884992858874682</v>
      </c>
      <c r="O26" s="40">
        <v>6.7834377237030736</v>
      </c>
      <c r="P26" s="40">
        <v>5.3321391614148581</v>
      </c>
      <c r="Q26" s="40">
        <v>5.5848470671515003</v>
      </c>
      <c r="R26" s="40">
        <v>6.2987859274094689</v>
      </c>
      <c r="S26" s="40">
        <v>4.8317698891309817</v>
      </c>
      <c r="T26" s="40">
        <v>-1.5135287159871496</v>
      </c>
      <c r="U26" s="40">
        <v>7.4248473832609676</v>
      </c>
      <c r="V26" s="40">
        <v>5.2939128341400306</v>
      </c>
      <c r="W26" s="40">
        <v>5.4734541925385258</v>
      </c>
      <c r="X26" s="40">
        <v>4.6937225255789343</v>
      </c>
      <c r="Y26" s="40">
        <v>6.0067219455820293</v>
      </c>
      <c r="Z26" s="40">
        <v>5.0915157239302289</v>
      </c>
      <c r="AA26" s="40">
        <v>4.4497557651572919</v>
      </c>
      <c r="AB26" s="40">
        <v>5.741829576218251</v>
      </c>
      <c r="AC26" s="40">
        <v>4.7416064503572102</v>
      </c>
      <c r="AD26" s="41">
        <v>4.3302184155653975</v>
      </c>
      <c r="AE26" s="11"/>
      <c r="AF26" s="11"/>
      <c r="AG26" s="11"/>
      <c r="AH26" s="11"/>
      <c r="AI26" s="11"/>
      <c r="AJ26" s="11"/>
      <c r="AK26" s="11"/>
      <c r="AL26" s="11"/>
      <c r="AM26" s="11"/>
      <c r="AN26" s="11"/>
      <c r="AO26" s="11"/>
      <c r="AP26" s="11"/>
      <c r="AQ26" s="11"/>
      <c r="AR26" s="11"/>
      <c r="AS26" s="11"/>
      <c r="AT26" s="11"/>
      <c r="AU26" s="11"/>
      <c r="AV26" s="11"/>
      <c r="AW26" s="11"/>
      <c r="AX26" s="11"/>
      <c r="AY26" s="11"/>
      <c r="AZ26" s="21"/>
      <c r="BA26" s="11"/>
      <c r="BB26" s="11"/>
      <c r="BC26" s="11"/>
      <c r="BD26" s="11"/>
      <c r="BE26" s="11"/>
      <c r="BF26" s="11"/>
      <c r="BG26" s="11"/>
      <c r="BH26" s="11"/>
      <c r="BI26" s="11"/>
      <c r="BJ26" s="11"/>
      <c r="BK26" s="11"/>
      <c r="BL26" s="11"/>
      <c r="BM26" s="11"/>
      <c r="BN26" s="11"/>
      <c r="BO26" s="11"/>
      <c r="BP26" s="11"/>
      <c r="BQ26" s="11"/>
      <c r="BR26" s="11"/>
      <c r="BS26" s="11"/>
    </row>
    <row r="27" spans="1:71" s="33" customFormat="1" ht="12" customHeight="1" x14ac:dyDescent="0.2">
      <c r="A27" s="27"/>
      <c r="B27" s="28"/>
      <c r="C27" s="29"/>
      <c r="D27" s="39" t="s">
        <v>51</v>
      </c>
      <c r="E27" s="40">
        <v>4.9410806756874308</v>
      </c>
      <c r="F27" s="40">
        <v>-6.2912308211011521</v>
      </c>
      <c r="G27" s="40">
        <v>6.7732586944504476</v>
      </c>
      <c r="H27" s="40">
        <v>6.8468522786242971</v>
      </c>
      <c r="I27" s="40">
        <v>5.1639251679514615</v>
      </c>
      <c r="J27" s="40">
        <v>2.7535542474823558</v>
      </c>
      <c r="K27" s="40">
        <v>4.9424537146742153</v>
      </c>
      <c r="L27" s="40">
        <v>-0.4043901266928458</v>
      </c>
      <c r="M27" s="40">
        <v>-3.9844481468534809E-2</v>
      </c>
      <c r="N27" s="40">
        <v>1.4463826837036322</v>
      </c>
      <c r="O27" s="40">
        <v>3.920590810287905</v>
      </c>
      <c r="P27" s="40">
        <v>2.3078070659173591</v>
      </c>
      <c r="Q27" s="40">
        <v>4.4950778942140772</v>
      </c>
      <c r="R27" s="40">
        <v>2.2914457142980211</v>
      </c>
      <c r="S27" s="40">
        <v>1.1435845871939847</v>
      </c>
      <c r="T27" s="40">
        <v>-5.2857441368174847</v>
      </c>
      <c r="U27" s="40">
        <v>5.1181181432116176</v>
      </c>
      <c r="V27" s="40">
        <v>3.6630079295009352</v>
      </c>
      <c r="W27" s="40">
        <v>3.6423226794134678</v>
      </c>
      <c r="X27" s="40">
        <v>1.3540919615167866</v>
      </c>
      <c r="Y27" s="40">
        <v>2.8043401283809715</v>
      </c>
      <c r="Z27" s="40">
        <v>3.2879915993309368</v>
      </c>
      <c r="AA27" s="40">
        <v>2.9105464592934709</v>
      </c>
      <c r="AB27" s="40">
        <v>2.1180823469118195</v>
      </c>
      <c r="AC27" s="40">
        <v>2.1359581211972198</v>
      </c>
      <c r="AD27" s="41">
        <v>-0.14560232475653834</v>
      </c>
      <c r="AE27" s="11"/>
      <c r="AF27" s="11"/>
      <c r="AG27" s="11"/>
      <c r="AH27" s="11"/>
      <c r="AI27" s="11"/>
      <c r="AJ27" s="11"/>
      <c r="AK27" s="11"/>
      <c r="AL27" s="11"/>
      <c r="AM27" s="11"/>
      <c r="AN27" s="11"/>
      <c r="AO27" s="11"/>
      <c r="AP27" s="11"/>
      <c r="AQ27" s="11"/>
      <c r="AR27" s="11"/>
      <c r="AS27" s="11"/>
      <c r="AT27" s="11"/>
      <c r="AU27" s="11"/>
      <c r="AV27" s="11"/>
      <c r="AW27" s="11"/>
      <c r="AX27" s="11"/>
      <c r="AY27" s="11"/>
      <c r="AZ27" s="21"/>
      <c r="BA27" s="11"/>
      <c r="BB27" s="11"/>
      <c r="BC27" s="11"/>
      <c r="BD27" s="11"/>
      <c r="BE27" s="11"/>
      <c r="BF27" s="11"/>
      <c r="BG27" s="11"/>
      <c r="BH27" s="11"/>
      <c r="BI27" s="11"/>
      <c r="BJ27" s="11"/>
      <c r="BK27" s="11"/>
      <c r="BL27" s="11"/>
      <c r="BM27" s="11"/>
      <c r="BN27" s="11"/>
      <c r="BO27" s="11"/>
      <c r="BP27" s="11"/>
      <c r="BQ27" s="11"/>
      <c r="BR27" s="11"/>
      <c r="BS27" s="11"/>
    </row>
    <row r="28" spans="1:71" s="33" customFormat="1" ht="12" customHeight="1" x14ac:dyDescent="0.2">
      <c r="A28" s="27"/>
      <c r="B28" s="28"/>
      <c r="C28" s="29"/>
      <c r="D28" s="39" t="s">
        <v>52</v>
      </c>
      <c r="E28" s="40">
        <v>5.2928020583470783</v>
      </c>
      <c r="F28" s="40">
        <v>6.9518566283865368</v>
      </c>
      <c r="G28" s="40">
        <v>6.0566244987412716</v>
      </c>
      <c r="H28" s="40">
        <v>6.4595257563368875</v>
      </c>
      <c r="I28" s="40">
        <v>4.6146953405017825</v>
      </c>
      <c r="J28" s="40">
        <v>4.6421758113406923</v>
      </c>
      <c r="K28" s="40">
        <v>4.5595493602152288</v>
      </c>
      <c r="L28" s="40">
        <v>1.2479679218868682</v>
      </c>
      <c r="M28" s="40">
        <v>2.0416237395493653</v>
      </c>
      <c r="N28" s="40">
        <v>3.5624666652233969</v>
      </c>
      <c r="O28" s="40">
        <v>5.1356508122325266</v>
      </c>
      <c r="P28" s="40">
        <v>3.4932252163664828</v>
      </c>
      <c r="Q28" s="40">
        <v>6.1793352062296378</v>
      </c>
      <c r="R28" s="40">
        <v>7.0352267147640362</v>
      </c>
      <c r="S28" s="40">
        <v>4.2497883058784112</v>
      </c>
      <c r="T28" s="40">
        <v>2.8201248163760511</v>
      </c>
      <c r="U28" s="40">
        <v>3.6075224341098817</v>
      </c>
      <c r="V28" s="40">
        <v>5.0172351999379998</v>
      </c>
      <c r="W28" s="40">
        <v>1.6079066445646788</v>
      </c>
      <c r="X28" s="40">
        <v>1.391892321249216</v>
      </c>
      <c r="Y28" s="40">
        <v>3.3184475370007931</v>
      </c>
      <c r="Z28" s="40">
        <v>3.8390713387757671</v>
      </c>
      <c r="AA28" s="40">
        <v>3.0639081161376112</v>
      </c>
      <c r="AB28" s="40">
        <v>4.9376632450277498</v>
      </c>
      <c r="AC28" s="40">
        <v>5.349025115081389</v>
      </c>
      <c r="AD28" s="41">
        <v>4.1470237556495988</v>
      </c>
      <c r="AE28" s="11"/>
      <c r="AF28" s="11"/>
      <c r="AG28" s="11"/>
      <c r="AH28" s="11"/>
      <c r="AI28" s="11"/>
      <c r="AJ28" s="11"/>
      <c r="AK28" s="11"/>
      <c r="AL28" s="11"/>
      <c r="AM28" s="11"/>
      <c r="AN28" s="11"/>
      <c r="AO28" s="11"/>
      <c r="AP28" s="11"/>
      <c r="AQ28" s="11"/>
      <c r="AR28" s="11"/>
      <c r="AS28" s="11"/>
      <c r="AT28" s="11"/>
      <c r="AU28" s="11"/>
      <c r="AV28" s="11"/>
      <c r="AW28" s="11"/>
      <c r="AX28" s="11"/>
      <c r="AY28" s="11"/>
      <c r="AZ28" s="21"/>
      <c r="BA28" s="11"/>
      <c r="BB28" s="11"/>
      <c r="BC28" s="11"/>
      <c r="BD28" s="11"/>
      <c r="BE28" s="11"/>
      <c r="BF28" s="11"/>
      <c r="BG28" s="11"/>
      <c r="BH28" s="11"/>
      <c r="BI28" s="11"/>
      <c r="BJ28" s="11"/>
      <c r="BK28" s="11"/>
      <c r="BL28" s="11"/>
      <c r="BM28" s="11"/>
      <c r="BN28" s="11"/>
      <c r="BO28" s="11"/>
      <c r="BP28" s="11"/>
      <c r="BQ28" s="11"/>
      <c r="BR28" s="11"/>
      <c r="BS28" s="11"/>
    </row>
    <row r="29" spans="1:71" s="33" customFormat="1" ht="12" customHeight="1" x14ac:dyDescent="0.2">
      <c r="A29" s="27"/>
      <c r="B29" s="28"/>
      <c r="C29" s="29"/>
      <c r="D29" s="39" t="s">
        <v>53</v>
      </c>
      <c r="E29" s="40">
        <v>0.96483822835480737</v>
      </c>
      <c r="F29" s="40">
        <v>4.2827804083258201</v>
      </c>
      <c r="G29" s="40">
        <v>3.5042473691651992</v>
      </c>
      <c r="H29" s="40">
        <v>4.4008679688775771</v>
      </c>
      <c r="I29" s="40">
        <v>4.8079634328755674</v>
      </c>
      <c r="J29" s="40">
        <v>3.906576497243293</v>
      </c>
      <c r="K29" s="40">
        <v>3.8161778456917546</v>
      </c>
      <c r="L29" s="40">
        <v>1.9436724824528682</v>
      </c>
      <c r="M29" s="40">
        <v>0.77092414118024521</v>
      </c>
      <c r="N29" s="40">
        <v>-0.9305205824874605</v>
      </c>
      <c r="O29" s="40">
        <v>1.7887351712223847</v>
      </c>
      <c r="P29" s="40">
        <v>0.78184810776782854</v>
      </c>
      <c r="Q29" s="40">
        <v>1.6250338537455065</v>
      </c>
      <c r="R29" s="40">
        <v>2.5065799889149645</v>
      </c>
      <c r="S29" s="40">
        <v>0.31924855938969188</v>
      </c>
      <c r="T29" s="40">
        <v>-3.1220800973123204</v>
      </c>
      <c r="U29" s="40">
        <v>1.737625810043113</v>
      </c>
      <c r="V29" s="40">
        <v>-1.6961657435926298</v>
      </c>
      <c r="W29" s="40">
        <v>-4.0572943594235511</v>
      </c>
      <c r="X29" s="40">
        <v>-0.92264378725786855</v>
      </c>
      <c r="Y29" s="40">
        <v>0.79219053837648801</v>
      </c>
      <c r="Z29" s="40">
        <v>1.7920468527499622</v>
      </c>
      <c r="AA29" s="40">
        <v>2.0194862302765415</v>
      </c>
      <c r="AB29" s="40">
        <v>3.5063432380439963</v>
      </c>
      <c r="AC29" s="40">
        <v>2.6372455233120604</v>
      </c>
      <c r="AD29" s="41">
        <v>2.1644035931766155</v>
      </c>
      <c r="AE29" s="11"/>
      <c r="AF29" s="11"/>
      <c r="AG29" s="11"/>
      <c r="AH29" s="11"/>
      <c r="AI29" s="11"/>
      <c r="AJ29" s="11"/>
      <c r="AK29" s="11"/>
      <c r="AL29" s="11"/>
      <c r="AM29" s="11"/>
      <c r="AN29" s="11"/>
      <c r="AO29" s="11"/>
      <c r="AP29" s="11"/>
      <c r="AQ29" s="11"/>
      <c r="AR29" s="11"/>
      <c r="AS29" s="11"/>
      <c r="AT29" s="11"/>
      <c r="AU29" s="11"/>
      <c r="AV29" s="11"/>
      <c r="AW29" s="11"/>
      <c r="AX29" s="11"/>
      <c r="AY29" s="11"/>
      <c r="AZ29" s="21"/>
      <c r="BA29" s="11"/>
      <c r="BB29" s="11"/>
      <c r="BC29" s="11"/>
      <c r="BD29" s="11"/>
      <c r="BE29" s="11"/>
      <c r="BF29" s="11"/>
      <c r="BG29" s="11"/>
      <c r="BH29" s="11"/>
      <c r="BI29" s="11"/>
      <c r="BJ29" s="11"/>
      <c r="BK29" s="11"/>
      <c r="BL29" s="11"/>
      <c r="BM29" s="11"/>
      <c r="BN29" s="11"/>
      <c r="BO29" s="11"/>
      <c r="BP29" s="11"/>
      <c r="BQ29" s="11"/>
      <c r="BR29" s="11"/>
      <c r="BS29" s="11"/>
    </row>
    <row r="30" spans="1:71" s="33" customFormat="1" ht="12" customHeight="1" x14ac:dyDescent="0.2">
      <c r="A30" s="27"/>
      <c r="B30" s="28"/>
      <c r="C30" s="29"/>
      <c r="D30" s="39" t="s">
        <v>54</v>
      </c>
      <c r="E30" s="40">
        <v>6.2055302283329041</v>
      </c>
      <c r="F30" s="40">
        <v>5.8434953385948916</v>
      </c>
      <c r="G30" s="40">
        <v>6.6198955348353792</v>
      </c>
      <c r="H30" s="40">
        <v>5.9258367991933625</v>
      </c>
      <c r="I30" s="40">
        <v>4.0760997153398364</v>
      </c>
      <c r="J30" s="40">
        <v>-0.10591649607803788</v>
      </c>
      <c r="K30" s="40">
        <v>1.1665271579609282</v>
      </c>
      <c r="L30" s="40">
        <v>3.2537868430468961</v>
      </c>
      <c r="M30" s="40">
        <v>4.5094415327187107</v>
      </c>
      <c r="N30" s="40">
        <v>5.4990838775074593</v>
      </c>
      <c r="O30" s="40">
        <v>5.2788803483433639</v>
      </c>
      <c r="P30" s="40">
        <v>6.6234616087833729</v>
      </c>
      <c r="Q30" s="40">
        <v>8.4931769492505111</v>
      </c>
      <c r="R30" s="40">
        <v>10.832027901417774</v>
      </c>
      <c r="S30" s="40">
        <v>5.5748863603898116</v>
      </c>
      <c r="T30" s="40">
        <v>-5.4555322374806678</v>
      </c>
      <c r="U30" s="40">
        <v>5.7208447993039044</v>
      </c>
      <c r="V30" s="40">
        <v>2.8644429478222833</v>
      </c>
      <c r="W30" s="40">
        <v>1.8958108123027699</v>
      </c>
      <c r="X30" s="40">
        <v>0.67084458223159515</v>
      </c>
      <c r="Y30" s="40">
        <v>2.7524343314004653</v>
      </c>
      <c r="Z30" s="40">
        <v>4.8219185060299736</v>
      </c>
      <c r="AA30" s="40">
        <v>2.1233190348658724</v>
      </c>
      <c r="AB30" s="40">
        <v>3.0463359527132923</v>
      </c>
      <c r="AC30" s="40">
        <v>3.8967444656936578</v>
      </c>
      <c r="AD30" s="41">
        <v>2.3985688583485967</v>
      </c>
      <c r="AE30" s="11"/>
      <c r="AF30" s="11"/>
      <c r="AG30" s="11"/>
      <c r="AH30" s="11"/>
      <c r="AI30" s="11"/>
      <c r="AJ30" s="11"/>
      <c r="AK30" s="11"/>
      <c r="AL30" s="11"/>
      <c r="AM30" s="11"/>
      <c r="AN30" s="11"/>
      <c r="AO30" s="11"/>
      <c r="AP30" s="11"/>
      <c r="AQ30" s="11"/>
      <c r="AR30" s="11"/>
      <c r="AS30" s="11"/>
      <c r="AT30" s="11"/>
      <c r="AU30" s="11"/>
      <c r="AV30" s="11"/>
      <c r="AW30" s="11"/>
      <c r="AX30" s="11"/>
      <c r="AY30" s="11"/>
      <c r="AZ30" s="21"/>
      <c r="BA30" s="11"/>
      <c r="BB30" s="11"/>
      <c r="BC30" s="11"/>
      <c r="BD30" s="11"/>
      <c r="BE30" s="11"/>
      <c r="BF30" s="11"/>
      <c r="BG30" s="11"/>
      <c r="BH30" s="11"/>
      <c r="BI30" s="11"/>
      <c r="BJ30" s="11"/>
      <c r="BK30" s="11"/>
      <c r="BL30" s="11"/>
      <c r="BM30" s="11"/>
      <c r="BN30" s="11"/>
      <c r="BO30" s="11"/>
      <c r="BP30" s="11"/>
      <c r="BQ30" s="11"/>
      <c r="BR30" s="11"/>
      <c r="BS30" s="11"/>
    </row>
    <row r="31" spans="1:71" s="33" customFormat="1" ht="12" customHeight="1" thickBot="1" x14ac:dyDescent="0.25">
      <c r="A31" s="27"/>
      <c r="B31" s="28"/>
      <c r="C31" s="29"/>
      <c r="D31" s="42" t="s">
        <v>55</v>
      </c>
      <c r="E31" s="43">
        <v>2.3831953073172372</v>
      </c>
      <c r="F31" s="43">
        <v>2.7574940386582085</v>
      </c>
      <c r="G31" s="43">
        <v>2.660524452723422</v>
      </c>
      <c r="H31" s="43">
        <v>3.7025802853684127</v>
      </c>
      <c r="I31" s="43">
        <v>4.3930373512449279</v>
      </c>
      <c r="J31" s="43">
        <v>4.4904913155355359</v>
      </c>
      <c r="K31" s="43">
        <v>5.2459946804161319</v>
      </c>
      <c r="L31" s="43">
        <v>3.9329488433309905</v>
      </c>
      <c r="M31" s="43">
        <v>2.7310222316026369</v>
      </c>
      <c r="N31" s="43">
        <v>2.9818948359620663</v>
      </c>
      <c r="O31" s="43">
        <v>3.1227952415142397</v>
      </c>
      <c r="P31" s="43">
        <v>3.6520326743317781</v>
      </c>
      <c r="Q31" s="43">
        <v>4.1027271154246279</v>
      </c>
      <c r="R31" s="43">
        <v>3.6046879712693141</v>
      </c>
      <c r="S31" s="43">
        <v>0.88714518248529828</v>
      </c>
      <c r="T31" s="43">
        <v>-3.763231926900886</v>
      </c>
      <c r="U31" s="43">
        <v>0.1630102308414223</v>
      </c>
      <c r="V31" s="43">
        <v>-0.8143734551510704</v>
      </c>
      <c r="W31" s="43">
        <v>-2.9594413017355521</v>
      </c>
      <c r="X31" s="43">
        <v>-1.4353942591932736</v>
      </c>
      <c r="Y31" s="43">
        <v>1.3839079426702909</v>
      </c>
      <c r="Z31" s="43">
        <v>3.8351726603384577</v>
      </c>
      <c r="AA31" s="43">
        <v>3.0313013298193283</v>
      </c>
      <c r="AB31" s="43">
        <v>2.8917681073266976</v>
      </c>
      <c r="AC31" s="43">
        <v>2.3510081314050524</v>
      </c>
      <c r="AD31" s="44">
        <v>1.9791005612298136</v>
      </c>
      <c r="AE31" s="11"/>
      <c r="AF31" s="11"/>
      <c r="AG31" s="11"/>
      <c r="AH31" s="11"/>
      <c r="AI31" s="11"/>
      <c r="AJ31" s="11"/>
      <c r="AK31" s="11"/>
      <c r="AL31" s="11"/>
      <c r="AM31" s="11"/>
      <c r="AN31" s="11"/>
      <c r="AO31" s="11"/>
      <c r="AP31" s="11"/>
      <c r="AQ31" s="11"/>
      <c r="AR31" s="11"/>
      <c r="AS31" s="11"/>
      <c r="AT31" s="11"/>
      <c r="AU31" s="11"/>
      <c r="AV31" s="11"/>
      <c r="AW31" s="11"/>
      <c r="AX31" s="11"/>
      <c r="AY31" s="11"/>
      <c r="AZ31" s="21"/>
      <c r="BA31" s="11"/>
      <c r="BB31" s="11"/>
      <c r="BC31" s="11"/>
      <c r="BD31" s="11"/>
      <c r="BE31" s="11"/>
      <c r="BF31" s="11"/>
      <c r="BG31" s="11"/>
      <c r="BH31" s="11"/>
      <c r="BI31" s="11"/>
      <c r="BJ31" s="11"/>
      <c r="BK31" s="11"/>
      <c r="BL31" s="11"/>
      <c r="BM31" s="11"/>
      <c r="BN31" s="11"/>
      <c r="BO31" s="11"/>
      <c r="BP31" s="11"/>
      <c r="BQ31" s="11"/>
      <c r="BR31" s="11"/>
      <c r="BS31" s="11"/>
    </row>
    <row r="32" spans="1:71" x14ac:dyDescent="0.35">
      <c r="D32" s="22"/>
      <c r="E32" s="22"/>
      <c r="F32" s="24"/>
      <c r="G32" s="24"/>
      <c r="H32" s="24"/>
      <c r="I32" s="24"/>
      <c r="J32" s="25"/>
      <c r="K32" s="24"/>
      <c r="L32" s="24"/>
      <c r="M32" s="24"/>
      <c r="N32" s="24"/>
      <c r="O32" s="24"/>
      <c r="P32" s="24"/>
      <c r="Q32" s="24"/>
      <c r="R32" s="24"/>
      <c r="S32" s="24"/>
      <c r="T32" s="24"/>
      <c r="U32" s="24"/>
      <c r="V32" s="24"/>
      <c r="W32" s="26"/>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21"/>
      <c r="AZ32" s="12"/>
      <c r="BA32" s="12"/>
      <c r="BB32" s="12"/>
      <c r="BC32" s="12"/>
      <c r="BD32" s="12"/>
      <c r="BE32" s="12"/>
      <c r="BF32" s="12"/>
      <c r="BG32" s="12"/>
      <c r="BH32" s="12"/>
      <c r="BI32" s="12"/>
      <c r="BJ32" s="12"/>
      <c r="BK32" s="12"/>
      <c r="BL32" s="12"/>
      <c r="BM32" s="12"/>
      <c r="BN32" s="12"/>
      <c r="BO32" s="12"/>
      <c r="BP32" s="12"/>
      <c r="BQ32" s="12"/>
      <c r="BR32" s="12"/>
    </row>
    <row r="33" spans="1:70" x14ac:dyDescent="0.35">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21"/>
      <c r="AZ33" s="12"/>
      <c r="BA33" s="12"/>
      <c r="BB33" s="12"/>
      <c r="BC33" s="12"/>
      <c r="BD33" s="12"/>
      <c r="BE33" s="12"/>
      <c r="BF33" s="12"/>
      <c r="BG33" s="12"/>
      <c r="BH33" s="12"/>
      <c r="BI33" s="12"/>
      <c r="BJ33" s="12"/>
      <c r="BK33" s="12"/>
      <c r="BL33" s="12"/>
      <c r="BM33" s="12"/>
      <c r="BN33" s="12"/>
      <c r="BO33" s="12"/>
      <c r="BP33" s="12"/>
      <c r="BQ33" s="12"/>
      <c r="BR33" s="12"/>
    </row>
    <row r="34" spans="1:70" x14ac:dyDescent="0.35">
      <c r="A34" s="5">
        <v>6</v>
      </c>
      <c r="B34" s="6" t="s">
        <v>56</v>
      </c>
      <c r="C34" s="5"/>
      <c r="F34" s="33"/>
      <c r="G34" s="33"/>
      <c r="H34" s="33"/>
      <c r="I34" s="33"/>
      <c r="J34" s="33"/>
      <c r="K34" s="33"/>
      <c r="L34" s="33"/>
      <c r="M34" s="33"/>
      <c r="N34" s="33"/>
      <c r="O34" s="33"/>
      <c r="P34" s="33"/>
      <c r="Q34" s="33"/>
      <c r="R34" s="11"/>
      <c r="S34" s="11"/>
      <c r="T34" s="12"/>
      <c r="U34" s="12"/>
      <c r="V34" s="12"/>
      <c r="W34" s="12"/>
      <c r="X34" s="12"/>
      <c r="Y34" s="12"/>
      <c r="Z34" s="12"/>
      <c r="AA34" s="12"/>
      <c r="AB34" s="45"/>
      <c r="AC34" s="12"/>
      <c r="AD34" s="12"/>
      <c r="AE34" s="12"/>
      <c r="AF34" s="12"/>
      <c r="AG34" s="12"/>
      <c r="AH34" s="12"/>
      <c r="AI34" s="12"/>
      <c r="AJ34" s="12"/>
      <c r="AK34" s="12"/>
      <c r="AL34" s="12"/>
      <c r="AM34" s="12"/>
      <c r="AN34" s="12"/>
      <c r="AO34" s="12"/>
      <c r="AP34" s="12"/>
      <c r="AQ34" s="12"/>
      <c r="AR34" s="12"/>
      <c r="AS34" s="12"/>
      <c r="AT34" s="12"/>
      <c r="AU34" s="12"/>
      <c r="AV34" s="12"/>
      <c r="AW34" s="12"/>
      <c r="AX34" s="12"/>
      <c r="AY34" s="21"/>
      <c r="AZ34" s="12"/>
      <c r="BA34" s="12"/>
      <c r="BB34" s="12"/>
      <c r="BC34" s="12"/>
      <c r="BD34" s="12"/>
      <c r="BE34" s="12"/>
      <c r="BF34" s="12"/>
      <c r="BG34" s="12"/>
      <c r="BH34" s="12"/>
      <c r="BI34" s="12"/>
      <c r="BJ34" s="12"/>
      <c r="BK34" s="12"/>
      <c r="BL34" s="12"/>
      <c r="BM34" s="12"/>
      <c r="BN34" s="12"/>
      <c r="BO34" s="12"/>
      <c r="BP34" s="12"/>
      <c r="BQ34" s="12"/>
      <c r="BR34" s="12"/>
    </row>
    <row r="35" spans="1:70" x14ac:dyDescent="0.35">
      <c r="F35" s="33"/>
      <c r="G35" s="33"/>
      <c r="H35" s="33"/>
      <c r="I35" s="33"/>
      <c r="J35" s="33"/>
      <c r="K35" s="33"/>
      <c r="L35" s="33"/>
      <c r="M35" s="33"/>
      <c r="N35" s="33"/>
      <c r="O35" s="33"/>
      <c r="P35" s="33"/>
      <c r="Q35" s="33"/>
      <c r="R35" s="11"/>
      <c r="S35" s="11"/>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21"/>
      <c r="AZ35" s="12"/>
      <c r="BA35" s="12"/>
      <c r="BB35" s="12"/>
      <c r="BC35" s="12"/>
      <c r="BD35" s="12"/>
      <c r="BE35" s="12"/>
      <c r="BF35" s="12"/>
      <c r="BG35" s="12"/>
      <c r="BH35" s="12"/>
      <c r="BI35" s="12"/>
      <c r="BJ35" s="12"/>
      <c r="BK35" s="12"/>
      <c r="BL35" s="12"/>
      <c r="BM35" s="12"/>
      <c r="BN35" s="12"/>
      <c r="BO35" s="12"/>
      <c r="BP35" s="12"/>
      <c r="BQ35" s="12"/>
      <c r="BR35" s="12"/>
    </row>
    <row r="36" spans="1:70" x14ac:dyDescent="0.35">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21"/>
      <c r="AZ36" s="12"/>
      <c r="BA36" s="12"/>
      <c r="BB36" s="12"/>
      <c r="BC36" s="12"/>
      <c r="BD36" s="12"/>
      <c r="BE36" s="12"/>
      <c r="BF36" s="12"/>
      <c r="BG36" s="12"/>
      <c r="BH36" s="12"/>
      <c r="BI36" s="12"/>
      <c r="BJ36" s="12"/>
      <c r="BK36" s="12"/>
      <c r="BL36" s="12"/>
      <c r="BM36" s="12"/>
      <c r="BN36" s="12"/>
      <c r="BO36" s="12"/>
      <c r="BP36" s="12"/>
      <c r="BQ36" s="12"/>
      <c r="BR36" s="12"/>
    </row>
    <row r="37" spans="1:70" x14ac:dyDescent="0.35">
      <c r="F37" s="33"/>
      <c r="G37" s="33"/>
      <c r="H37" s="33"/>
      <c r="I37" s="33"/>
      <c r="J37" s="33"/>
      <c r="K37" s="33"/>
      <c r="L37" s="33"/>
      <c r="M37" s="33"/>
      <c r="N37" s="33"/>
      <c r="O37" s="33"/>
      <c r="P37" s="33"/>
      <c r="Q37" s="33"/>
      <c r="R37" s="11"/>
      <c r="S37" s="11"/>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21"/>
      <c r="AZ37" s="12"/>
      <c r="BA37" s="12"/>
      <c r="BB37" s="12"/>
      <c r="BC37" s="12"/>
      <c r="BD37" s="12"/>
      <c r="BE37" s="12"/>
      <c r="BF37" s="12"/>
      <c r="BG37" s="12"/>
      <c r="BH37" s="12"/>
      <c r="BI37" s="12"/>
      <c r="BJ37" s="12"/>
      <c r="BK37" s="12"/>
      <c r="BL37" s="12"/>
      <c r="BM37" s="12"/>
      <c r="BN37" s="12"/>
      <c r="BO37" s="12"/>
      <c r="BP37" s="12"/>
      <c r="BQ37" s="12"/>
      <c r="BR37" s="12"/>
    </row>
    <row r="38" spans="1:70" x14ac:dyDescent="0.35">
      <c r="F38" s="33"/>
      <c r="G38" s="33"/>
      <c r="H38" s="33"/>
      <c r="I38" s="33"/>
      <c r="J38" s="33"/>
      <c r="K38" s="33"/>
      <c r="L38" s="33"/>
      <c r="M38" s="33"/>
      <c r="N38" s="33"/>
      <c r="O38" s="46"/>
      <c r="Q38" s="33"/>
      <c r="R38" s="33"/>
      <c r="S38" s="33"/>
      <c r="AY38" s="21"/>
    </row>
    <row r="39" spans="1:70" x14ac:dyDescent="0.35">
      <c r="F39" s="33"/>
      <c r="G39" s="33"/>
      <c r="H39" s="33"/>
      <c r="I39" s="33"/>
      <c r="J39" s="33"/>
      <c r="K39" s="33"/>
      <c r="L39" s="33"/>
      <c r="M39" s="33"/>
      <c r="N39" s="33"/>
      <c r="O39" s="46"/>
      <c r="P39" s="33"/>
      <c r="Q39" s="33"/>
      <c r="R39" s="33"/>
      <c r="S39" s="33"/>
      <c r="AY39" s="21"/>
    </row>
    <row r="40" spans="1:70" x14ac:dyDescent="0.35">
      <c r="F40" s="33"/>
      <c r="G40" s="33"/>
      <c r="H40" s="33"/>
      <c r="I40" s="33"/>
      <c r="J40" s="33"/>
      <c r="K40" s="33"/>
      <c r="L40" s="33"/>
      <c r="M40" s="33"/>
      <c r="N40" s="33"/>
      <c r="O40" s="33"/>
      <c r="P40" s="33"/>
      <c r="Q40" s="33"/>
      <c r="R40" s="33"/>
      <c r="S40" s="33"/>
      <c r="AY40" s="21"/>
    </row>
    <row r="41" spans="1:70" x14ac:dyDescent="0.35">
      <c r="F41" s="33"/>
      <c r="G41" s="33"/>
      <c r="H41" s="33"/>
      <c r="I41" s="33"/>
      <c r="J41" s="33"/>
      <c r="K41" s="33"/>
      <c r="L41" s="33"/>
      <c r="M41" s="33"/>
      <c r="N41" s="33"/>
      <c r="O41" s="33"/>
      <c r="P41" s="33"/>
      <c r="Q41" s="33"/>
      <c r="R41" s="33"/>
      <c r="S41" s="33"/>
      <c r="AY41" s="21"/>
    </row>
    <row r="42" spans="1:70" x14ac:dyDescent="0.35">
      <c r="F42" s="33"/>
      <c r="G42" s="33"/>
      <c r="H42" s="33"/>
      <c r="I42" s="33"/>
      <c r="J42" s="33"/>
      <c r="K42" s="33"/>
      <c r="L42" s="33"/>
      <c r="M42" s="33"/>
      <c r="N42" s="33"/>
      <c r="O42" s="33"/>
      <c r="P42" s="33"/>
      <c r="Q42" s="33"/>
      <c r="R42" s="33"/>
      <c r="S42" s="33"/>
      <c r="AY42" s="21"/>
    </row>
    <row r="43" spans="1:70" x14ac:dyDescent="0.35">
      <c r="F43" s="33"/>
      <c r="G43" s="33"/>
      <c r="H43" s="33"/>
      <c r="I43" s="33"/>
      <c r="J43" s="33"/>
      <c r="K43" s="33"/>
      <c r="L43" s="33"/>
      <c r="M43" s="33"/>
      <c r="N43" s="33"/>
      <c r="O43" s="33"/>
      <c r="P43" s="33"/>
      <c r="Q43" s="33"/>
      <c r="R43" s="33"/>
      <c r="S43" s="33"/>
      <c r="AY43" s="21"/>
    </row>
    <row r="44" spans="1:70" x14ac:dyDescent="0.35">
      <c r="AY44" s="21"/>
    </row>
    <row r="45" spans="1:70" x14ac:dyDescent="0.35">
      <c r="AY45" s="21"/>
    </row>
    <row r="46" spans="1:70" x14ac:dyDescent="0.35">
      <c r="AY46" s="21"/>
    </row>
    <row r="47" spans="1:70" x14ac:dyDescent="0.35">
      <c r="X47" s="4" t="s">
        <v>57</v>
      </c>
      <c r="Y47" s="4" t="s">
        <v>57</v>
      </c>
    </row>
    <row r="51" spans="1:95" x14ac:dyDescent="0.35">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row>
    <row r="52" spans="1:95" ht="10.5" customHeight="1" x14ac:dyDescent="0.35">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row>
    <row r="53" spans="1:95" ht="15" customHeight="1" x14ac:dyDescent="0.35">
      <c r="A53" s="5">
        <v>7</v>
      </c>
      <c r="B53" s="6" t="s">
        <v>58</v>
      </c>
      <c r="C53" s="5"/>
      <c r="D53" s="4623" t="s">
        <v>59</v>
      </c>
      <c r="E53" s="4624"/>
      <c r="F53" s="4624"/>
      <c r="G53" s="4624"/>
      <c r="H53" s="4624"/>
      <c r="I53" s="4624"/>
      <c r="J53" s="4624"/>
      <c r="K53" s="4624"/>
      <c r="L53" s="4624"/>
      <c r="M53" s="4624"/>
      <c r="N53" s="4624"/>
      <c r="O53" s="4624"/>
      <c r="P53" s="4624"/>
      <c r="Q53" s="4624"/>
      <c r="R53" s="4624"/>
      <c r="S53" s="4624"/>
      <c r="T53" s="4624"/>
      <c r="U53" s="4624"/>
      <c r="V53" s="4624"/>
      <c r="W53" s="4624"/>
      <c r="X53" s="4624"/>
      <c r="Y53" s="4624"/>
      <c r="Z53" s="4624"/>
      <c r="AA53" s="4624"/>
      <c r="AB53" s="4624"/>
      <c r="AC53" s="4625"/>
      <c r="AD53" s="7"/>
      <c r="AE53" s="7"/>
      <c r="AF53" s="7"/>
      <c r="AG53" s="7"/>
      <c r="AH53" s="7"/>
      <c r="AI53" s="7"/>
      <c r="AJ53" s="7"/>
      <c r="AK53" s="7"/>
      <c r="AL53" s="7"/>
      <c r="AM53" s="12"/>
      <c r="AN53" s="12"/>
      <c r="AO53" s="12"/>
      <c r="AP53" s="12"/>
      <c r="AQ53" s="12"/>
      <c r="AR53" s="12"/>
      <c r="AS53" s="12"/>
      <c r="AT53" s="12"/>
      <c r="AU53" s="12"/>
      <c r="AV53" s="12"/>
      <c r="AW53" s="12"/>
    </row>
    <row r="54" spans="1:95" ht="27.65" customHeight="1" x14ac:dyDescent="0.35">
      <c r="A54" s="47">
        <v>8</v>
      </c>
      <c r="B54" s="48" t="s">
        <v>60</v>
      </c>
      <c r="C54" s="47"/>
      <c r="D54" s="4623" t="s">
        <v>61</v>
      </c>
      <c r="E54" s="4624"/>
      <c r="F54" s="4624"/>
      <c r="G54" s="4624"/>
      <c r="H54" s="4624"/>
      <c r="I54" s="4624"/>
      <c r="J54" s="4624"/>
      <c r="K54" s="4624"/>
      <c r="L54" s="4624"/>
      <c r="M54" s="4624"/>
      <c r="N54" s="4624"/>
      <c r="O54" s="4624"/>
      <c r="P54" s="4624"/>
      <c r="Q54" s="4624"/>
      <c r="R54" s="4624"/>
      <c r="S54" s="4624"/>
      <c r="T54" s="4624"/>
      <c r="U54" s="4624"/>
      <c r="V54" s="4624"/>
      <c r="W54" s="4624"/>
      <c r="X54" s="4624"/>
      <c r="Y54" s="4624"/>
      <c r="Z54" s="4624"/>
      <c r="AA54" s="4624"/>
      <c r="AB54" s="4624"/>
      <c r="AC54" s="4625"/>
      <c r="AD54" s="49"/>
      <c r="AE54" s="50"/>
      <c r="AF54" s="50"/>
      <c r="AG54" s="50"/>
      <c r="AH54" s="50"/>
      <c r="AI54" s="50"/>
      <c r="AJ54" s="50"/>
      <c r="AK54" s="50"/>
      <c r="AL54" s="50"/>
      <c r="AM54" s="12"/>
      <c r="AN54" s="12"/>
      <c r="AO54" s="12"/>
      <c r="AP54" s="12"/>
      <c r="AQ54" s="12"/>
      <c r="AR54" s="12"/>
      <c r="AS54" s="12"/>
      <c r="AT54" s="12"/>
      <c r="AU54" s="12"/>
      <c r="AV54" s="12"/>
      <c r="AW54" s="12"/>
    </row>
    <row r="55" spans="1:95" ht="31.75" customHeight="1" x14ac:dyDescent="0.35">
      <c r="A55" s="5">
        <v>9</v>
      </c>
      <c r="B55" s="6" t="s">
        <v>62</v>
      </c>
      <c r="C55" s="5"/>
      <c r="D55" s="4623" t="s">
        <v>63</v>
      </c>
      <c r="E55" s="4624"/>
      <c r="F55" s="4624"/>
      <c r="G55" s="4624"/>
      <c r="H55" s="4624"/>
      <c r="I55" s="4624"/>
      <c r="J55" s="4624"/>
      <c r="K55" s="4624"/>
      <c r="L55" s="4624"/>
      <c r="M55" s="4624"/>
      <c r="N55" s="4624"/>
      <c r="O55" s="4624"/>
      <c r="P55" s="4624"/>
      <c r="Q55" s="4624"/>
      <c r="R55" s="4624"/>
      <c r="S55" s="4624"/>
      <c r="T55" s="4624"/>
      <c r="U55" s="4624"/>
      <c r="V55" s="4624"/>
      <c r="W55" s="4624"/>
      <c r="X55" s="4624"/>
      <c r="Y55" s="4624"/>
      <c r="Z55" s="4624"/>
      <c r="AA55" s="4624"/>
      <c r="AB55" s="4624"/>
      <c r="AC55" s="4625"/>
      <c r="AD55" s="7"/>
      <c r="AE55" s="50"/>
      <c r="AF55" s="50"/>
      <c r="AG55" s="50"/>
      <c r="AH55" s="50"/>
      <c r="AI55" s="50"/>
      <c r="AJ55" s="50"/>
      <c r="AK55" s="50"/>
      <c r="AL55" s="50"/>
      <c r="AM55" s="12"/>
      <c r="AN55" s="12"/>
      <c r="AO55" s="12"/>
      <c r="AP55" s="12"/>
      <c r="AQ55" s="12"/>
      <c r="AR55" s="12"/>
      <c r="AS55" s="12"/>
      <c r="AT55" s="12"/>
      <c r="AU55" s="12"/>
      <c r="AV55" s="12"/>
      <c r="AW55" s="12"/>
    </row>
    <row r="56" spans="1:95" ht="19.25" customHeight="1" x14ac:dyDescent="0.35">
      <c r="A56" s="5">
        <v>10</v>
      </c>
      <c r="B56" s="6" t="s">
        <v>64</v>
      </c>
      <c r="C56" s="5"/>
      <c r="D56" s="4623" t="s">
        <v>65</v>
      </c>
      <c r="E56" s="4624"/>
      <c r="F56" s="4624"/>
      <c r="G56" s="4624"/>
      <c r="H56" s="4624"/>
      <c r="I56" s="4624"/>
      <c r="J56" s="4624"/>
      <c r="K56" s="4624"/>
      <c r="L56" s="4624"/>
      <c r="M56" s="4624"/>
      <c r="N56" s="4624"/>
      <c r="O56" s="4624"/>
      <c r="P56" s="4624"/>
      <c r="Q56" s="4624"/>
      <c r="R56" s="4624"/>
      <c r="S56" s="4624"/>
      <c r="T56" s="4624"/>
      <c r="U56" s="4624"/>
      <c r="V56" s="4624"/>
      <c r="W56" s="4624"/>
      <c r="X56" s="4624"/>
      <c r="Y56" s="4624"/>
      <c r="Z56" s="4624"/>
      <c r="AA56" s="4624"/>
      <c r="AB56" s="4624"/>
      <c r="AC56" s="4625"/>
      <c r="AD56" s="12"/>
      <c r="AE56" s="12"/>
      <c r="AF56" s="12"/>
      <c r="AG56" s="12"/>
      <c r="AH56" s="12"/>
      <c r="AI56" s="12"/>
      <c r="AJ56" s="12"/>
      <c r="AK56" s="12"/>
      <c r="AL56" s="12"/>
      <c r="AM56" s="12"/>
      <c r="AN56" s="12"/>
      <c r="AO56" s="12"/>
      <c r="AP56" s="12"/>
      <c r="AQ56" s="12"/>
      <c r="AR56" s="12"/>
      <c r="AS56" s="12"/>
      <c r="AT56" s="12"/>
      <c r="AU56" s="12"/>
      <c r="AV56" s="12"/>
      <c r="AW56" s="12"/>
    </row>
    <row r="57" spans="1:95" ht="12.75" customHeight="1" x14ac:dyDescent="0.35">
      <c r="B57" s="6"/>
      <c r="C57" s="5"/>
      <c r="D57" s="7"/>
      <c r="E57" s="7"/>
      <c r="F57" s="7"/>
      <c r="G57" s="7"/>
      <c r="H57" s="7"/>
      <c r="I57" s="7"/>
      <c r="J57" s="7"/>
      <c r="K57" s="7"/>
      <c r="L57" s="7"/>
      <c r="M57" s="7"/>
      <c r="N57" s="7"/>
      <c r="O57" s="7"/>
      <c r="P57" s="7"/>
      <c r="Q57" s="7"/>
      <c r="R57" s="7"/>
      <c r="S57" s="7"/>
      <c r="T57" s="7"/>
      <c r="U57" s="7"/>
      <c r="V57" s="7"/>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row>
    <row r="58" spans="1:95" ht="12.75" customHeight="1" x14ac:dyDescent="0.35">
      <c r="B58" s="6"/>
      <c r="C58" s="5"/>
      <c r="D58" s="7"/>
      <c r="E58" s="7"/>
      <c r="F58" s="7"/>
      <c r="G58" s="7"/>
      <c r="H58" s="7"/>
      <c r="I58" s="7"/>
      <c r="J58" s="7"/>
      <c r="K58" s="7"/>
      <c r="L58" s="7"/>
      <c r="M58" s="7"/>
      <c r="N58" s="7"/>
      <c r="O58" s="7"/>
      <c r="P58" s="7"/>
      <c r="Q58" s="7"/>
      <c r="R58" s="7"/>
      <c r="S58" s="7"/>
      <c r="T58" s="7"/>
      <c r="U58" s="7"/>
      <c r="V58" s="7"/>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95" ht="12.75" customHeight="1" x14ac:dyDescent="0.35">
      <c r="B59" s="51"/>
      <c r="C59" s="52"/>
      <c r="D59" s="4630">
        <v>1994</v>
      </c>
      <c r="E59" s="4631"/>
      <c r="F59" s="4631"/>
      <c r="G59" s="4632"/>
      <c r="H59" s="4630">
        <v>1995</v>
      </c>
      <c r="I59" s="4631"/>
      <c r="J59" s="4631"/>
      <c r="K59" s="4632"/>
      <c r="L59" s="4630">
        <v>1996</v>
      </c>
      <c r="M59" s="4631"/>
      <c r="N59" s="4631"/>
      <c r="O59" s="4632"/>
      <c r="P59" s="4630">
        <v>1997</v>
      </c>
      <c r="Q59" s="4631"/>
      <c r="R59" s="4631"/>
      <c r="S59" s="4632"/>
      <c r="T59" s="4630">
        <v>1998</v>
      </c>
      <c r="U59" s="4631"/>
      <c r="V59" s="4631"/>
      <c r="W59" s="4632"/>
      <c r="X59" s="4630">
        <v>1999</v>
      </c>
      <c r="Y59" s="4631"/>
      <c r="Z59" s="4631"/>
      <c r="AA59" s="4632"/>
      <c r="AB59" s="4630">
        <v>2000</v>
      </c>
      <c r="AC59" s="4631"/>
      <c r="AD59" s="4631"/>
      <c r="AE59" s="4632"/>
      <c r="AF59" s="4630">
        <v>2001</v>
      </c>
      <c r="AG59" s="4631"/>
      <c r="AH59" s="4631"/>
      <c r="AI59" s="4632"/>
      <c r="AJ59" s="4630">
        <v>2002</v>
      </c>
      <c r="AK59" s="4631"/>
      <c r="AL59" s="4631"/>
      <c r="AM59" s="4632"/>
      <c r="AN59" s="4630">
        <v>2003</v>
      </c>
      <c r="AO59" s="4631"/>
      <c r="AP59" s="4631"/>
      <c r="AQ59" s="4632"/>
      <c r="AR59" s="4630">
        <v>2004</v>
      </c>
      <c r="AS59" s="4631"/>
      <c r="AT59" s="4631"/>
      <c r="AU59" s="4632"/>
      <c r="AV59" s="4630">
        <v>2005</v>
      </c>
      <c r="AW59" s="4631"/>
      <c r="AX59" s="4631"/>
      <c r="AY59" s="4632"/>
      <c r="AZ59" s="4630">
        <v>2006</v>
      </c>
      <c r="BA59" s="4631"/>
      <c r="BB59" s="4631"/>
      <c r="BC59" s="4632"/>
      <c r="BD59" s="4630">
        <v>2007</v>
      </c>
      <c r="BE59" s="4631"/>
      <c r="BF59" s="4631"/>
      <c r="BG59" s="4632"/>
      <c r="BH59" s="4630">
        <v>2008</v>
      </c>
      <c r="BI59" s="4631"/>
      <c r="BJ59" s="4631"/>
      <c r="BK59" s="4632"/>
      <c r="BL59" s="4630">
        <v>2009</v>
      </c>
      <c r="BM59" s="4631"/>
      <c r="BN59" s="4631"/>
      <c r="BO59" s="4632"/>
      <c r="BP59" s="4630">
        <v>2010</v>
      </c>
      <c r="BQ59" s="4631"/>
      <c r="BR59" s="4631"/>
      <c r="BS59" s="4632"/>
      <c r="BT59" s="4630">
        <v>2011</v>
      </c>
      <c r="BU59" s="4631"/>
      <c r="BV59" s="4631"/>
      <c r="BW59" s="4632"/>
      <c r="BX59" s="4630">
        <v>2012</v>
      </c>
      <c r="BY59" s="4631"/>
      <c r="BZ59" s="4631"/>
      <c r="CA59" s="4632"/>
      <c r="CB59" s="4630">
        <v>2013</v>
      </c>
      <c r="CC59" s="4631"/>
      <c r="CD59" s="4631"/>
      <c r="CE59" s="4632"/>
      <c r="CF59" s="4630">
        <v>2014</v>
      </c>
      <c r="CG59" s="4631"/>
      <c r="CH59" s="4631"/>
      <c r="CI59" s="4632"/>
      <c r="CJ59" s="4630">
        <v>2015</v>
      </c>
      <c r="CK59" s="4631"/>
      <c r="CL59" s="4631"/>
      <c r="CM59" s="4632"/>
      <c r="CN59" s="4633">
        <v>2016</v>
      </c>
      <c r="CO59" s="4634"/>
      <c r="CP59" s="4634"/>
      <c r="CQ59" s="4635"/>
    </row>
    <row r="60" spans="1:95" ht="32.25" customHeight="1" x14ac:dyDescent="0.35">
      <c r="B60" s="4636" t="str">
        <f>+D2</f>
        <v xml:space="preserve">Gross Domestic Product (GDP) growth </v>
      </c>
      <c r="C60" s="4636"/>
      <c r="D60" s="53" t="s">
        <v>66</v>
      </c>
      <c r="E60" s="54" t="s">
        <v>67</v>
      </c>
      <c r="F60" s="54" t="s">
        <v>68</v>
      </c>
      <c r="G60" s="55" t="s">
        <v>69</v>
      </c>
      <c r="H60" s="53" t="s">
        <v>66</v>
      </c>
      <c r="I60" s="54" t="s">
        <v>67</v>
      </c>
      <c r="J60" s="54" t="s">
        <v>68</v>
      </c>
      <c r="K60" s="55" t="s">
        <v>69</v>
      </c>
      <c r="L60" s="53" t="s">
        <v>66</v>
      </c>
      <c r="M60" s="54" t="s">
        <v>67</v>
      </c>
      <c r="N60" s="54" t="s">
        <v>68</v>
      </c>
      <c r="O60" s="55" t="s">
        <v>69</v>
      </c>
      <c r="P60" s="53" t="s">
        <v>66</v>
      </c>
      <c r="Q60" s="54" t="s">
        <v>67</v>
      </c>
      <c r="R60" s="54" t="s">
        <v>68</v>
      </c>
      <c r="S60" s="55" t="s">
        <v>69</v>
      </c>
      <c r="T60" s="53" t="s">
        <v>66</v>
      </c>
      <c r="U60" s="54" t="s">
        <v>67</v>
      </c>
      <c r="V60" s="54" t="s">
        <v>68</v>
      </c>
      <c r="W60" s="55" t="s">
        <v>69</v>
      </c>
      <c r="X60" s="53" t="s">
        <v>66</v>
      </c>
      <c r="Y60" s="54" t="s">
        <v>67</v>
      </c>
      <c r="Z60" s="54" t="s">
        <v>68</v>
      </c>
      <c r="AA60" s="55" t="s">
        <v>69</v>
      </c>
      <c r="AB60" s="53" t="s">
        <v>66</v>
      </c>
      <c r="AC60" s="54" t="s">
        <v>67</v>
      </c>
      <c r="AD60" s="54" t="s">
        <v>68</v>
      </c>
      <c r="AE60" s="55" t="s">
        <v>69</v>
      </c>
      <c r="AF60" s="53" t="s">
        <v>66</v>
      </c>
      <c r="AG60" s="54" t="s">
        <v>67</v>
      </c>
      <c r="AH60" s="54" t="s">
        <v>68</v>
      </c>
      <c r="AI60" s="55" t="s">
        <v>69</v>
      </c>
      <c r="AJ60" s="53" t="s">
        <v>66</v>
      </c>
      <c r="AK60" s="54" t="s">
        <v>67</v>
      </c>
      <c r="AL60" s="54" t="s">
        <v>68</v>
      </c>
      <c r="AM60" s="55" t="s">
        <v>69</v>
      </c>
      <c r="AN60" s="53" t="s">
        <v>66</v>
      </c>
      <c r="AO60" s="54" t="s">
        <v>67</v>
      </c>
      <c r="AP60" s="54" t="s">
        <v>68</v>
      </c>
      <c r="AQ60" s="55" t="s">
        <v>69</v>
      </c>
      <c r="AR60" s="53" t="s">
        <v>66</v>
      </c>
      <c r="AS60" s="54" t="s">
        <v>67</v>
      </c>
      <c r="AT60" s="54" t="s">
        <v>68</v>
      </c>
      <c r="AU60" s="55" t="s">
        <v>69</v>
      </c>
      <c r="AV60" s="53" t="s">
        <v>66</v>
      </c>
      <c r="AW60" s="54" t="s">
        <v>67</v>
      </c>
      <c r="AX60" s="54" t="s">
        <v>68</v>
      </c>
      <c r="AY60" s="55" t="s">
        <v>69</v>
      </c>
      <c r="AZ60" s="53" t="s">
        <v>66</v>
      </c>
      <c r="BA60" s="54" t="s">
        <v>67</v>
      </c>
      <c r="BB60" s="54" t="s">
        <v>68</v>
      </c>
      <c r="BC60" s="55" t="s">
        <v>69</v>
      </c>
      <c r="BD60" s="53" t="s">
        <v>66</v>
      </c>
      <c r="BE60" s="54" t="s">
        <v>67</v>
      </c>
      <c r="BF60" s="54" t="s">
        <v>68</v>
      </c>
      <c r="BG60" s="55" t="s">
        <v>69</v>
      </c>
      <c r="BH60" s="53" t="s">
        <v>66</v>
      </c>
      <c r="BI60" s="54" t="s">
        <v>67</v>
      </c>
      <c r="BJ60" s="54" t="s">
        <v>68</v>
      </c>
      <c r="BK60" s="55" t="s">
        <v>69</v>
      </c>
      <c r="BL60" s="53" t="s">
        <v>66</v>
      </c>
      <c r="BM60" s="54" t="s">
        <v>67</v>
      </c>
      <c r="BN60" s="54" t="s">
        <v>68</v>
      </c>
      <c r="BO60" s="55" t="s">
        <v>69</v>
      </c>
      <c r="BP60" s="53" t="s">
        <v>66</v>
      </c>
      <c r="BQ60" s="54" t="s">
        <v>67</v>
      </c>
      <c r="BR60" s="54" t="s">
        <v>68</v>
      </c>
      <c r="BS60" s="55" t="s">
        <v>69</v>
      </c>
      <c r="BT60" s="53" t="s">
        <v>66</v>
      </c>
      <c r="BU60" s="54" t="s">
        <v>67</v>
      </c>
      <c r="BV60" s="54" t="s">
        <v>68</v>
      </c>
      <c r="BW60" s="55" t="s">
        <v>69</v>
      </c>
      <c r="BX60" s="53" t="s">
        <v>66</v>
      </c>
      <c r="BY60" s="54" t="s">
        <v>67</v>
      </c>
      <c r="BZ60" s="54" t="s">
        <v>68</v>
      </c>
      <c r="CA60" s="55" t="s">
        <v>69</v>
      </c>
      <c r="CB60" s="53" t="s">
        <v>66</v>
      </c>
      <c r="CC60" s="54" t="s">
        <v>67</v>
      </c>
      <c r="CD60" s="54" t="s">
        <v>68</v>
      </c>
      <c r="CE60" s="55" t="s">
        <v>69</v>
      </c>
      <c r="CF60" s="53" t="s">
        <v>66</v>
      </c>
      <c r="CG60" s="54" t="s">
        <v>67</v>
      </c>
      <c r="CH60" s="54" t="s">
        <v>68</v>
      </c>
      <c r="CI60" s="55" t="s">
        <v>69</v>
      </c>
      <c r="CJ60" s="53" t="s">
        <v>66</v>
      </c>
      <c r="CK60" s="54" t="s">
        <v>67</v>
      </c>
      <c r="CL60" s="54" t="s">
        <v>68</v>
      </c>
      <c r="CM60" s="55" t="s">
        <v>69</v>
      </c>
      <c r="CN60" s="56" t="s">
        <v>66</v>
      </c>
      <c r="CO60" s="57" t="s">
        <v>67</v>
      </c>
      <c r="CP60" s="57" t="s">
        <v>68</v>
      </c>
      <c r="CQ60" s="58" t="s">
        <v>69</v>
      </c>
    </row>
    <row r="61" spans="1:95" x14ac:dyDescent="0.35">
      <c r="B61" s="59"/>
      <c r="C61" s="60"/>
      <c r="D61" s="61">
        <v>-0.56882299978329165</v>
      </c>
      <c r="E61" s="62">
        <v>4.4104514770248127</v>
      </c>
      <c r="F61" s="62">
        <v>4.5755211153102104</v>
      </c>
      <c r="G61" s="63">
        <v>6.8455482249596855</v>
      </c>
      <c r="H61" s="61">
        <v>1.4526669020042515</v>
      </c>
      <c r="I61" s="62">
        <v>1.7879948352484298</v>
      </c>
      <c r="J61" s="62">
        <v>1.7378476026035594</v>
      </c>
      <c r="K61" s="63">
        <v>1.5880303373726701</v>
      </c>
      <c r="L61" s="61">
        <v>5.7321595371055745</v>
      </c>
      <c r="M61" s="62">
        <v>7.7052022605754944</v>
      </c>
      <c r="N61" s="62">
        <v>4.6170729815531164</v>
      </c>
      <c r="O61" s="63">
        <v>3.8480044584029871</v>
      </c>
      <c r="P61" s="61">
        <v>1.1541025640912084</v>
      </c>
      <c r="Q61" s="62">
        <v>2.469329522299879</v>
      </c>
      <c r="R61" s="62">
        <v>0.83825604314000657</v>
      </c>
      <c r="S61" s="63">
        <v>0.60528963769586053</v>
      </c>
      <c r="T61" s="61">
        <v>0.50652649384492765</v>
      </c>
      <c r="U61" s="62">
        <v>0.5667910380350305</v>
      </c>
      <c r="V61" s="62">
        <v>-0.87372637708889034</v>
      </c>
      <c r="W61" s="63">
        <v>0.38708722146880703</v>
      </c>
      <c r="X61" s="61">
        <v>3.7293234295857625</v>
      </c>
      <c r="Y61" s="62">
        <v>3.2216411057017558</v>
      </c>
      <c r="Z61" s="62">
        <v>4.4404269358685688</v>
      </c>
      <c r="AA61" s="63">
        <v>4.4718969599649272</v>
      </c>
      <c r="AB61" s="61">
        <v>4.5758022715120417</v>
      </c>
      <c r="AC61" s="62">
        <v>3.7315457274831543</v>
      </c>
      <c r="AD61" s="62">
        <v>4.0207206604008006</v>
      </c>
      <c r="AE61" s="63">
        <v>3.446709698974848</v>
      </c>
      <c r="AF61" s="61">
        <v>2.6230856866677144</v>
      </c>
      <c r="AG61" s="62">
        <v>2.0146632087566063</v>
      </c>
      <c r="AH61" s="62">
        <v>1.0666361289954462</v>
      </c>
      <c r="AI61" s="63">
        <v>3.1110855135721316</v>
      </c>
      <c r="AJ61" s="61">
        <v>5.2924284098060603</v>
      </c>
      <c r="AK61" s="62">
        <v>4.9325000418816378</v>
      </c>
      <c r="AL61" s="62">
        <v>3.3216503268672648</v>
      </c>
      <c r="AM61" s="63">
        <v>2.6991500495235021</v>
      </c>
      <c r="AN61" s="61">
        <v>3.7531764032818993</v>
      </c>
      <c r="AO61" s="62">
        <v>1.9677572605739213</v>
      </c>
      <c r="AP61" s="62">
        <v>2.188320445632419</v>
      </c>
      <c r="AQ61" s="63">
        <v>2.327483203645353</v>
      </c>
      <c r="AR61" s="61">
        <v>6.1944683527078492</v>
      </c>
      <c r="AS61" s="62">
        <v>5.7078837294311624</v>
      </c>
      <c r="AT61" s="62">
        <v>6.7026886167146138</v>
      </c>
      <c r="AU61" s="63">
        <v>4.3404056280374359</v>
      </c>
      <c r="AV61" s="61">
        <v>4.1289585309853605</v>
      </c>
      <c r="AW61" s="62">
        <v>7.3737951776069011</v>
      </c>
      <c r="AX61" s="62">
        <v>5.5671463307113367</v>
      </c>
      <c r="AY61" s="63">
        <v>2.7053484122573801</v>
      </c>
      <c r="AZ61" s="61">
        <v>7.2147199226530567</v>
      </c>
      <c r="BA61" s="62">
        <v>5.8033950109959154</v>
      </c>
      <c r="BB61" s="62">
        <v>5.6400423927502885</v>
      </c>
      <c r="BC61" s="63">
        <v>5.646861823647753</v>
      </c>
      <c r="BD61" s="61">
        <v>6.6550968043899372</v>
      </c>
      <c r="BE61" s="62">
        <v>3.3185540413170012</v>
      </c>
      <c r="BF61" s="62">
        <v>4.770772853431815</v>
      </c>
      <c r="BG61" s="63">
        <v>5.7889758122643853</v>
      </c>
      <c r="BH61" s="61">
        <v>1.6914714233666972</v>
      </c>
      <c r="BI61" s="62">
        <v>4.9736319432639009</v>
      </c>
      <c r="BJ61" s="62">
        <v>0.95933734197808374</v>
      </c>
      <c r="BK61" s="63">
        <v>-2.2579336248711779</v>
      </c>
      <c r="BL61" s="61">
        <v>-6.0782800497366622</v>
      </c>
      <c r="BM61" s="62">
        <v>-1.3656485490968429</v>
      </c>
      <c r="BN61" s="62">
        <v>0.93084880933691494</v>
      </c>
      <c r="BO61" s="63">
        <v>2.6938677703393088</v>
      </c>
      <c r="BP61" s="61">
        <v>4.800123095448483</v>
      </c>
      <c r="BQ61" s="62">
        <v>2.4730446755976132</v>
      </c>
      <c r="BR61" s="62">
        <v>4.5599305427149961</v>
      </c>
      <c r="BS61" s="63">
        <v>4.470945145674321</v>
      </c>
      <c r="BT61" s="61">
        <v>3.732716238755307</v>
      </c>
      <c r="BU61" s="62">
        <v>2.1349992664698503</v>
      </c>
      <c r="BV61" s="62">
        <v>1.0514533241010593</v>
      </c>
      <c r="BW61" s="63">
        <v>3.1354710753329629</v>
      </c>
      <c r="BX61" s="61">
        <v>1.6642899696322599</v>
      </c>
      <c r="BY61" s="62">
        <v>3.6993530234988192</v>
      </c>
      <c r="BZ61" s="62">
        <v>1.200714604255726</v>
      </c>
      <c r="CA61" s="63">
        <v>1.7879127297799391</v>
      </c>
      <c r="CB61" s="61">
        <v>1.5</v>
      </c>
      <c r="CC61" s="62">
        <v>4</v>
      </c>
      <c r="CD61" s="62">
        <v>1.6</v>
      </c>
      <c r="CE61" s="63">
        <v>4.9000000000000004</v>
      </c>
      <c r="CF61" s="61">
        <v>-1.5555437996301436</v>
      </c>
      <c r="CG61" s="62">
        <v>0.8</v>
      </c>
      <c r="CH61" s="62">
        <v>2.2000000000000002</v>
      </c>
      <c r="CI61" s="63">
        <v>4.0999999999999996</v>
      </c>
      <c r="CJ61" s="61">
        <v>2</v>
      </c>
      <c r="CK61" s="62">
        <v>-2</v>
      </c>
      <c r="CL61" s="62">
        <v>0.3</v>
      </c>
      <c r="CM61" s="63">
        <v>0.4</v>
      </c>
      <c r="CN61" s="64"/>
      <c r="CO61" s="65"/>
      <c r="CP61" s="65"/>
      <c r="CQ61" s="66"/>
    </row>
    <row r="62" spans="1:95" x14ac:dyDescent="0.35">
      <c r="D62" s="67"/>
      <c r="E62" s="67"/>
      <c r="F62" s="67"/>
      <c r="G62" s="67"/>
      <c r="H62" s="67"/>
      <c r="I62" s="67"/>
      <c r="J62" s="67"/>
      <c r="K62" s="67"/>
      <c r="L62" s="67"/>
      <c r="M62" s="67"/>
      <c r="N62" s="67"/>
      <c r="O62" s="67"/>
      <c r="P62" s="67"/>
      <c r="Q62" s="67"/>
      <c r="R62" s="67"/>
      <c r="S62" s="67"/>
      <c r="T62" s="67"/>
      <c r="U62" s="67"/>
      <c r="V62" s="67"/>
      <c r="W62" s="68"/>
      <c r="X62" s="69"/>
      <c r="Y62" s="70"/>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row>
    <row r="63" spans="1:95" x14ac:dyDescent="0.35">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row>
    <row r="64" spans="1:95" x14ac:dyDescent="0.35">
      <c r="Y64" s="71"/>
      <c r="Z64" s="72"/>
      <c r="AA64" s="73"/>
    </row>
    <row r="66" spans="2:22" x14ac:dyDescent="0.35">
      <c r="B66" s="6"/>
      <c r="C66" s="5"/>
      <c r="G66" s="33"/>
      <c r="H66" s="33"/>
      <c r="I66" s="33"/>
      <c r="J66" s="33"/>
      <c r="K66" s="33"/>
      <c r="L66" s="33"/>
      <c r="M66" s="33"/>
      <c r="N66" s="33"/>
      <c r="O66" s="33"/>
      <c r="P66" s="33"/>
      <c r="Q66" s="33"/>
      <c r="R66" s="33"/>
      <c r="S66" s="33"/>
      <c r="T66" s="33"/>
      <c r="U66" s="33"/>
      <c r="V66" s="33"/>
    </row>
    <row r="67" spans="2:22" x14ac:dyDescent="0.35">
      <c r="B67" s="6"/>
      <c r="C67" s="5"/>
      <c r="G67" s="33"/>
      <c r="H67" s="33"/>
      <c r="I67" s="33"/>
      <c r="J67" s="33"/>
      <c r="K67" s="33"/>
      <c r="L67" s="33"/>
      <c r="M67" s="33"/>
      <c r="N67" s="33"/>
      <c r="O67" s="33"/>
      <c r="P67" s="33"/>
      <c r="Q67" s="33"/>
      <c r="R67" s="33"/>
      <c r="S67" s="33"/>
      <c r="T67" s="33"/>
      <c r="U67" s="33"/>
      <c r="V67" s="33"/>
    </row>
    <row r="68" spans="2:22" x14ac:dyDescent="0.35">
      <c r="B68" s="6"/>
      <c r="C68" s="5"/>
      <c r="G68" s="33"/>
      <c r="H68" s="33"/>
      <c r="I68" s="33"/>
      <c r="J68" s="33"/>
      <c r="K68" s="33"/>
      <c r="L68" s="33"/>
      <c r="M68" s="33"/>
      <c r="N68" s="33"/>
      <c r="O68" s="33"/>
      <c r="P68" s="46"/>
      <c r="R68" s="33"/>
      <c r="S68" s="33"/>
      <c r="T68" s="33"/>
      <c r="U68" s="33"/>
      <c r="V68" s="33"/>
    </row>
    <row r="69" spans="2:22" x14ac:dyDescent="0.35">
      <c r="B69" s="6"/>
      <c r="C69" s="5"/>
      <c r="G69" s="33"/>
      <c r="H69" s="33"/>
      <c r="I69" s="33"/>
      <c r="J69" s="33"/>
      <c r="K69" s="33"/>
      <c r="L69" s="33"/>
      <c r="M69" s="33"/>
      <c r="N69" s="33"/>
      <c r="O69" s="33"/>
      <c r="P69" s="46"/>
      <c r="Q69" s="33"/>
      <c r="R69" s="33"/>
      <c r="S69" s="33"/>
      <c r="T69" s="33"/>
      <c r="U69" s="33"/>
      <c r="V69" s="33"/>
    </row>
    <row r="70" spans="2:22" x14ac:dyDescent="0.35">
      <c r="B70" s="6"/>
      <c r="C70" s="5"/>
      <c r="G70" s="33"/>
      <c r="H70" s="33"/>
      <c r="I70" s="33"/>
      <c r="J70" s="33"/>
      <c r="K70" s="33"/>
      <c r="L70" s="33"/>
      <c r="M70" s="33"/>
      <c r="N70" s="33"/>
      <c r="O70" s="33"/>
      <c r="P70" s="33"/>
      <c r="Q70" s="33"/>
      <c r="R70" s="33"/>
      <c r="S70" s="33"/>
      <c r="T70" s="33"/>
      <c r="U70" s="33"/>
      <c r="V70" s="33"/>
    </row>
    <row r="71" spans="2:22" x14ac:dyDescent="0.35">
      <c r="B71" s="6"/>
      <c r="C71" s="5"/>
      <c r="G71" s="33"/>
      <c r="H71" s="33"/>
      <c r="I71" s="33"/>
      <c r="J71" s="33"/>
      <c r="K71" s="33"/>
      <c r="L71" s="33"/>
      <c r="M71" s="33"/>
      <c r="N71" s="33"/>
      <c r="O71" s="33"/>
      <c r="P71" s="33"/>
      <c r="Q71" s="33"/>
      <c r="R71" s="33"/>
      <c r="S71" s="33"/>
      <c r="T71" s="33"/>
      <c r="U71" s="33"/>
      <c r="V71" s="33"/>
    </row>
    <row r="72" spans="2:22" x14ac:dyDescent="0.35">
      <c r="B72" s="6"/>
      <c r="C72" s="5"/>
      <c r="G72" s="33"/>
      <c r="H72" s="33"/>
      <c r="I72" s="33"/>
      <c r="J72" s="33"/>
      <c r="K72" s="33"/>
      <c r="L72" s="33"/>
      <c r="M72" s="33"/>
      <c r="N72" s="33"/>
      <c r="O72" s="33"/>
      <c r="P72" s="33"/>
      <c r="Q72" s="33"/>
      <c r="R72" s="33"/>
      <c r="S72" s="33"/>
      <c r="T72" s="33"/>
      <c r="U72" s="33"/>
      <c r="V72" s="33"/>
    </row>
    <row r="73" spans="2:22" x14ac:dyDescent="0.35">
      <c r="B73" s="6"/>
      <c r="C73" s="5"/>
      <c r="G73" s="33"/>
      <c r="H73" s="33"/>
      <c r="I73" s="33"/>
      <c r="J73" s="33"/>
      <c r="K73" s="33"/>
      <c r="L73" s="33"/>
      <c r="M73" s="33"/>
      <c r="N73" s="33"/>
      <c r="O73" s="33"/>
      <c r="P73" s="33"/>
      <c r="Q73" s="33"/>
      <c r="R73" s="33"/>
      <c r="S73" s="33"/>
      <c r="T73" s="33"/>
      <c r="U73" s="33"/>
      <c r="V73" s="33"/>
    </row>
    <row r="74" spans="2:22" x14ac:dyDescent="0.35">
      <c r="B74" s="6"/>
      <c r="C74" s="5"/>
    </row>
    <row r="75" spans="2:22" x14ac:dyDescent="0.35">
      <c r="B75" s="6"/>
      <c r="C75" s="5"/>
    </row>
    <row r="76" spans="2:22" x14ac:dyDescent="0.35">
      <c r="B76" s="6"/>
      <c r="C76" s="5"/>
    </row>
    <row r="77" spans="2:22" x14ac:dyDescent="0.35">
      <c r="B77" s="6"/>
      <c r="C77" s="5"/>
    </row>
    <row r="78" spans="2:22" x14ac:dyDescent="0.35">
      <c r="B78" s="6"/>
      <c r="C78" s="5"/>
    </row>
    <row r="79" spans="2:22" x14ac:dyDescent="0.35">
      <c r="B79" s="6"/>
      <c r="C79" s="5"/>
    </row>
    <row r="80" spans="2:22" x14ac:dyDescent="0.35">
      <c r="B80" s="6"/>
      <c r="C80" s="5"/>
    </row>
    <row r="81" spans="2:38" x14ac:dyDescent="0.35">
      <c r="B81" s="6"/>
      <c r="C81" s="5"/>
    </row>
    <row r="82" spans="2:38" x14ac:dyDescent="0.35">
      <c r="B82" s="6"/>
      <c r="C82" s="5"/>
    </row>
    <row r="83" spans="2:38" x14ac:dyDescent="0.35">
      <c r="B83" s="6"/>
      <c r="C83" s="5"/>
      <c r="E83" s="71"/>
      <c r="F83" s="4637"/>
      <c r="G83" s="4638"/>
      <c r="H83" s="4638"/>
      <c r="I83" s="4638"/>
      <c r="J83" s="4638"/>
      <c r="K83" s="4638"/>
      <c r="L83" s="4638"/>
      <c r="M83" s="4638"/>
      <c r="N83" s="4638"/>
      <c r="O83" s="4638"/>
      <c r="P83" s="4638"/>
      <c r="Q83" s="4638"/>
      <c r="R83" s="4638"/>
      <c r="S83" s="4638"/>
      <c r="T83" s="4638"/>
      <c r="U83" s="4638"/>
      <c r="V83" s="4638"/>
      <c r="W83" s="4638"/>
      <c r="X83" s="4638"/>
      <c r="Y83" s="4638"/>
      <c r="Z83" s="4638"/>
      <c r="AA83" s="4638"/>
      <c r="AB83" s="4638"/>
      <c r="AC83" s="4638"/>
      <c r="AD83" s="4638"/>
      <c r="AE83" s="4638"/>
      <c r="AF83" s="4638"/>
      <c r="AG83" s="4638"/>
      <c r="AH83" s="4638"/>
      <c r="AI83" s="4638"/>
      <c r="AJ83" s="4638"/>
      <c r="AK83" s="4638"/>
      <c r="AL83" s="4639"/>
    </row>
    <row r="84" spans="2:38" x14ac:dyDescent="0.35">
      <c r="B84" s="74"/>
      <c r="C84" s="75"/>
      <c r="D84" s="71"/>
      <c r="E84" s="72"/>
      <c r="F84" s="4640"/>
      <c r="G84" s="4641"/>
      <c r="H84" s="4641"/>
      <c r="I84" s="4641"/>
      <c r="J84" s="4641"/>
      <c r="K84" s="4641"/>
      <c r="L84" s="4641"/>
      <c r="M84" s="4641"/>
      <c r="N84" s="4641"/>
      <c r="O84" s="4641"/>
      <c r="P84" s="4641"/>
      <c r="Q84" s="4641"/>
      <c r="R84" s="4641"/>
      <c r="S84" s="4641"/>
      <c r="T84" s="4641"/>
      <c r="U84" s="4641"/>
      <c r="V84" s="4641"/>
      <c r="W84" s="4641"/>
      <c r="X84" s="4641"/>
      <c r="Y84" s="4641"/>
      <c r="Z84" s="4641"/>
      <c r="AA84" s="4641"/>
      <c r="AB84" s="4641"/>
      <c r="AC84" s="4641"/>
      <c r="AD84" s="4641"/>
      <c r="AE84" s="76"/>
      <c r="AF84" s="76"/>
      <c r="AG84" s="76"/>
      <c r="AH84" s="76"/>
      <c r="AI84" s="76"/>
      <c r="AJ84" s="76"/>
      <c r="AK84" s="76"/>
      <c r="AL84" s="77"/>
    </row>
    <row r="85" spans="2:38" x14ac:dyDescent="0.35">
      <c r="B85" s="78"/>
      <c r="C85" s="79"/>
      <c r="D85" s="72"/>
      <c r="E85" s="73"/>
      <c r="F85" s="4637"/>
      <c r="G85" s="4638"/>
      <c r="H85" s="4638"/>
      <c r="I85" s="4638"/>
      <c r="J85" s="4638"/>
      <c r="K85" s="4638"/>
      <c r="L85" s="4638"/>
      <c r="M85" s="4638"/>
      <c r="N85" s="4638"/>
      <c r="O85" s="4638"/>
      <c r="P85" s="4638"/>
      <c r="Q85" s="4638"/>
      <c r="R85" s="4638"/>
      <c r="S85" s="4638"/>
      <c r="T85" s="4638"/>
      <c r="U85" s="4638"/>
      <c r="V85" s="4638"/>
      <c r="W85" s="4638"/>
      <c r="X85" s="4638"/>
      <c r="Y85" s="4638"/>
      <c r="Z85" s="4638"/>
      <c r="AA85" s="4638"/>
      <c r="AB85" s="4638"/>
      <c r="AC85" s="4638"/>
      <c r="AD85" s="4638"/>
      <c r="AE85" s="76"/>
      <c r="AF85" s="76"/>
      <c r="AG85" s="76"/>
      <c r="AH85" s="76"/>
      <c r="AI85" s="76"/>
      <c r="AJ85" s="76"/>
      <c r="AK85" s="76"/>
      <c r="AL85" s="77"/>
    </row>
    <row r="86" spans="2:38" x14ac:dyDescent="0.35">
      <c r="D86" s="73"/>
    </row>
    <row r="91" spans="2:38" x14ac:dyDescent="0.35">
      <c r="E91" s="4" t="s">
        <v>9</v>
      </c>
      <c r="F91" s="4" t="s">
        <v>10</v>
      </c>
      <c r="G91" s="4" t="s">
        <v>11</v>
      </c>
      <c r="H91" s="4" t="s">
        <v>12</v>
      </c>
      <c r="I91" s="4" t="s">
        <v>13</v>
      </c>
      <c r="J91" s="4" t="s">
        <v>14</v>
      </c>
      <c r="K91" s="4" t="s">
        <v>15</v>
      </c>
      <c r="L91" s="4" t="s">
        <v>16</v>
      </c>
      <c r="M91" s="4" t="s">
        <v>17</v>
      </c>
      <c r="N91" s="4" t="s">
        <v>18</v>
      </c>
      <c r="O91" s="4" t="s">
        <v>19</v>
      </c>
      <c r="P91" s="4" t="s">
        <v>20</v>
      </c>
      <c r="Q91" s="4" t="s">
        <v>21</v>
      </c>
      <c r="R91" s="4" t="s">
        <v>22</v>
      </c>
      <c r="S91" s="4" t="s">
        <v>23</v>
      </c>
      <c r="T91" s="4" t="s">
        <v>24</v>
      </c>
      <c r="U91" s="4" t="s">
        <v>25</v>
      </c>
      <c r="V91" s="4" t="s">
        <v>26</v>
      </c>
      <c r="W91" s="4" t="s">
        <v>27</v>
      </c>
      <c r="X91" s="4">
        <v>2014</v>
      </c>
      <c r="Y91" s="4">
        <v>2015</v>
      </c>
      <c r="Z91" s="4">
        <v>2016</v>
      </c>
      <c r="AA91" s="80">
        <v>2017</v>
      </c>
    </row>
    <row r="92" spans="2:38" x14ac:dyDescent="0.35">
      <c r="E92" s="67">
        <v>3.1156957193492651</v>
      </c>
      <c r="F92" s="67">
        <v>4.3066962105868072</v>
      </c>
      <c r="G92" s="67">
        <v>2.646764319423383</v>
      </c>
      <c r="H92" s="67">
        <v>0.51738274304229037</v>
      </c>
      <c r="I92" s="67">
        <v>2.3581285988405085</v>
      </c>
      <c r="J92" s="67">
        <v>4.1545885216350342</v>
      </c>
      <c r="K92" s="67">
        <v>2.7354231498118367</v>
      </c>
      <c r="L92" s="67">
        <v>3.6678376110939013</v>
      </c>
      <c r="M92" s="67">
        <v>2.9490744246935492</v>
      </c>
      <c r="N92" s="67">
        <v>4.5545699205685519</v>
      </c>
      <c r="O92" s="67">
        <v>5.2771117349823538</v>
      </c>
      <c r="P92" s="67">
        <v>5.6036647889724067</v>
      </c>
      <c r="Q92" s="67">
        <v>5.360465139616144</v>
      </c>
      <c r="R92" s="67">
        <v>3.1910516450526449</v>
      </c>
      <c r="S92" s="67">
        <v>-1.5381008639149374</v>
      </c>
      <c r="T92" s="67">
        <v>3.039777062767457</v>
      </c>
      <c r="U92" s="67">
        <v>3.3</v>
      </c>
      <c r="V92" s="67">
        <v>2.21987486452353</v>
      </c>
      <c r="W92" s="67">
        <v>2.5</v>
      </c>
      <c r="X92" s="67">
        <v>1.7</v>
      </c>
      <c r="Y92" s="67">
        <v>1.3</v>
      </c>
      <c r="Z92" s="67">
        <v>0.3</v>
      </c>
      <c r="AA92" s="81"/>
    </row>
  </sheetData>
  <mergeCells count="35">
    <mergeCell ref="F84:AD84"/>
    <mergeCell ref="F85:AD85"/>
    <mergeCell ref="CB59:CE59"/>
    <mergeCell ref="CF59:CI59"/>
    <mergeCell ref="CJ59:CM59"/>
    <mergeCell ref="CN59:CQ59"/>
    <mergeCell ref="B60:C60"/>
    <mergeCell ref="F83:AL83"/>
    <mergeCell ref="BD59:BG59"/>
    <mergeCell ref="BH59:BK59"/>
    <mergeCell ref="BL59:BO59"/>
    <mergeCell ref="BP59:BS59"/>
    <mergeCell ref="BT59:BW59"/>
    <mergeCell ref="BX59:CA59"/>
    <mergeCell ref="AF59:AI59"/>
    <mergeCell ref="AJ59:AM59"/>
    <mergeCell ref="AN59:AQ59"/>
    <mergeCell ref="AR59:AU59"/>
    <mergeCell ref="AV59:AY59"/>
    <mergeCell ref="AZ59:BC59"/>
    <mergeCell ref="D55:AC55"/>
    <mergeCell ref="D56:AC56"/>
    <mergeCell ref="D59:G59"/>
    <mergeCell ref="H59:K59"/>
    <mergeCell ref="L59:O59"/>
    <mergeCell ref="P59:S59"/>
    <mergeCell ref="T59:W59"/>
    <mergeCell ref="X59:AA59"/>
    <mergeCell ref="AB59:AE59"/>
    <mergeCell ref="D54:AC54"/>
    <mergeCell ref="D2:AC2"/>
    <mergeCell ref="D3:AC3"/>
    <mergeCell ref="D4:AC4"/>
    <mergeCell ref="D5:AC5"/>
    <mergeCell ref="D53:AC53"/>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C60"/>
  <sheetViews>
    <sheetView showGridLines="0" view="pageBreakPreview" zoomScaleNormal="100" zoomScaleSheetLayoutView="100" workbookViewId="0">
      <selection activeCell="P52" sqref="P52"/>
    </sheetView>
  </sheetViews>
  <sheetFormatPr defaultColWidth="9.1796875" defaultRowHeight="14.5" x14ac:dyDescent="0.35"/>
  <cols>
    <col min="1" max="1" width="3.81640625" style="86" customWidth="1"/>
    <col min="2" max="2" width="14.453125" style="83" customWidth="1"/>
    <col min="3" max="3" width="3.81640625" style="84" customWidth="1"/>
    <col min="4" max="4" width="19.1796875" style="4" customWidth="1"/>
    <col min="5" max="5" width="10.1796875" style="4" customWidth="1"/>
    <col min="6" max="6" width="9" style="4" customWidth="1"/>
    <col min="7" max="7" width="8.36328125" style="4" customWidth="1"/>
    <col min="8" max="8" width="8.1796875" style="4" customWidth="1"/>
    <col min="9" max="11" width="8.81640625" style="4" customWidth="1"/>
    <col min="12" max="12" width="9" style="4" customWidth="1"/>
    <col min="13" max="13" width="8.90625" style="4" customWidth="1"/>
    <col min="14" max="14" width="8.81640625" style="4" customWidth="1"/>
    <col min="15" max="15" width="9.6328125" style="4" customWidth="1"/>
    <col min="16" max="16" width="10.1796875" style="4" customWidth="1"/>
    <col min="17" max="17" width="8.6328125" style="4" customWidth="1"/>
    <col min="18" max="18" width="8.90625" style="4" customWidth="1"/>
    <col min="19" max="19" width="8.81640625" style="4" customWidth="1"/>
    <col min="20" max="21" width="8.36328125" style="12" customWidth="1"/>
    <col min="22" max="22" width="9.1796875" style="12" customWidth="1"/>
    <col min="23" max="23" width="9.08984375" style="4" customWidth="1"/>
    <col min="24" max="24" width="9.1796875" style="4" customWidth="1"/>
    <col min="25" max="31" width="11" style="4" bestFit="1" customWidth="1"/>
    <col min="32" max="16384" width="9.1796875" style="4"/>
  </cols>
  <sheetData>
    <row r="1" spans="1:26" x14ac:dyDescent="0.35">
      <c r="D1" s="85"/>
      <c r="E1" s="85"/>
      <c r="F1" s="85"/>
      <c r="G1" s="85"/>
      <c r="H1" s="85"/>
      <c r="I1" s="85"/>
      <c r="J1" s="85"/>
      <c r="K1" s="85"/>
      <c r="L1" s="85"/>
      <c r="M1" s="85"/>
      <c r="N1" s="85"/>
      <c r="O1" s="85"/>
      <c r="P1" s="85"/>
      <c r="Q1" s="85"/>
      <c r="R1" s="85"/>
      <c r="S1" s="85"/>
      <c r="W1" s="12"/>
    </row>
    <row r="2" spans="1:26" ht="12.75" customHeight="1" x14ac:dyDescent="0.35">
      <c r="A2" s="86">
        <v>1</v>
      </c>
      <c r="B2" s="87" t="s">
        <v>0</v>
      </c>
      <c r="C2" s="86">
        <f>'[4]Bondpoints Spread'!C2+1</f>
        <v>10</v>
      </c>
      <c r="D2" s="4694" t="s">
        <v>171</v>
      </c>
      <c r="E2" s="4695"/>
      <c r="F2" s="4695"/>
      <c r="G2" s="4695"/>
      <c r="H2" s="4695"/>
      <c r="I2" s="4695"/>
      <c r="J2" s="4695"/>
      <c r="K2" s="4695"/>
      <c r="L2" s="4695"/>
      <c r="M2" s="4695"/>
      <c r="N2" s="4695"/>
      <c r="O2" s="4695"/>
      <c r="P2" s="4695"/>
      <c r="Q2" s="4695"/>
      <c r="R2" s="4695"/>
      <c r="S2" s="4695"/>
      <c r="T2" s="4695"/>
      <c r="U2" s="4695"/>
      <c r="V2" s="4695"/>
      <c r="W2" s="4695"/>
      <c r="X2" s="4696"/>
      <c r="Y2" s="411"/>
      <c r="Z2" s="411"/>
    </row>
    <row r="3" spans="1:26" ht="14.5" customHeight="1" x14ac:dyDescent="0.35">
      <c r="A3" s="86">
        <v>2</v>
      </c>
      <c r="B3" s="87" t="s">
        <v>2</v>
      </c>
      <c r="C3" s="86"/>
      <c r="D3" s="4642" t="s">
        <v>172</v>
      </c>
      <c r="E3" s="4643"/>
      <c r="F3" s="4643"/>
      <c r="G3" s="4643"/>
      <c r="H3" s="4643"/>
      <c r="I3" s="4643"/>
      <c r="J3" s="4643"/>
      <c r="K3" s="4643"/>
      <c r="L3" s="4643"/>
      <c r="M3" s="4643"/>
      <c r="N3" s="4643"/>
      <c r="O3" s="4643"/>
      <c r="P3" s="4643"/>
      <c r="Q3" s="4643"/>
      <c r="R3" s="4643"/>
      <c r="S3" s="4643"/>
      <c r="T3" s="4643"/>
      <c r="U3" s="4643"/>
      <c r="V3" s="4643"/>
      <c r="W3" s="4643"/>
      <c r="X3" s="4644"/>
    </row>
    <row r="4" spans="1:26" ht="12.75" customHeight="1" x14ac:dyDescent="0.35">
      <c r="A4" s="86">
        <v>3</v>
      </c>
      <c r="B4" s="87" t="s">
        <v>4</v>
      </c>
      <c r="C4" s="86"/>
      <c r="D4" s="4642" t="s">
        <v>173</v>
      </c>
      <c r="E4" s="4643"/>
      <c r="F4" s="4643"/>
      <c r="G4" s="4643"/>
      <c r="H4" s="4643"/>
      <c r="I4" s="4643"/>
      <c r="J4" s="4643"/>
      <c r="K4" s="4643"/>
      <c r="L4" s="4643"/>
      <c r="M4" s="4643"/>
      <c r="N4" s="4643"/>
      <c r="O4" s="4643"/>
      <c r="P4" s="4643"/>
      <c r="Q4" s="4643"/>
      <c r="R4" s="4643"/>
      <c r="S4" s="4643"/>
      <c r="T4" s="4643"/>
      <c r="U4" s="4643"/>
      <c r="V4" s="4643"/>
      <c r="W4" s="4643"/>
      <c r="X4" s="4644"/>
    </row>
    <row r="5" spans="1:26" ht="12.75" customHeight="1" x14ac:dyDescent="0.35">
      <c r="B5" s="87"/>
      <c r="C5" s="86"/>
      <c r="D5" s="4526"/>
      <c r="E5" s="4526"/>
      <c r="F5" s="4526"/>
      <c r="G5" s="4526"/>
      <c r="H5" s="4526"/>
      <c r="I5" s="4526"/>
      <c r="J5" s="4526"/>
      <c r="K5" s="4526"/>
      <c r="L5" s="4526"/>
      <c r="M5" s="4526"/>
      <c r="N5" s="4526"/>
      <c r="O5" s="4526"/>
      <c r="P5" s="4526"/>
      <c r="Q5" s="4526"/>
      <c r="R5" s="4526"/>
      <c r="S5" s="4526"/>
      <c r="T5" s="4526"/>
      <c r="U5" s="4526"/>
      <c r="V5" s="4526"/>
      <c r="W5" s="12"/>
    </row>
    <row r="6" spans="1:26" x14ac:dyDescent="0.35">
      <c r="A6" s="86">
        <v>4</v>
      </c>
      <c r="B6" s="87" t="s">
        <v>6</v>
      </c>
      <c r="D6" s="412"/>
      <c r="E6" s="413"/>
      <c r="F6" s="414"/>
      <c r="G6" s="414"/>
      <c r="H6" s="414"/>
      <c r="I6" s="414"/>
      <c r="J6" s="414"/>
      <c r="K6" s="414"/>
      <c r="L6" s="89"/>
      <c r="M6" s="92"/>
      <c r="N6" s="92"/>
      <c r="O6" s="92"/>
      <c r="P6" s="92"/>
      <c r="Q6" s="92"/>
      <c r="R6" s="92"/>
      <c r="S6" s="92"/>
      <c r="W6" s="12"/>
    </row>
    <row r="7" spans="1:26" s="33" customFormat="1" ht="10.5" x14ac:dyDescent="0.25">
      <c r="A7" s="99"/>
      <c r="B7" s="100"/>
      <c r="C7" s="101"/>
      <c r="D7" s="89" t="s">
        <v>74</v>
      </c>
      <c r="E7" s="89" t="s">
        <v>175</v>
      </c>
      <c r="F7" s="89"/>
      <c r="G7" s="89"/>
      <c r="H7" s="89"/>
      <c r="I7" s="89"/>
      <c r="J7" s="414"/>
      <c r="K7" s="414"/>
      <c r="L7" s="415"/>
      <c r="M7" s="416"/>
      <c r="N7" s="416"/>
      <c r="O7" s="416"/>
      <c r="P7" s="416"/>
      <c r="Q7" s="416"/>
      <c r="R7" s="416"/>
      <c r="S7" s="416"/>
      <c r="T7" s="11"/>
      <c r="U7" s="11"/>
      <c r="V7" s="11"/>
      <c r="W7" s="11"/>
    </row>
    <row r="8" spans="1:26" s="33" customFormat="1" ht="14.25" customHeight="1" x14ac:dyDescent="0.25">
      <c r="A8" s="417"/>
      <c r="B8" s="100"/>
      <c r="C8" s="101"/>
      <c r="D8" s="158" t="s">
        <v>176</v>
      </c>
      <c r="E8" s="418" t="s">
        <v>177</v>
      </c>
      <c r="F8" s="418" t="s">
        <v>101</v>
      </c>
      <c r="G8" s="418" t="s">
        <v>105</v>
      </c>
      <c r="H8" s="418" t="s">
        <v>109</v>
      </c>
      <c r="I8" s="419" t="s">
        <v>111</v>
      </c>
      <c r="J8" s="419" t="s">
        <v>112</v>
      </c>
      <c r="K8" s="419" t="s">
        <v>113</v>
      </c>
      <c r="L8" s="419" t="s">
        <v>114</v>
      </c>
      <c r="M8" s="420" t="s">
        <v>115</v>
      </c>
      <c r="N8" s="420" t="s">
        <v>116</v>
      </c>
      <c r="O8" s="421" t="s">
        <v>117</v>
      </c>
      <c r="P8" s="421" t="s">
        <v>118</v>
      </c>
      <c r="Q8" s="421" t="s">
        <v>119</v>
      </c>
      <c r="R8" s="421" t="s">
        <v>120</v>
      </c>
      <c r="S8" s="421" t="s">
        <v>121</v>
      </c>
      <c r="T8" s="421" t="s">
        <v>122</v>
      </c>
      <c r="U8" s="421" t="s">
        <v>123</v>
      </c>
      <c r="V8" s="422" t="s">
        <v>124</v>
      </c>
      <c r="W8" s="422" t="s">
        <v>125</v>
      </c>
      <c r="X8" s="4574" t="s">
        <v>126</v>
      </c>
      <c r="Y8" s="11"/>
    </row>
    <row r="9" spans="1:26" s="33" customFormat="1" ht="14.25" customHeight="1" x14ac:dyDescent="0.2">
      <c r="A9" s="99"/>
      <c r="B9" s="100"/>
      <c r="C9" s="101"/>
      <c r="D9" s="240" t="s">
        <v>178</v>
      </c>
      <c r="E9" s="424"/>
      <c r="F9" s="425">
        <v>1336227</v>
      </c>
      <c r="G9" s="425">
        <v>2216000</v>
      </c>
      <c r="H9" s="425">
        <v>4023576</v>
      </c>
      <c r="I9" s="425">
        <v>5591325</v>
      </c>
      <c r="J9" s="425">
        <v>6766361</v>
      </c>
      <c r="K9" s="425">
        <v>8243776</v>
      </c>
      <c r="L9" s="425">
        <v>9243165</v>
      </c>
      <c r="M9" s="426">
        <v>10738456</v>
      </c>
      <c r="N9" s="427">
        <v>12332012</v>
      </c>
      <c r="O9" s="427">
        <v>11139237</v>
      </c>
      <c r="P9" s="427">
        <v>10059010</v>
      </c>
      <c r="Q9" s="427">
        <v>10464022</v>
      </c>
      <c r="R9" s="427">
        <v>10570726</v>
      </c>
      <c r="S9" s="427">
        <v>11782848</v>
      </c>
      <c r="T9" s="427">
        <v>13290951</v>
      </c>
      <c r="U9" s="428">
        <v>13814995</v>
      </c>
      <c r="V9" s="429">
        <v>14781270</v>
      </c>
      <c r="W9" s="429">
        <v>15859185</v>
      </c>
      <c r="X9" s="4575">
        <v>14447833.430000005</v>
      </c>
      <c r="Y9" s="11"/>
    </row>
    <row r="10" spans="1:26" s="33" customFormat="1" ht="14.25" customHeight="1" x14ac:dyDescent="0.2">
      <c r="A10" s="99"/>
      <c r="B10" s="100"/>
      <c r="C10" s="101"/>
      <c r="D10" s="240" t="s">
        <v>179</v>
      </c>
      <c r="E10" s="424"/>
      <c r="F10" s="425">
        <v>810618</v>
      </c>
      <c r="G10" s="425">
        <v>1380000</v>
      </c>
      <c r="H10" s="425">
        <v>203110</v>
      </c>
      <c r="I10" s="425">
        <v>465367</v>
      </c>
      <c r="J10" s="425">
        <v>515331</v>
      </c>
      <c r="K10" s="425">
        <v>844640</v>
      </c>
      <c r="L10" s="425">
        <v>1021355</v>
      </c>
      <c r="M10" s="426">
        <v>1154399</v>
      </c>
      <c r="N10" s="427">
        <v>1139676</v>
      </c>
      <c r="O10" s="427">
        <v>1067302</v>
      </c>
      <c r="P10" s="427">
        <v>1011340</v>
      </c>
      <c r="Q10" s="427">
        <v>1235669</v>
      </c>
      <c r="R10" s="427">
        <v>1437509</v>
      </c>
      <c r="S10" s="427">
        <v>1697151</v>
      </c>
      <c r="T10" s="427">
        <v>1893010</v>
      </c>
      <c r="U10" s="428">
        <v>2013021</v>
      </c>
      <c r="V10" s="429">
        <v>2098646</v>
      </c>
      <c r="W10" s="429">
        <v>2325875</v>
      </c>
      <c r="X10" s="4575">
        <v>2223426.12</v>
      </c>
      <c r="Y10" s="11"/>
    </row>
    <row r="11" spans="1:26" s="33" customFormat="1" ht="14.25" customHeight="1" x14ac:dyDescent="0.2">
      <c r="A11" s="99"/>
      <c r="B11" s="100"/>
      <c r="C11" s="101"/>
      <c r="D11" s="240" t="s">
        <v>180</v>
      </c>
      <c r="E11" s="424"/>
      <c r="F11" s="425">
        <v>415648</v>
      </c>
      <c r="G11" s="425">
        <v>496000</v>
      </c>
      <c r="H11" s="425">
        <v>1896156</v>
      </c>
      <c r="I11" s="425">
        <v>2071351</v>
      </c>
      <c r="J11" s="425">
        <v>2533971</v>
      </c>
      <c r="K11" s="425">
        <v>2732215</v>
      </c>
      <c r="L11" s="425">
        <v>3298808</v>
      </c>
      <c r="M11" s="426">
        <v>3621862</v>
      </c>
      <c r="N11" s="427">
        <v>4191366</v>
      </c>
      <c r="O11" s="427">
        <v>5101224</v>
      </c>
      <c r="P11" s="427">
        <v>5424602</v>
      </c>
      <c r="Q11" s="427">
        <v>6609216</v>
      </c>
      <c r="R11" s="427">
        <v>7333153</v>
      </c>
      <c r="S11" s="427">
        <v>7292853</v>
      </c>
      <c r="T11" s="427">
        <v>8377575</v>
      </c>
      <c r="U11" s="428">
        <v>9876623</v>
      </c>
      <c r="V11" s="429">
        <v>11659258</v>
      </c>
      <c r="W11" s="429">
        <v>13009876</v>
      </c>
      <c r="X11" s="4575">
        <v>13183118.710000005</v>
      </c>
      <c r="Y11" s="11"/>
    </row>
    <row r="12" spans="1:26" ht="14.25" customHeight="1" x14ac:dyDescent="0.35">
      <c r="C12" s="3"/>
      <c r="D12" s="240" t="s">
        <v>181</v>
      </c>
      <c r="E12" s="424"/>
      <c r="F12" s="425">
        <v>31615</v>
      </c>
      <c r="G12" s="425">
        <v>11000</v>
      </c>
      <c r="H12" s="425">
        <v>70778</v>
      </c>
      <c r="I12" s="425">
        <v>209023</v>
      </c>
      <c r="J12" s="425">
        <v>198268</v>
      </c>
      <c r="K12" s="425">
        <v>226514</v>
      </c>
      <c r="L12" s="425">
        <v>212538</v>
      </c>
      <c r="M12" s="426">
        <v>223202</v>
      </c>
      <c r="N12" s="427">
        <v>240649</v>
      </c>
      <c r="O12" s="427">
        <v>188840</v>
      </c>
      <c r="P12" s="427">
        <v>162830</v>
      </c>
      <c r="Q12" s="427">
        <v>170605</v>
      </c>
      <c r="R12" s="427">
        <v>503833</v>
      </c>
      <c r="S12" s="427">
        <v>583165</v>
      </c>
      <c r="T12" s="427">
        <v>778772</v>
      </c>
      <c r="U12" s="428">
        <v>891142</v>
      </c>
      <c r="V12" s="429">
        <v>1017616</v>
      </c>
      <c r="W12" s="429">
        <v>1216310</v>
      </c>
      <c r="X12" s="4575">
        <v>1485704.4</v>
      </c>
      <c r="Y12" s="12"/>
    </row>
    <row r="13" spans="1:26" ht="14.25" customHeight="1" x14ac:dyDescent="0.35">
      <c r="D13" s="431" t="s">
        <v>182</v>
      </c>
      <c r="E13" s="432"/>
      <c r="F13" s="433"/>
      <c r="G13" s="433"/>
      <c r="H13" s="433">
        <v>1294454</v>
      </c>
      <c r="I13" s="433">
        <v>1745493</v>
      </c>
      <c r="J13" s="433">
        <v>1996050</v>
      </c>
      <c r="K13" s="433">
        <v>2102094</v>
      </c>
      <c r="L13" s="433">
        <v>2744718</v>
      </c>
      <c r="M13" s="434">
        <v>2886094</v>
      </c>
      <c r="N13" s="435">
        <v>3137343</v>
      </c>
      <c r="O13" s="435">
        <v>3458074</v>
      </c>
      <c r="P13" s="435">
        <v>3596023</v>
      </c>
      <c r="Q13" s="435">
        <v>3729680</v>
      </c>
      <c r="R13" s="435">
        <v>4025998</v>
      </c>
      <c r="S13" s="435">
        <v>4304556</v>
      </c>
      <c r="T13" s="435">
        <v>5004669</v>
      </c>
      <c r="U13" s="436">
        <v>5740897</v>
      </c>
      <c r="V13" s="437">
        <v>6136183</v>
      </c>
      <c r="W13" s="437">
        <v>6313344</v>
      </c>
      <c r="X13" s="4575">
        <v>5443885.2999999998</v>
      </c>
      <c r="Y13" s="12"/>
    </row>
    <row r="14" spans="1:26" ht="14.25" customHeight="1" x14ac:dyDescent="0.35">
      <c r="D14" s="438" t="s">
        <v>183</v>
      </c>
      <c r="E14" s="439">
        <v>2786087</v>
      </c>
      <c r="F14" s="439">
        <v>2594107</v>
      </c>
      <c r="G14" s="439">
        <v>4103000</v>
      </c>
      <c r="H14" s="439">
        <v>7488074</v>
      </c>
      <c r="I14" s="439">
        <v>10082559</v>
      </c>
      <c r="J14" s="439">
        <v>12009981</v>
      </c>
      <c r="K14" s="439">
        <v>14149239</v>
      </c>
      <c r="L14" s="439">
        <v>16520584</v>
      </c>
      <c r="M14" s="440">
        <v>18624013</v>
      </c>
      <c r="N14" s="441">
        <v>21041046</v>
      </c>
      <c r="O14" s="441">
        <v>20954677</v>
      </c>
      <c r="P14" s="441">
        <v>20253805</v>
      </c>
      <c r="Q14" s="441">
        <v>22209192</v>
      </c>
      <c r="R14" s="441">
        <v>23871219</v>
      </c>
      <c r="S14" s="441">
        <v>25660573</v>
      </c>
      <c r="T14" s="441">
        <v>29344977</v>
      </c>
      <c r="U14" s="442">
        <v>32336679</v>
      </c>
      <c r="V14" s="443">
        <v>35692973</v>
      </c>
      <c r="W14" s="443">
        <v>38724590</v>
      </c>
      <c r="X14" s="4580">
        <v>36783967.960000008</v>
      </c>
      <c r="Y14" s="12"/>
    </row>
    <row r="15" spans="1:26" x14ac:dyDescent="0.35">
      <c r="D15" s="240" t="s">
        <v>184</v>
      </c>
      <c r="E15" s="424">
        <v>1.04</v>
      </c>
      <c r="F15" s="424">
        <v>0.75</v>
      </c>
      <c r="G15" s="424">
        <v>0.69</v>
      </c>
      <c r="H15" s="424">
        <v>0.76</v>
      </c>
      <c r="I15" s="424">
        <v>0.81</v>
      </c>
      <c r="J15" s="424">
        <v>0.87</v>
      </c>
      <c r="K15" s="424">
        <v>0.92</v>
      </c>
      <c r="L15" s="444">
        <v>0.9</v>
      </c>
      <c r="M15" s="445">
        <v>0.88</v>
      </c>
      <c r="N15" s="446">
        <v>0.89</v>
      </c>
      <c r="O15" s="446">
        <v>0.84</v>
      </c>
      <c r="P15" s="446">
        <v>0.74</v>
      </c>
      <c r="Q15" s="446">
        <v>0.73</v>
      </c>
      <c r="R15" s="446">
        <v>0.73</v>
      </c>
      <c r="S15" s="446">
        <v>0.72</v>
      </c>
      <c r="T15" s="446">
        <v>0.77</v>
      </c>
      <c r="U15" s="892">
        <v>0.8</v>
      </c>
      <c r="V15" s="447">
        <v>0.82</v>
      </c>
      <c r="W15" s="447">
        <v>0.83</v>
      </c>
      <c r="X15" s="4576">
        <v>0.75</v>
      </c>
      <c r="Y15" s="12"/>
    </row>
    <row r="16" spans="1:26" x14ac:dyDescent="0.35">
      <c r="A16" s="4"/>
      <c r="D16" s="449" t="s">
        <v>185</v>
      </c>
      <c r="E16" s="450"/>
      <c r="F16" s="450"/>
      <c r="G16" s="450"/>
      <c r="H16" s="451">
        <v>26913</v>
      </c>
      <c r="I16" s="451">
        <v>30703</v>
      </c>
      <c r="J16" s="451">
        <v>37001</v>
      </c>
      <c r="K16" s="451">
        <v>39264</v>
      </c>
      <c r="L16" s="451">
        <v>39591</v>
      </c>
      <c r="M16" s="452">
        <v>40084</v>
      </c>
      <c r="N16" s="453">
        <v>39955</v>
      </c>
      <c r="O16" s="453">
        <v>40797</v>
      </c>
      <c r="P16" s="453">
        <v>37901</v>
      </c>
      <c r="Q16" s="453">
        <v>40653</v>
      </c>
      <c r="R16" s="453">
        <v>42828</v>
      </c>
      <c r="S16" s="453">
        <v>45935</v>
      </c>
      <c r="T16" s="453">
        <v>48479</v>
      </c>
      <c r="U16" s="454">
        <v>51877</v>
      </c>
      <c r="V16" s="455">
        <v>56761</v>
      </c>
      <c r="W16" s="455">
        <v>61840</v>
      </c>
      <c r="X16" s="4577">
        <v>62166</v>
      </c>
    </row>
    <row r="17" spans="1:24" ht="15.5" x14ac:dyDescent="0.35">
      <c r="A17" s="4"/>
      <c r="D17" s="456" t="s">
        <v>186</v>
      </c>
      <c r="E17" s="457"/>
      <c r="F17" s="457"/>
      <c r="G17" s="457"/>
      <c r="H17" s="458">
        <v>14182</v>
      </c>
      <c r="I17" s="458">
        <v>14129</v>
      </c>
      <c r="J17" s="458">
        <v>17915</v>
      </c>
      <c r="K17" s="458">
        <v>17303</v>
      </c>
      <c r="L17" s="458">
        <v>18573.5</v>
      </c>
      <c r="M17" s="459">
        <v>19320.3</v>
      </c>
      <c r="N17" s="460">
        <v>19384.3</v>
      </c>
      <c r="O17" s="460">
        <v>19793.099999999999</v>
      </c>
      <c r="P17" s="460">
        <v>18719.599999999999</v>
      </c>
      <c r="Q17" s="460">
        <v>20115.099999999999</v>
      </c>
      <c r="R17" s="460">
        <v>21382.400000000001</v>
      </c>
      <c r="S17" s="460">
        <v>23346</v>
      </c>
      <c r="T17" s="460">
        <v>23571.9</v>
      </c>
      <c r="U17" s="461">
        <v>26159</v>
      </c>
      <c r="V17" s="462">
        <v>27656</v>
      </c>
      <c r="W17" s="462">
        <v>29515</v>
      </c>
      <c r="X17" s="4578">
        <v>29110.83</v>
      </c>
    </row>
    <row r="18" spans="1:24" ht="15.5" x14ac:dyDescent="0.35">
      <c r="A18" s="4"/>
      <c r="D18" s="463" t="s">
        <v>187</v>
      </c>
      <c r="E18" s="464"/>
      <c r="F18" s="464"/>
      <c r="G18" s="464"/>
      <c r="H18" s="464">
        <v>3.1</v>
      </c>
      <c r="I18" s="464">
        <v>1.2</v>
      </c>
      <c r="J18" s="464">
        <v>1.6</v>
      </c>
      <c r="K18" s="464">
        <v>1.5</v>
      </c>
      <c r="L18" s="464">
        <v>1.5</v>
      </c>
      <c r="M18" s="465">
        <v>1.5</v>
      </c>
      <c r="N18" s="466">
        <v>1.4</v>
      </c>
      <c r="O18" s="466">
        <v>1.5</v>
      </c>
      <c r="P18" s="466">
        <v>1.4</v>
      </c>
      <c r="Q18" s="466">
        <v>1.5</v>
      </c>
      <c r="R18" s="466">
        <v>1.5</v>
      </c>
      <c r="S18" s="466">
        <v>1.6</v>
      </c>
      <c r="T18" s="466">
        <v>1.5</v>
      </c>
      <c r="U18" s="467">
        <v>1.7</v>
      </c>
      <c r="V18" s="468">
        <v>1.7</v>
      </c>
      <c r="W18" s="468">
        <v>1.8</v>
      </c>
      <c r="X18" s="4579">
        <v>1.8</v>
      </c>
    </row>
    <row r="19" spans="1:24" x14ac:dyDescent="0.35">
      <c r="A19" s="4"/>
      <c r="D19" s="108"/>
      <c r="E19" s="108"/>
      <c r="F19" s="108"/>
      <c r="G19" s="108"/>
      <c r="H19" s="108"/>
      <c r="I19" s="108"/>
      <c r="J19" s="108"/>
      <c r="K19" s="108"/>
      <c r="L19" s="469"/>
      <c r="T19" s="4"/>
      <c r="U19" s="4"/>
      <c r="V19" s="4"/>
    </row>
    <row r="20" spans="1:24" x14ac:dyDescent="0.35">
      <c r="A20" s="86">
        <v>5</v>
      </c>
      <c r="B20" s="87" t="s">
        <v>56</v>
      </c>
      <c r="W20" s="12"/>
    </row>
    <row r="21" spans="1:24" x14ac:dyDescent="0.35">
      <c r="W21" s="12"/>
    </row>
    <row r="22" spans="1:24" ht="14.25" customHeight="1" x14ac:dyDescent="0.35">
      <c r="A22" s="4"/>
      <c r="B22" s="87"/>
      <c r="C22" s="86"/>
      <c r="D22" s="470"/>
      <c r="E22" s="471"/>
      <c r="F22" s="472"/>
      <c r="G22" s="471"/>
      <c r="H22" s="472"/>
      <c r="I22" s="471"/>
      <c r="J22" s="472"/>
      <c r="K22" s="471"/>
      <c r="L22" s="472"/>
      <c r="M22" s="471"/>
      <c r="N22" s="472"/>
      <c r="O22" s="473"/>
      <c r="P22" s="473"/>
      <c r="Q22" s="473"/>
      <c r="R22" s="473"/>
      <c r="S22" s="473"/>
      <c r="T22" s="4"/>
      <c r="U22" s="4"/>
      <c r="V22" s="4"/>
    </row>
    <row r="23" spans="1:24" ht="14.25" customHeight="1" x14ac:dyDescent="0.35">
      <c r="A23" s="4"/>
      <c r="B23" s="87"/>
      <c r="C23" s="86"/>
      <c r="D23" s="470"/>
      <c r="E23" s="471"/>
      <c r="F23" s="472"/>
      <c r="G23" s="471"/>
      <c r="H23" s="472"/>
      <c r="I23" s="471"/>
      <c r="J23" s="472"/>
      <c r="K23" s="471"/>
      <c r="L23" s="472"/>
      <c r="M23" s="471"/>
      <c r="N23" s="472"/>
      <c r="O23" s="473"/>
      <c r="P23" s="473"/>
      <c r="Q23" s="473"/>
      <c r="R23" s="473"/>
      <c r="S23" s="473"/>
      <c r="T23" s="4"/>
      <c r="U23" s="4"/>
      <c r="V23" s="4"/>
    </row>
    <row r="24" spans="1:24" ht="14.25" customHeight="1" x14ac:dyDescent="0.35">
      <c r="A24" s="4"/>
      <c r="B24" s="87"/>
      <c r="C24" s="86"/>
      <c r="D24" s="470"/>
      <c r="E24" s="471"/>
      <c r="F24" s="472"/>
      <c r="G24" s="471"/>
      <c r="H24" s="472"/>
      <c r="I24" s="471"/>
      <c r="J24" s="472"/>
      <c r="K24" s="471"/>
      <c r="L24" s="472"/>
      <c r="M24" s="471"/>
      <c r="N24" s="472"/>
      <c r="O24" s="473"/>
      <c r="P24" s="473"/>
      <c r="Q24" s="473"/>
      <c r="R24" s="473"/>
      <c r="S24" s="473"/>
      <c r="T24" s="4"/>
      <c r="U24" s="4"/>
      <c r="V24" s="4"/>
    </row>
    <row r="25" spans="1:24" ht="14.25" customHeight="1" x14ac:dyDescent="0.35">
      <c r="A25" s="4"/>
      <c r="B25" s="87"/>
      <c r="C25" s="86"/>
      <c r="D25" s="470"/>
      <c r="E25" s="471"/>
      <c r="F25" s="472"/>
      <c r="G25" s="471"/>
      <c r="H25" s="472"/>
      <c r="I25" s="471"/>
      <c r="J25" s="472"/>
      <c r="K25" s="471"/>
      <c r="L25" s="472"/>
      <c r="M25" s="471"/>
      <c r="N25" s="472"/>
      <c r="O25" s="473"/>
      <c r="P25" s="473"/>
      <c r="Q25" s="473"/>
      <c r="R25" s="473"/>
      <c r="S25" s="473"/>
      <c r="T25" s="4"/>
      <c r="U25" s="4"/>
      <c r="V25" s="4"/>
    </row>
    <row r="26" spans="1:24" ht="14.25" customHeight="1" x14ac:dyDescent="0.35">
      <c r="A26" s="4"/>
      <c r="B26" s="87"/>
      <c r="C26" s="86"/>
      <c r="D26" s="470"/>
      <c r="E26" s="471"/>
      <c r="F26" s="472"/>
      <c r="G26" s="471"/>
      <c r="H26" s="472"/>
      <c r="I26" s="471"/>
      <c r="J26" s="472"/>
      <c r="K26" s="471"/>
      <c r="L26" s="472"/>
      <c r="M26" s="471"/>
      <c r="N26" s="472"/>
      <c r="O26" s="473"/>
      <c r="P26" s="473"/>
      <c r="Q26" s="473"/>
      <c r="R26" s="473"/>
      <c r="S26" s="473"/>
      <c r="T26" s="4"/>
      <c r="U26" s="4"/>
      <c r="V26" s="4"/>
    </row>
    <row r="27" spans="1:24" ht="14.25" customHeight="1" x14ac:dyDescent="0.35">
      <c r="A27" s="4"/>
      <c r="B27" s="87"/>
      <c r="C27" s="86"/>
      <c r="D27" s="470"/>
      <c r="E27" s="471"/>
      <c r="F27" s="472"/>
      <c r="G27" s="471"/>
      <c r="H27" s="472"/>
      <c r="I27" s="471"/>
      <c r="J27" s="472"/>
      <c r="K27" s="471"/>
      <c r="L27" s="472"/>
      <c r="M27" s="471"/>
      <c r="N27" s="472"/>
      <c r="O27" s="473"/>
      <c r="P27" s="473"/>
      <c r="Q27" s="473"/>
      <c r="R27" s="473"/>
      <c r="S27" s="473"/>
      <c r="T27" s="4"/>
      <c r="U27" s="4"/>
      <c r="V27" s="4"/>
    </row>
    <row r="28" spans="1:24" ht="14.25" customHeight="1" x14ac:dyDescent="0.35">
      <c r="A28" s="4"/>
      <c r="B28" s="87"/>
      <c r="C28" s="86"/>
      <c r="D28" s="470"/>
      <c r="E28" s="471"/>
      <c r="F28" s="472"/>
      <c r="G28" s="471"/>
      <c r="H28" s="472"/>
      <c r="I28" s="471"/>
      <c r="J28" s="472"/>
      <c r="K28" s="471"/>
      <c r="L28" s="472"/>
      <c r="M28" s="471"/>
      <c r="N28" s="472"/>
      <c r="O28" s="473"/>
      <c r="P28" s="473"/>
      <c r="Q28" s="473"/>
      <c r="R28" s="473"/>
      <c r="S28" s="473"/>
      <c r="T28" s="4"/>
      <c r="U28" s="4"/>
      <c r="V28" s="4"/>
    </row>
    <row r="29" spans="1:24" ht="14.25" customHeight="1" x14ac:dyDescent="0.35">
      <c r="A29" s="4"/>
      <c r="B29" s="87"/>
      <c r="C29" s="86"/>
      <c r="D29" s="470"/>
      <c r="E29" s="471"/>
      <c r="F29" s="472"/>
      <c r="G29" s="471"/>
      <c r="H29" s="472"/>
      <c r="I29" s="471"/>
      <c r="J29" s="472"/>
      <c r="K29" s="471"/>
      <c r="L29" s="472"/>
      <c r="M29" s="471"/>
      <c r="N29" s="472"/>
      <c r="O29" s="473"/>
      <c r="P29" s="473"/>
      <c r="Q29" s="473"/>
      <c r="R29" s="473"/>
      <c r="S29" s="473"/>
      <c r="T29" s="4"/>
      <c r="U29" s="4"/>
      <c r="V29" s="4"/>
    </row>
    <row r="30" spans="1:24" ht="14.25" customHeight="1" x14ac:dyDescent="0.35">
      <c r="A30" s="4"/>
      <c r="B30" s="87"/>
      <c r="C30" s="86"/>
      <c r="D30" s="470"/>
      <c r="E30" s="471"/>
      <c r="F30" s="472"/>
      <c r="G30" s="471"/>
      <c r="H30" s="472"/>
      <c r="I30" s="471"/>
      <c r="J30" s="472"/>
      <c r="K30" s="471"/>
      <c r="L30" s="472"/>
      <c r="M30" s="471"/>
      <c r="N30" s="472"/>
      <c r="O30" s="473"/>
      <c r="P30" s="473"/>
      <c r="Q30" s="473"/>
      <c r="R30" s="473"/>
      <c r="S30" s="473"/>
      <c r="T30" s="4"/>
      <c r="U30" s="4"/>
      <c r="V30" s="4"/>
    </row>
    <row r="31" spans="1:24" ht="14.25" customHeight="1" x14ac:dyDescent="0.35">
      <c r="A31" s="4"/>
      <c r="B31" s="87"/>
      <c r="C31" s="86"/>
      <c r="D31" s="470"/>
      <c r="E31" s="471"/>
      <c r="F31" s="472"/>
      <c r="G31" s="471"/>
      <c r="H31" s="472"/>
      <c r="I31" s="471"/>
      <c r="J31" s="472"/>
      <c r="K31" s="471"/>
      <c r="L31" s="472"/>
      <c r="M31" s="471"/>
      <c r="N31" s="472"/>
      <c r="O31" s="473"/>
      <c r="P31" s="473"/>
      <c r="Q31" s="473"/>
      <c r="R31" s="473"/>
      <c r="S31" s="473"/>
      <c r="T31" s="4"/>
      <c r="U31" s="4"/>
      <c r="V31" s="4"/>
    </row>
    <row r="32" spans="1:24" ht="14.25" customHeight="1" x14ac:dyDescent="0.35">
      <c r="A32" s="4"/>
      <c r="B32" s="87"/>
      <c r="C32" s="86"/>
      <c r="D32" s="470"/>
      <c r="E32" s="471"/>
      <c r="F32" s="472"/>
      <c r="G32" s="471"/>
      <c r="H32" s="472"/>
      <c r="I32" s="471"/>
      <c r="J32" s="472"/>
      <c r="K32" s="471"/>
      <c r="L32" s="472"/>
      <c r="M32" s="471"/>
      <c r="N32" s="472"/>
      <c r="O32" s="473"/>
      <c r="P32" s="473"/>
      <c r="Q32" s="473"/>
      <c r="R32" s="473"/>
      <c r="S32" s="473"/>
      <c r="T32" s="4"/>
      <c r="U32" s="4"/>
      <c r="V32" s="4"/>
    </row>
    <row r="33" spans="1:29" ht="14.25" customHeight="1" x14ac:dyDescent="0.35">
      <c r="A33" s="4"/>
      <c r="B33" s="87"/>
      <c r="C33" s="86"/>
      <c r="D33" s="470"/>
      <c r="E33" s="471"/>
      <c r="F33" s="472"/>
      <c r="G33" s="471"/>
      <c r="H33" s="472"/>
      <c r="I33" s="471"/>
      <c r="J33" s="472"/>
      <c r="K33" s="471"/>
      <c r="L33" s="472"/>
      <c r="M33" s="471"/>
      <c r="N33" s="472"/>
      <c r="O33" s="473"/>
      <c r="P33" s="473"/>
      <c r="Q33" s="473"/>
      <c r="R33" s="473"/>
      <c r="S33" s="473"/>
      <c r="T33" s="4"/>
      <c r="U33" s="4"/>
      <c r="V33" s="4"/>
    </row>
    <row r="34" spans="1:29" ht="14.25" customHeight="1" x14ac:dyDescent="0.35">
      <c r="A34" s="4"/>
      <c r="B34" s="87"/>
      <c r="C34" s="86"/>
      <c r="D34" s="470"/>
      <c r="E34" s="471"/>
      <c r="F34" s="472"/>
      <c r="G34" s="471"/>
      <c r="H34" s="472"/>
      <c r="I34" s="471"/>
      <c r="J34" s="472"/>
      <c r="K34" s="471"/>
      <c r="L34" s="472"/>
      <c r="M34" s="471"/>
      <c r="N34" s="472"/>
      <c r="O34" s="473"/>
      <c r="P34" s="473"/>
      <c r="Q34" s="473"/>
      <c r="R34" s="473"/>
      <c r="S34" s="473"/>
      <c r="T34" s="4"/>
      <c r="U34" s="4"/>
      <c r="V34" s="4"/>
    </row>
    <row r="35" spans="1:29" ht="14.25" customHeight="1" x14ac:dyDescent="0.35">
      <c r="A35" s="4"/>
      <c r="B35" s="87"/>
      <c r="C35" s="86"/>
      <c r="D35" s="470"/>
      <c r="E35" s="471"/>
      <c r="F35" s="472"/>
      <c r="G35" s="471"/>
      <c r="H35" s="472"/>
      <c r="I35" s="471"/>
      <c r="J35" s="472"/>
      <c r="K35" s="471"/>
      <c r="L35" s="472"/>
      <c r="M35" s="471"/>
      <c r="N35" s="472"/>
      <c r="O35" s="473"/>
      <c r="P35" s="473"/>
      <c r="Q35" s="473"/>
      <c r="R35" s="473"/>
      <c r="S35" s="473"/>
      <c r="T35" s="4"/>
      <c r="U35" s="4"/>
      <c r="V35" s="4"/>
      <c r="AC35" s="116"/>
    </row>
    <row r="36" spans="1:29" ht="14.25" customHeight="1" x14ac:dyDescent="0.35">
      <c r="A36" s="4"/>
      <c r="B36" s="87"/>
      <c r="C36" s="86"/>
      <c r="D36" s="470"/>
      <c r="E36" s="471"/>
      <c r="F36" s="472"/>
      <c r="G36" s="471"/>
      <c r="H36" s="472"/>
      <c r="I36" s="471"/>
      <c r="J36" s="472"/>
      <c r="K36" s="471"/>
      <c r="L36" s="472"/>
      <c r="M36" s="471"/>
      <c r="N36" s="472"/>
      <c r="O36" s="473"/>
      <c r="P36" s="473"/>
      <c r="Q36" s="473"/>
      <c r="R36" s="473"/>
      <c r="S36" s="473"/>
      <c r="T36" s="4"/>
      <c r="U36" s="4"/>
      <c r="V36" s="4"/>
    </row>
    <row r="37" spans="1:29" ht="14.25" customHeight="1" x14ac:dyDescent="0.35">
      <c r="A37" s="4"/>
      <c r="B37" s="87"/>
      <c r="C37" s="86"/>
      <c r="D37" s="470"/>
      <c r="E37" s="471"/>
      <c r="F37" s="472"/>
      <c r="G37" s="471"/>
      <c r="H37" s="472"/>
      <c r="I37" s="471"/>
      <c r="J37" s="472"/>
      <c r="K37" s="471"/>
      <c r="L37" s="472"/>
      <c r="M37" s="471"/>
      <c r="N37" s="472"/>
      <c r="O37" s="473"/>
      <c r="P37" s="473"/>
      <c r="Q37" s="473"/>
      <c r="R37" s="473"/>
      <c r="S37" s="473"/>
      <c r="T37" s="4"/>
      <c r="U37" s="4"/>
      <c r="V37" s="4"/>
    </row>
    <row r="38" spans="1:29" ht="14.25" customHeight="1" x14ac:dyDescent="0.35">
      <c r="A38" s="4"/>
      <c r="B38" s="87"/>
      <c r="C38" s="86"/>
      <c r="D38" s="470"/>
      <c r="E38" s="471"/>
      <c r="F38" s="472"/>
      <c r="G38" s="471"/>
      <c r="H38" s="472"/>
      <c r="I38" s="471"/>
      <c r="J38" s="472"/>
      <c r="K38" s="471"/>
      <c r="L38" s="472"/>
      <c r="M38" s="471"/>
      <c r="N38" s="472"/>
      <c r="O38" s="473"/>
      <c r="P38" s="473"/>
      <c r="Q38" s="473"/>
      <c r="R38" s="473"/>
      <c r="S38" s="473"/>
      <c r="T38" s="4"/>
      <c r="U38" s="4"/>
      <c r="V38" s="4"/>
    </row>
    <row r="39" spans="1:29" ht="14.25" customHeight="1" x14ac:dyDescent="0.35">
      <c r="A39" s="4"/>
      <c r="B39" s="87"/>
      <c r="C39" s="86"/>
      <c r="D39" s="470"/>
      <c r="E39" s="471"/>
      <c r="F39" s="472"/>
      <c r="G39" s="471"/>
      <c r="H39" s="472"/>
      <c r="I39" s="471"/>
      <c r="J39" s="472"/>
      <c r="K39" s="471"/>
      <c r="L39" s="472"/>
      <c r="M39" s="471"/>
      <c r="N39" s="472"/>
      <c r="O39" s="473"/>
      <c r="P39" s="473"/>
      <c r="Q39" s="473"/>
      <c r="R39" s="473"/>
      <c r="S39" s="473"/>
      <c r="T39" s="4"/>
      <c r="U39" s="4"/>
      <c r="V39" s="4"/>
    </row>
    <row r="40" spans="1:29" ht="14.25" customHeight="1" x14ac:dyDescent="0.35">
      <c r="A40" s="4"/>
      <c r="B40" s="87"/>
      <c r="C40" s="86"/>
      <c r="D40" s="470"/>
      <c r="E40" s="471"/>
      <c r="F40" s="472"/>
      <c r="G40" s="471"/>
      <c r="H40" s="472"/>
      <c r="I40" s="471"/>
      <c r="J40" s="472"/>
      <c r="K40" s="471"/>
      <c r="L40" s="472"/>
      <c r="M40" s="471"/>
      <c r="N40" s="472"/>
      <c r="O40" s="473"/>
      <c r="P40" s="473"/>
      <c r="Q40" s="473"/>
      <c r="R40" s="473"/>
      <c r="S40" s="473"/>
      <c r="T40" s="4"/>
      <c r="U40" s="4"/>
      <c r="V40" s="4"/>
    </row>
    <row r="41" spans="1:29" ht="14.25" customHeight="1" x14ac:dyDescent="0.35">
      <c r="A41" s="4"/>
      <c r="B41" s="87"/>
      <c r="C41" s="86"/>
      <c r="D41" s="470"/>
      <c r="E41" s="471"/>
      <c r="F41" s="472"/>
      <c r="G41" s="471"/>
      <c r="H41" s="472"/>
      <c r="I41" s="471"/>
      <c r="J41" s="472"/>
      <c r="K41" s="471"/>
      <c r="L41" s="472"/>
      <c r="M41" s="471"/>
      <c r="N41" s="472"/>
      <c r="O41" s="473"/>
      <c r="P41" s="473"/>
      <c r="Q41" s="473"/>
      <c r="R41" s="473"/>
      <c r="S41" s="473"/>
      <c r="T41" s="4"/>
      <c r="U41" s="4"/>
      <c r="V41" s="4"/>
    </row>
    <row r="42" spans="1:29" ht="14.25" customHeight="1" x14ac:dyDescent="0.35">
      <c r="A42" s="4"/>
      <c r="B42" s="87"/>
      <c r="C42" s="86"/>
      <c r="D42" s="470"/>
      <c r="E42" s="471"/>
      <c r="F42" s="472"/>
      <c r="G42" s="471"/>
      <c r="H42" s="472"/>
      <c r="I42" s="471"/>
      <c r="J42" s="472"/>
      <c r="K42" s="471"/>
      <c r="L42" s="472"/>
      <c r="M42" s="471"/>
      <c r="N42" s="472"/>
      <c r="O42" s="473"/>
      <c r="P42" s="473"/>
      <c r="Q42" s="473"/>
      <c r="R42" s="473"/>
      <c r="S42" s="473"/>
      <c r="T42" s="4"/>
      <c r="U42" s="4"/>
      <c r="V42" s="4"/>
    </row>
    <row r="43" spans="1:29" ht="14.25" customHeight="1" x14ac:dyDescent="0.35">
      <c r="A43" s="4"/>
      <c r="B43" s="87"/>
      <c r="C43" s="86"/>
      <c r="D43" s="470"/>
      <c r="E43" s="471"/>
      <c r="F43" s="472"/>
      <c r="G43" s="471"/>
      <c r="H43" s="472"/>
      <c r="I43" s="471"/>
      <c r="J43" s="472"/>
      <c r="K43" s="471"/>
      <c r="L43" s="472"/>
      <c r="M43" s="471"/>
      <c r="N43" s="472"/>
      <c r="O43" s="473"/>
      <c r="P43" s="473"/>
      <c r="Q43" s="473"/>
      <c r="R43" s="473"/>
      <c r="S43" s="473"/>
      <c r="T43" s="4"/>
      <c r="U43" s="4"/>
      <c r="V43" s="4"/>
    </row>
    <row r="44" spans="1:29" ht="14.25" customHeight="1" x14ac:dyDescent="0.35">
      <c r="A44" s="4"/>
      <c r="B44" s="87"/>
      <c r="C44" s="86"/>
      <c r="D44" s="470"/>
      <c r="E44" s="471"/>
      <c r="F44" s="472"/>
      <c r="G44" s="471"/>
      <c r="H44" s="472"/>
      <c r="I44" s="471"/>
      <c r="J44" s="472"/>
      <c r="K44" s="471"/>
      <c r="L44" s="472"/>
      <c r="M44" s="471"/>
      <c r="N44" s="472"/>
      <c r="O44" s="473"/>
      <c r="P44" s="473"/>
      <c r="Q44" s="473"/>
      <c r="R44" s="473"/>
      <c r="S44" s="473"/>
      <c r="T44" s="4"/>
      <c r="U44" s="4"/>
      <c r="V44" s="4"/>
    </row>
    <row r="45" spans="1:29" ht="14.25" customHeight="1" x14ac:dyDescent="0.35">
      <c r="A45" s="4"/>
      <c r="B45" s="87"/>
      <c r="C45" s="86"/>
      <c r="D45" s="470"/>
      <c r="E45" s="471"/>
      <c r="F45" s="472"/>
      <c r="G45" s="471"/>
      <c r="H45" s="472"/>
      <c r="I45" s="471"/>
      <c r="J45" s="472"/>
      <c r="K45" s="471"/>
      <c r="L45" s="472"/>
      <c r="M45" s="471"/>
      <c r="N45" s="472"/>
      <c r="O45" s="473"/>
      <c r="P45" s="473"/>
      <c r="Q45" s="473"/>
      <c r="R45" s="473"/>
      <c r="S45" s="473"/>
      <c r="T45" s="4"/>
      <c r="U45" s="4"/>
      <c r="V45" s="4"/>
    </row>
    <row r="46" spans="1:29" ht="14.25" customHeight="1" x14ac:dyDescent="0.35">
      <c r="A46" s="4"/>
      <c r="B46" s="87"/>
      <c r="C46" s="86"/>
      <c r="D46" s="474"/>
      <c r="E46" s="475"/>
      <c r="F46" s="476"/>
      <c r="G46" s="475"/>
      <c r="H46" s="477"/>
      <c r="I46" s="475"/>
      <c r="J46" s="477"/>
      <c r="K46" s="475"/>
      <c r="L46" s="477"/>
      <c r="M46" s="475"/>
      <c r="N46" s="477"/>
      <c r="O46" s="473"/>
      <c r="P46" s="473"/>
      <c r="Q46" s="473"/>
      <c r="R46" s="473"/>
      <c r="S46" s="473"/>
      <c r="T46" s="473"/>
      <c r="U46" s="473"/>
      <c r="V46" s="473"/>
    </row>
    <row r="47" spans="1:29" ht="14.25" customHeight="1" x14ac:dyDescent="0.35">
      <c r="A47" s="4"/>
      <c r="B47" s="87"/>
      <c r="C47" s="86"/>
      <c r="D47" s="474"/>
      <c r="E47" s="475"/>
      <c r="F47" s="476"/>
      <c r="G47" s="475"/>
      <c r="H47" s="477"/>
      <c r="I47" s="475"/>
      <c r="J47" s="477"/>
      <c r="K47" s="475"/>
      <c r="L47" s="477"/>
      <c r="M47" s="475"/>
      <c r="N47" s="477"/>
      <c r="O47" s="473"/>
      <c r="P47" s="473"/>
      <c r="Q47" s="473"/>
      <c r="R47" s="473"/>
      <c r="S47" s="473"/>
      <c r="T47" s="473"/>
      <c r="U47" s="473"/>
      <c r="V47" s="473"/>
    </row>
    <row r="48" spans="1:29" ht="54" customHeight="1" x14ac:dyDescent="0.35">
      <c r="A48" s="113">
        <v>5</v>
      </c>
      <c r="B48" s="114" t="s">
        <v>58</v>
      </c>
      <c r="C48" s="113"/>
      <c r="D48" s="4688" t="s">
        <v>188</v>
      </c>
      <c r="E48" s="4689"/>
      <c r="F48" s="4689"/>
      <c r="G48" s="4689"/>
      <c r="H48" s="4689"/>
      <c r="I48" s="4689"/>
      <c r="J48" s="4689"/>
      <c r="K48" s="4689"/>
      <c r="L48" s="4689"/>
      <c r="M48" s="4689"/>
      <c r="N48" s="4689"/>
      <c r="O48" s="4689"/>
      <c r="P48" s="4689"/>
      <c r="Q48" s="4689"/>
      <c r="R48" s="4689"/>
      <c r="S48" s="4689"/>
      <c r="T48" s="4690"/>
      <c r="U48" s="478"/>
      <c r="V48" s="478"/>
      <c r="W48" s="12"/>
    </row>
    <row r="49" spans="1:26" ht="15.5" customHeight="1" x14ac:dyDescent="0.35">
      <c r="A49" s="113">
        <v>6</v>
      </c>
      <c r="B49" s="114" t="s">
        <v>189</v>
      </c>
      <c r="C49" s="113"/>
      <c r="D49" s="479" t="s">
        <v>190</v>
      </c>
      <c r="E49" s="480"/>
      <c r="F49" s="480"/>
      <c r="G49" s="480"/>
      <c r="H49" s="480"/>
      <c r="I49" s="480"/>
      <c r="J49" s="480"/>
      <c r="K49" s="480"/>
      <c r="L49" s="480"/>
      <c r="M49" s="480"/>
      <c r="N49" s="480"/>
      <c r="O49" s="480"/>
      <c r="P49" s="480"/>
      <c r="Q49" s="480"/>
      <c r="R49" s="480"/>
      <c r="S49" s="480"/>
      <c r="T49" s="481"/>
      <c r="U49" s="478"/>
      <c r="V49" s="478"/>
      <c r="W49" s="12"/>
    </row>
    <row r="50" spans="1:26" ht="17" customHeight="1" x14ac:dyDescent="0.35">
      <c r="A50" s="86">
        <v>7</v>
      </c>
      <c r="B50" s="87" t="s">
        <v>62</v>
      </c>
      <c r="C50" s="86"/>
      <c r="D50" s="4691" t="s">
        <v>387</v>
      </c>
      <c r="E50" s="4692"/>
      <c r="F50" s="4692"/>
      <c r="G50" s="4692"/>
      <c r="H50" s="4692"/>
      <c r="I50" s="4692"/>
      <c r="J50" s="4692"/>
      <c r="K50" s="4692"/>
      <c r="L50" s="4692"/>
      <c r="M50" s="4692"/>
      <c r="N50" s="4692"/>
      <c r="O50" s="4692"/>
      <c r="P50" s="4692"/>
      <c r="Q50" s="4692"/>
      <c r="R50" s="4692"/>
      <c r="S50" s="4692"/>
      <c r="T50" s="4693"/>
      <c r="U50" s="482"/>
      <c r="V50" s="482"/>
      <c r="W50" s="12"/>
    </row>
    <row r="51" spans="1:26" ht="62.4" customHeight="1" x14ac:dyDescent="0.35">
      <c r="A51" s="483">
        <v>8</v>
      </c>
      <c r="B51" s="484" t="s">
        <v>64</v>
      </c>
      <c r="C51" s="86"/>
      <c r="D51" s="4688" t="s">
        <v>388</v>
      </c>
      <c r="E51" s="4689"/>
      <c r="F51" s="4689"/>
      <c r="G51" s="4689"/>
      <c r="H51" s="4689"/>
      <c r="I51" s="4689"/>
      <c r="J51" s="4689"/>
      <c r="K51" s="4689"/>
      <c r="L51" s="4689"/>
      <c r="M51" s="4689"/>
      <c r="N51" s="4689"/>
      <c r="O51" s="4689"/>
      <c r="P51" s="4689"/>
      <c r="Q51" s="4689"/>
      <c r="R51" s="4689"/>
      <c r="S51" s="4689"/>
      <c r="T51" s="4690"/>
      <c r="U51" s="478"/>
      <c r="V51" s="482"/>
      <c r="W51" s="12"/>
    </row>
    <row r="52" spans="1:26" ht="30" customHeight="1" x14ac:dyDescent="0.35">
      <c r="W52" s="12"/>
    </row>
    <row r="59" spans="1:26" x14ac:dyDescent="0.35">
      <c r="E59" s="158"/>
      <c r="F59" s="418" t="s">
        <v>177</v>
      </c>
      <c r="G59" s="418" t="s">
        <v>101</v>
      </c>
      <c r="H59" s="418" t="s">
        <v>105</v>
      </c>
      <c r="I59" s="418" t="s">
        <v>109</v>
      </c>
      <c r="J59" s="419" t="s">
        <v>111</v>
      </c>
      <c r="K59" s="419" t="s">
        <v>112</v>
      </c>
      <c r="L59" s="419" t="s">
        <v>113</v>
      </c>
      <c r="M59" s="419" t="s">
        <v>114</v>
      </c>
      <c r="N59" s="420" t="s">
        <v>115</v>
      </c>
      <c r="O59" s="420" t="s">
        <v>116</v>
      </c>
      <c r="P59" s="421" t="s">
        <v>117</v>
      </c>
      <c r="Q59" s="421" t="s">
        <v>118</v>
      </c>
      <c r="R59" s="421" t="s">
        <v>119</v>
      </c>
      <c r="S59" s="421" t="s">
        <v>120</v>
      </c>
      <c r="T59" s="421" t="s">
        <v>121</v>
      </c>
      <c r="U59" s="421" t="s">
        <v>122</v>
      </c>
      <c r="V59" s="421" t="s">
        <v>123</v>
      </c>
      <c r="W59" s="423" t="s">
        <v>124</v>
      </c>
      <c r="X59" s="423" t="s">
        <v>125</v>
      </c>
      <c r="Y59" s="422" t="s">
        <v>125</v>
      </c>
      <c r="Z59" s="4574" t="s">
        <v>126</v>
      </c>
    </row>
    <row r="60" spans="1:26" x14ac:dyDescent="0.35">
      <c r="E60" s="240" t="s">
        <v>184</v>
      </c>
      <c r="F60" s="424">
        <v>1.04</v>
      </c>
      <c r="G60" s="424">
        <v>0.75</v>
      </c>
      <c r="H60" s="424">
        <v>0.69</v>
      </c>
      <c r="I60" s="424">
        <v>0.76</v>
      </c>
      <c r="J60" s="424">
        <v>0.81</v>
      </c>
      <c r="K60" s="424">
        <v>0.87</v>
      </c>
      <c r="L60" s="424">
        <v>0.92</v>
      </c>
      <c r="M60" s="444">
        <v>0.9</v>
      </c>
      <c r="N60" s="445">
        <v>0.88</v>
      </c>
      <c r="O60" s="446">
        <v>0.89</v>
      </c>
      <c r="P60" s="446">
        <v>0.84</v>
      </c>
      <c r="Q60" s="446">
        <v>0.74</v>
      </c>
      <c r="R60" s="446">
        <v>0.73</v>
      </c>
      <c r="S60" s="446">
        <v>0.73</v>
      </c>
      <c r="T60" s="446">
        <v>0.72</v>
      </c>
      <c r="U60" s="446">
        <v>0.77</v>
      </c>
      <c r="V60" s="892">
        <v>0.8</v>
      </c>
      <c r="W60" s="447">
        <v>0.82</v>
      </c>
      <c r="X60" s="448">
        <v>0.83</v>
      </c>
      <c r="Y60" s="447">
        <v>0.83</v>
      </c>
      <c r="Z60" s="4576">
        <v>0.75</v>
      </c>
    </row>
  </sheetData>
  <mergeCells count="6">
    <mergeCell ref="D48:T48"/>
    <mergeCell ref="D50:T50"/>
    <mergeCell ref="D51:T51"/>
    <mergeCell ref="D2:X2"/>
    <mergeCell ref="D3:X3"/>
    <mergeCell ref="D4:X4"/>
  </mergeCells>
  <pageMargins left="0.74803149606299202" right="0.74803149606299202" top="0.98425196850393704" bottom="0.98425196850393704" header="0.511811023622047" footer="0.511811023622047"/>
  <pageSetup paperSize="9" scale="5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BQ70"/>
  <sheetViews>
    <sheetView showGridLines="0" view="pageBreakPreview" zoomScale="90" zoomScaleNormal="100" zoomScaleSheetLayoutView="90" workbookViewId="0">
      <selection activeCell="L32" sqref="L32:L33"/>
    </sheetView>
  </sheetViews>
  <sheetFormatPr defaultColWidth="9.1796875" defaultRowHeight="14.5" x14ac:dyDescent="0.35"/>
  <cols>
    <col min="1" max="1" width="3.81640625" style="489" customWidth="1"/>
    <col min="2" max="2" width="12.81640625" style="486" customWidth="1"/>
    <col min="3" max="3" width="8" style="487" customWidth="1"/>
    <col min="4" max="4" width="29.81640625" style="488" customWidth="1"/>
    <col min="5" max="6" width="9.81640625" style="488" customWidth="1"/>
    <col min="7" max="8" width="9.1796875" style="488" customWidth="1"/>
    <col min="9" max="9" width="9" style="488" customWidth="1"/>
    <col min="10" max="10" width="9.08984375" style="488" customWidth="1"/>
    <col min="11" max="11" width="8.6328125" style="488" customWidth="1"/>
    <col min="12" max="12" width="8" style="488" customWidth="1"/>
    <col min="13" max="13" width="8.7265625" style="488" customWidth="1"/>
    <col min="14" max="14" width="9.08984375" style="488" customWidth="1"/>
    <col min="15" max="15" width="9.81640625" style="488" customWidth="1"/>
    <col min="16" max="16" width="8.1796875" style="488" customWidth="1"/>
    <col min="17" max="17" width="9.453125" style="488" customWidth="1"/>
    <col min="18" max="18" width="8.1796875" style="488" customWidth="1"/>
    <col min="19" max="19" width="8.453125" style="488" customWidth="1"/>
    <col min="20" max="20" width="7.81640625" style="488" customWidth="1"/>
    <col min="21" max="21" width="9.08984375" style="488" customWidth="1"/>
    <col min="22" max="22" width="8.54296875" style="488" customWidth="1"/>
    <col min="23" max="23" width="8.36328125" style="488" customWidth="1"/>
    <col min="24" max="24" width="8.453125" style="488" customWidth="1"/>
    <col min="25" max="25" width="10" style="488" customWidth="1"/>
    <col min="26" max="26" width="9.81640625" style="488" bestFit="1" customWidth="1"/>
    <col min="27" max="27" width="9.453125" style="488" customWidth="1"/>
    <col min="28" max="29" width="10" style="488" customWidth="1"/>
    <col min="30" max="30" width="9.81640625" style="488" bestFit="1" customWidth="1"/>
    <col min="31" max="31" width="9.81640625" style="488" customWidth="1"/>
    <col min="32" max="33" width="10" style="488" customWidth="1"/>
    <col min="34" max="34" width="9.81640625" style="488" bestFit="1" customWidth="1"/>
    <col min="35" max="35" width="9.81640625" style="488" customWidth="1"/>
    <col min="36" max="37" width="10" style="488" customWidth="1"/>
    <col min="38" max="38" width="9.81640625" style="488" bestFit="1" customWidth="1"/>
    <col min="39" max="39" width="9.81640625" style="488" customWidth="1"/>
    <col min="40" max="41" width="10" style="488" customWidth="1"/>
    <col min="42" max="42" width="9.81640625" style="488" bestFit="1" customWidth="1"/>
    <col min="43" max="43" width="9.81640625" style="488" customWidth="1"/>
    <col min="44" max="45" width="10" style="488" customWidth="1"/>
    <col min="46" max="46" width="9.81640625" style="488" bestFit="1" customWidth="1"/>
    <col min="47" max="47" width="9.81640625" style="488" customWidth="1"/>
    <col min="48" max="49" width="10" style="488" customWidth="1"/>
    <col min="50" max="50" width="9.81640625" style="488" bestFit="1" customWidth="1"/>
    <col min="51" max="51" width="10.81640625" style="488" customWidth="1"/>
    <col min="52" max="52" width="13.1796875" style="488" customWidth="1"/>
    <col min="53" max="53" width="10" style="488" bestFit="1" customWidth="1"/>
    <col min="54" max="55" width="9.81640625" style="488" bestFit="1" customWidth="1"/>
    <col min="56" max="57" width="10" style="488" bestFit="1" customWidth="1"/>
    <col min="58" max="61" width="10.1796875" style="488" bestFit="1" customWidth="1"/>
    <col min="62" max="62" width="9.1796875" style="488" customWidth="1"/>
    <col min="63" max="16384" width="9.1796875" style="488"/>
  </cols>
  <sheetData>
    <row r="1" spans="1:64" x14ac:dyDescent="0.35">
      <c r="A1" s="485"/>
    </row>
    <row r="2" spans="1:64" ht="12.75" customHeight="1" x14ac:dyDescent="0.35">
      <c r="A2" s="489">
        <v>1</v>
      </c>
      <c r="B2" s="490" t="s">
        <v>0</v>
      </c>
      <c r="C2" s="489">
        <v>11</v>
      </c>
      <c r="D2" s="4705" t="s">
        <v>191</v>
      </c>
      <c r="E2" s="4706"/>
      <c r="F2" s="4706"/>
      <c r="G2" s="4706"/>
      <c r="H2" s="4706"/>
      <c r="I2" s="4706"/>
      <c r="J2" s="4706"/>
      <c r="K2" s="4706"/>
      <c r="L2" s="4706"/>
      <c r="M2" s="4706"/>
      <c r="N2" s="4706"/>
      <c r="O2" s="4706"/>
      <c r="P2" s="4706"/>
      <c r="Q2" s="4706"/>
      <c r="R2" s="4706"/>
      <c r="S2" s="4706"/>
      <c r="T2" s="4706"/>
      <c r="U2" s="4706"/>
      <c r="V2" s="4706"/>
      <c r="W2" s="4707"/>
      <c r="X2" s="491"/>
      <c r="Y2" s="491"/>
    </row>
    <row r="3" spans="1:64" ht="12.75" customHeight="1" x14ac:dyDescent="0.35">
      <c r="A3" s="489">
        <v>2</v>
      </c>
      <c r="B3" s="490" t="s">
        <v>2</v>
      </c>
      <c r="C3" s="489"/>
      <c r="D3" s="4705" t="s">
        <v>192</v>
      </c>
      <c r="E3" s="4706"/>
      <c r="F3" s="4706"/>
      <c r="G3" s="4706"/>
      <c r="H3" s="4706"/>
      <c r="I3" s="4706"/>
      <c r="J3" s="4706"/>
      <c r="K3" s="4706"/>
      <c r="L3" s="4706"/>
      <c r="M3" s="4706"/>
      <c r="N3" s="4706"/>
      <c r="O3" s="4706"/>
      <c r="P3" s="4706"/>
      <c r="Q3" s="4706"/>
      <c r="R3" s="4706"/>
      <c r="S3" s="4706"/>
      <c r="T3" s="4706"/>
      <c r="U3" s="4706"/>
      <c r="V3" s="4706"/>
      <c r="W3" s="4707"/>
    </row>
    <row r="4" spans="1:64" ht="12.75" customHeight="1" x14ac:dyDescent="0.35">
      <c r="A4" s="489">
        <v>3</v>
      </c>
      <c r="B4" s="490" t="s">
        <v>4</v>
      </c>
      <c r="C4" s="489"/>
      <c r="D4" s="4705" t="s">
        <v>193</v>
      </c>
      <c r="E4" s="4706"/>
      <c r="F4" s="4706"/>
      <c r="G4" s="4706"/>
      <c r="H4" s="4706"/>
      <c r="I4" s="4706"/>
      <c r="J4" s="4706"/>
      <c r="K4" s="4706"/>
      <c r="L4" s="4706"/>
      <c r="M4" s="4706"/>
      <c r="N4" s="4706"/>
      <c r="O4" s="4706"/>
      <c r="P4" s="4706"/>
      <c r="Q4" s="4706"/>
      <c r="R4" s="4706"/>
      <c r="S4" s="4706"/>
      <c r="T4" s="4706"/>
      <c r="U4" s="4706"/>
      <c r="V4" s="4706"/>
      <c r="W4" s="4707"/>
    </row>
    <row r="5" spans="1:64" s="4" customFormat="1" ht="17.25" customHeight="1" x14ac:dyDescent="0.35">
      <c r="A5" s="86"/>
      <c r="B5" s="87"/>
      <c r="C5" s="86"/>
      <c r="D5" s="492"/>
      <c r="E5" s="492"/>
      <c r="F5" s="492"/>
      <c r="G5" s="492"/>
      <c r="H5" s="492"/>
      <c r="I5" s="492"/>
      <c r="J5" s="492"/>
      <c r="K5" s="492"/>
      <c r="L5" s="492"/>
      <c r="M5" s="492"/>
      <c r="N5" s="492"/>
      <c r="O5" s="492"/>
      <c r="P5" s="492"/>
      <c r="Q5" s="492"/>
      <c r="R5" s="492"/>
      <c r="S5" s="492"/>
      <c r="T5" s="492"/>
      <c r="U5" s="492"/>
      <c r="V5" s="492"/>
      <c r="W5" s="492"/>
      <c r="X5" s="492"/>
      <c r="Y5" s="492"/>
      <c r="Z5" s="492"/>
      <c r="AA5" s="492"/>
      <c r="AB5" s="492"/>
    </row>
    <row r="6" spans="1:64" x14ac:dyDescent="0.35">
      <c r="A6" s="489">
        <v>4</v>
      </c>
      <c r="B6" s="493" t="s">
        <v>6</v>
      </c>
      <c r="D6" s="494" t="s">
        <v>7</v>
      </c>
      <c r="E6" s="495" t="s">
        <v>194</v>
      </c>
      <c r="F6" s="495"/>
      <c r="G6" s="495"/>
      <c r="H6" s="495"/>
      <c r="I6" s="495"/>
      <c r="J6" s="495"/>
      <c r="K6" s="496"/>
      <c r="L6" s="496"/>
      <c r="M6" s="496"/>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row>
    <row r="7" spans="1:64" s="504" customFormat="1" x14ac:dyDescent="0.35">
      <c r="A7" s="489"/>
      <c r="B7" s="497"/>
      <c r="C7" s="498"/>
      <c r="D7" s="499"/>
      <c r="E7" s="500">
        <v>2000</v>
      </c>
      <c r="F7" s="500">
        <v>2001</v>
      </c>
      <c r="G7" s="500">
        <v>2002</v>
      </c>
      <c r="H7" s="500">
        <v>2003</v>
      </c>
      <c r="I7" s="500">
        <v>2004</v>
      </c>
      <c r="J7" s="500">
        <v>2005</v>
      </c>
      <c r="K7" s="500">
        <v>2006</v>
      </c>
      <c r="L7" s="500">
        <v>2007</v>
      </c>
      <c r="M7" s="500">
        <v>2008</v>
      </c>
      <c r="N7" s="500">
        <v>2009</v>
      </c>
      <c r="O7" s="500">
        <v>2010</v>
      </c>
      <c r="P7" s="500">
        <v>2011</v>
      </c>
      <c r="Q7" s="500">
        <v>2012</v>
      </c>
      <c r="R7" s="500">
        <v>2013</v>
      </c>
      <c r="S7" s="500">
        <v>2014</v>
      </c>
      <c r="T7" s="500">
        <v>2015</v>
      </c>
      <c r="U7" s="501">
        <v>2016</v>
      </c>
      <c r="V7" s="501">
        <v>2017</v>
      </c>
      <c r="W7" s="501">
        <v>2018</v>
      </c>
      <c r="X7" s="502">
        <v>2019</v>
      </c>
      <c r="Y7" s="503"/>
      <c r="Z7" s="503"/>
      <c r="AA7" s="503"/>
      <c r="AB7" s="503"/>
      <c r="AC7" s="503"/>
      <c r="AD7" s="503"/>
      <c r="AE7" s="503"/>
      <c r="AF7" s="503"/>
      <c r="AG7" s="503"/>
      <c r="AH7" s="503"/>
      <c r="AI7" s="503"/>
      <c r="AJ7" s="503"/>
      <c r="AK7" s="503"/>
      <c r="AL7" s="503"/>
      <c r="AM7" s="503"/>
      <c r="AN7" s="503"/>
      <c r="AO7" s="503"/>
      <c r="AP7" s="503"/>
      <c r="AQ7" s="503"/>
      <c r="AR7" s="503"/>
      <c r="AS7" s="503"/>
      <c r="AT7" s="503"/>
      <c r="AU7" s="503"/>
      <c r="AV7" s="503"/>
      <c r="AW7" s="503"/>
      <c r="AX7" s="503"/>
      <c r="AY7" s="503"/>
      <c r="AZ7" s="503"/>
      <c r="BA7" s="503"/>
      <c r="BB7" s="503"/>
      <c r="BC7" s="503"/>
      <c r="BD7" s="503"/>
      <c r="BE7" s="503"/>
      <c r="BF7" s="503"/>
      <c r="BG7" s="503"/>
      <c r="BH7" s="503"/>
      <c r="BI7" s="503"/>
      <c r="BJ7" s="503"/>
      <c r="BK7" s="503"/>
      <c r="BL7" s="503"/>
    </row>
    <row r="8" spans="1:64" ht="11.75" customHeight="1" x14ac:dyDescent="0.35">
      <c r="D8" s="505" t="s">
        <v>195</v>
      </c>
      <c r="E8" s="506">
        <v>8339000</v>
      </c>
      <c r="F8" s="506">
        <v>10787000</v>
      </c>
      <c r="G8" s="506">
        <v>13702000</v>
      </c>
      <c r="H8" s="506">
        <v>16860000</v>
      </c>
      <c r="I8" s="506">
        <v>20839000</v>
      </c>
      <c r="J8" s="506">
        <v>33959958</v>
      </c>
      <c r="K8" s="506">
        <v>39662000</v>
      </c>
      <c r="L8" s="506">
        <v>42300000</v>
      </c>
      <c r="M8" s="506">
        <v>45000000</v>
      </c>
      <c r="N8" s="506">
        <v>46436000</v>
      </c>
      <c r="O8" s="506">
        <v>50372000</v>
      </c>
      <c r="P8" s="506">
        <v>64000000</v>
      </c>
      <c r="Q8" s="506">
        <v>68394000</v>
      </c>
      <c r="R8" s="506">
        <v>76865278</v>
      </c>
      <c r="S8" s="506">
        <v>79280731</v>
      </c>
      <c r="T8" s="506">
        <v>87999492</v>
      </c>
      <c r="U8" s="507">
        <v>82412880</v>
      </c>
      <c r="V8" s="507">
        <v>88497610</v>
      </c>
      <c r="W8" s="508">
        <v>92427958</v>
      </c>
      <c r="X8" s="509">
        <v>96972459</v>
      </c>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row>
    <row r="9" spans="1:64" ht="16.25" customHeight="1" x14ac:dyDescent="0.35">
      <c r="D9" s="505" t="s">
        <v>196</v>
      </c>
      <c r="E9" s="510">
        <v>18.5</v>
      </c>
      <c r="F9" s="510">
        <v>23.7</v>
      </c>
      <c r="G9" s="510">
        <v>29.7</v>
      </c>
      <c r="H9" s="510">
        <v>36.1</v>
      </c>
      <c r="I9" s="510">
        <v>44.1</v>
      </c>
      <c r="J9" s="510">
        <v>70.900000000000006</v>
      </c>
      <c r="K9" s="510">
        <v>81.8</v>
      </c>
      <c r="L9" s="510">
        <v>86.1</v>
      </c>
      <c r="M9" s="510">
        <v>90.4</v>
      </c>
      <c r="N9" s="510">
        <v>92</v>
      </c>
      <c r="O9" s="510">
        <v>98.4</v>
      </c>
      <c r="P9" s="510">
        <v>123.1</v>
      </c>
      <c r="Q9" s="510">
        <v>129.5</v>
      </c>
      <c r="R9" s="510">
        <v>143.19999999999999</v>
      </c>
      <c r="S9" s="510">
        <v>145.36368648737599</v>
      </c>
      <c r="T9" s="510">
        <v>158.9</v>
      </c>
      <c r="U9" s="511">
        <v>146.6</v>
      </c>
      <c r="V9" s="511">
        <v>155.23239566224399</v>
      </c>
      <c r="W9" s="511">
        <v>159.9</v>
      </c>
      <c r="X9" s="512">
        <v>165.6</v>
      </c>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row>
    <row r="10" spans="1:64" x14ac:dyDescent="0.35">
      <c r="D10" s="505" t="s">
        <v>1962</v>
      </c>
      <c r="E10" s="506">
        <v>4961743</v>
      </c>
      <c r="F10" s="506">
        <v>4924458</v>
      </c>
      <c r="G10" s="506">
        <v>4917000</v>
      </c>
      <c r="H10" s="506">
        <v>4910000</v>
      </c>
      <c r="I10" s="506">
        <v>4903000</v>
      </c>
      <c r="J10" s="506">
        <v>4896000</v>
      </c>
      <c r="K10" s="506">
        <v>4889000</v>
      </c>
      <c r="L10" s="506">
        <v>4882000</v>
      </c>
      <c r="M10" s="506">
        <v>4875000</v>
      </c>
      <c r="N10" s="506">
        <v>4868000</v>
      </c>
      <c r="O10" s="506">
        <v>4861000</v>
      </c>
      <c r="P10" s="506">
        <v>4854000</v>
      </c>
      <c r="Q10" s="506">
        <v>4847000</v>
      </c>
      <c r="R10" s="506">
        <v>3875582</v>
      </c>
      <c r="S10" s="506">
        <v>3647770</v>
      </c>
      <c r="T10" s="506">
        <v>4131055</v>
      </c>
      <c r="U10" s="507">
        <v>4522850</v>
      </c>
      <c r="V10" s="507">
        <v>4810074</v>
      </c>
      <c r="W10" s="507">
        <v>3345440</v>
      </c>
      <c r="X10" s="513">
        <v>2024730</v>
      </c>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row>
    <row r="11" spans="1:64" s="518" customFormat="1" ht="13" x14ac:dyDescent="0.3">
      <c r="A11" s="514"/>
      <c r="B11" s="515"/>
      <c r="C11" s="516"/>
      <c r="D11" s="505" t="s">
        <v>1963</v>
      </c>
      <c r="E11" s="510">
        <v>11</v>
      </c>
      <c r="F11" s="510">
        <v>10.8</v>
      </c>
      <c r="G11" s="510">
        <v>10.7</v>
      </c>
      <c r="H11" s="510">
        <v>10.5</v>
      </c>
      <c r="I11" s="510">
        <v>10.4</v>
      </c>
      <c r="J11" s="510">
        <v>10.199999999999999</v>
      </c>
      <c r="K11" s="510">
        <v>10.1</v>
      </c>
      <c r="L11" s="510">
        <v>9.9</v>
      </c>
      <c r="M11" s="510">
        <v>9.8000000000000007</v>
      </c>
      <c r="N11" s="510">
        <v>9.5505628338160093</v>
      </c>
      <c r="O11" s="510">
        <v>9.5</v>
      </c>
      <c r="P11" s="510">
        <v>9.2875496550978305</v>
      </c>
      <c r="Q11" s="510">
        <v>9.1999999999999993</v>
      </c>
      <c r="R11" s="510">
        <v>7.20805225531101</v>
      </c>
      <c r="S11" s="510">
        <v>6.6882997667876802</v>
      </c>
      <c r="T11" s="510">
        <v>7.4714477749407804</v>
      </c>
      <c r="U11" s="511">
        <v>8</v>
      </c>
      <c r="V11" s="511">
        <v>8.4372822083293997</v>
      </c>
      <c r="W11" s="511">
        <v>5.8</v>
      </c>
      <c r="X11" s="512">
        <v>3.5</v>
      </c>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row>
    <row r="12" spans="1:64" s="518" customFormat="1" ht="13" x14ac:dyDescent="0.3">
      <c r="A12" s="514"/>
      <c r="B12" s="515"/>
      <c r="C12" s="516"/>
      <c r="D12" s="505" t="s">
        <v>197</v>
      </c>
      <c r="E12" s="519"/>
      <c r="F12" s="519"/>
      <c r="G12" s="506">
        <v>2669</v>
      </c>
      <c r="H12" s="506">
        <v>20313</v>
      </c>
      <c r="I12" s="506">
        <v>60000</v>
      </c>
      <c r="J12" s="506">
        <v>165290</v>
      </c>
      <c r="K12" s="506">
        <v>335112</v>
      </c>
      <c r="L12" s="506">
        <v>378000</v>
      </c>
      <c r="M12" s="506">
        <v>426000</v>
      </c>
      <c r="N12" s="506">
        <v>481000</v>
      </c>
      <c r="O12" s="506">
        <v>743000</v>
      </c>
      <c r="P12" s="506">
        <v>907000</v>
      </c>
      <c r="Q12" s="506">
        <v>1107200</v>
      </c>
      <c r="R12" s="506">
        <v>1615210</v>
      </c>
      <c r="S12" s="506">
        <v>1706313</v>
      </c>
      <c r="T12" s="506">
        <v>1409347</v>
      </c>
      <c r="U12" s="507">
        <v>1150770</v>
      </c>
      <c r="V12" s="507">
        <v>1123189</v>
      </c>
      <c r="W12" s="507">
        <v>1107013</v>
      </c>
      <c r="X12" s="513">
        <v>1250356</v>
      </c>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row>
    <row r="13" spans="1:64" s="518" customFormat="1" ht="24" customHeight="1" x14ac:dyDescent="0.3">
      <c r="A13" s="514"/>
      <c r="B13" s="515"/>
      <c r="C13" s="516"/>
      <c r="D13" s="505" t="s">
        <v>198</v>
      </c>
      <c r="E13" s="519"/>
      <c r="F13" s="519"/>
      <c r="G13" s="510">
        <v>5.6755628402932103E-3</v>
      </c>
      <c r="H13" s="510">
        <v>4.2630729673008898E-2</v>
      </c>
      <c r="I13" s="510">
        <v>0.124359045705991</v>
      </c>
      <c r="J13" s="510">
        <v>0.338566194187018</v>
      </c>
      <c r="K13" s="510">
        <v>0.67885108396137095</v>
      </c>
      <c r="L13" s="510">
        <v>0.75770968096994695</v>
      </c>
      <c r="M13" s="510">
        <v>0.9</v>
      </c>
      <c r="N13" s="510">
        <v>1</v>
      </c>
      <c r="O13" s="510">
        <v>1.5</v>
      </c>
      <c r="P13" s="510">
        <v>1.7354362458124699</v>
      </c>
      <c r="Q13" s="510">
        <v>2.0891270428306701</v>
      </c>
      <c r="R13" s="510">
        <v>3.0040696038171499</v>
      </c>
      <c r="S13" s="510">
        <v>3.1285779640620901</v>
      </c>
      <c r="T13" s="510">
        <v>2.5489523880145502</v>
      </c>
      <c r="U13" s="511">
        <v>2</v>
      </c>
      <c r="V13" s="511">
        <v>1.9701698074273499</v>
      </c>
      <c r="W13" s="511">
        <v>1.9</v>
      </c>
      <c r="X13" s="512">
        <v>2.1</v>
      </c>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row>
    <row r="14" spans="1:64" x14ac:dyDescent="0.35">
      <c r="D14" s="520" t="s">
        <v>1964</v>
      </c>
      <c r="E14" s="521">
        <v>5.3485597320353699</v>
      </c>
      <c r="F14" s="521">
        <v>6.3466193183976802</v>
      </c>
      <c r="G14" s="521">
        <v>6.7103224370540397</v>
      </c>
      <c r="H14" s="521">
        <v>7.00769172611251</v>
      </c>
      <c r="I14" s="521">
        <v>8.4251186825405995</v>
      </c>
      <c r="J14" s="521">
        <v>7.4885425299292097</v>
      </c>
      <c r="K14" s="521">
        <v>7.6071396747738103</v>
      </c>
      <c r="L14" s="521">
        <v>8.0653751735550401</v>
      </c>
      <c r="M14" s="521">
        <v>8.43</v>
      </c>
      <c r="N14" s="521">
        <v>10</v>
      </c>
      <c r="O14" s="521">
        <v>24</v>
      </c>
      <c r="P14" s="521">
        <v>33.97</v>
      </c>
      <c r="Q14" s="521">
        <v>41</v>
      </c>
      <c r="R14" s="521">
        <v>46.5</v>
      </c>
      <c r="S14" s="521">
        <v>49</v>
      </c>
      <c r="T14" s="521">
        <v>51.919115722747001</v>
      </c>
      <c r="U14" s="522">
        <v>54</v>
      </c>
      <c r="V14" s="522">
        <v>56.167394467338298</v>
      </c>
      <c r="W14" s="523"/>
      <c r="X14" s="524"/>
      <c r="Y14" s="492"/>
      <c r="Z14" s="492"/>
      <c r="AA14" s="492"/>
      <c r="AB14" s="492"/>
      <c r="AC14" s="492"/>
      <c r="AD14" s="492"/>
      <c r="AE14" s="492"/>
      <c r="AF14" s="492"/>
      <c r="AG14" s="492"/>
      <c r="AH14" s="492"/>
      <c r="AI14" s="492"/>
      <c r="AJ14" s="492"/>
      <c r="AK14" s="492"/>
      <c r="AL14" s="492"/>
      <c r="AM14" s="492"/>
      <c r="AN14" s="492"/>
      <c r="AO14" s="492"/>
      <c r="AP14" s="492"/>
      <c r="AQ14" s="492"/>
      <c r="AR14" s="492"/>
      <c r="AS14" s="525"/>
      <c r="AT14" s="492"/>
      <c r="AU14" s="492"/>
      <c r="AV14" s="492"/>
      <c r="AW14" s="492"/>
      <c r="AX14" s="492"/>
      <c r="AY14" s="492"/>
      <c r="AZ14" s="492"/>
      <c r="BA14" s="492"/>
      <c r="BB14" s="492"/>
      <c r="BC14" s="492"/>
      <c r="BD14" s="492"/>
      <c r="BE14" s="492"/>
      <c r="BF14" s="492"/>
      <c r="BG14" s="492"/>
      <c r="BH14" s="492"/>
      <c r="BI14" s="492"/>
      <c r="BJ14" s="492"/>
      <c r="BK14" s="492"/>
      <c r="BL14" s="492"/>
    </row>
    <row r="15" spans="1:64" x14ac:dyDescent="0.35">
      <c r="D15" s="526"/>
      <c r="E15" s="526"/>
      <c r="F15" s="526"/>
      <c r="G15" s="526"/>
      <c r="H15" s="526"/>
      <c r="I15" s="526"/>
      <c r="J15" s="526"/>
      <c r="K15" s="526"/>
      <c r="L15" s="526"/>
      <c r="M15" s="526"/>
      <c r="N15" s="526"/>
      <c r="O15" s="526"/>
      <c r="P15" s="526"/>
      <c r="Q15" s="526"/>
      <c r="R15" s="526"/>
      <c r="S15" s="492"/>
      <c r="T15" s="492"/>
      <c r="U15" s="492"/>
      <c r="V15" s="492"/>
      <c r="W15" s="492"/>
      <c r="X15" s="492"/>
      <c r="Y15" s="492"/>
      <c r="Z15" s="492"/>
      <c r="AA15" s="492"/>
      <c r="AB15" s="492"/>
      <c r="AC15" s="492"/>
      <c r="AD15" s="492"/>
      <c r="AE15" s="492"/>
      <c r="AF15" s="492"/>
      <c r="AG15" s="492"/>
      <c r="AH15" s="492"/>
      <c r="AI15" s="492"/>
      <c r="AJ15" s="492"/>
      <c r="AK15" s="492"/>
      <c r="AL15" s="492"/>
      <c r="AM15" s="492"/>
      <c r="AN15" s="492"/>
      <c r="AO15" s="492"/>
      <c r="AP15" s="492"/>
      <c r="AQ15" s="492"/>
      <c r="AR15" s="525"/>
      <c r="AS15" s="492"/>
      <c r="AT15" s="492"/>
      <c r="AU15" s="492"/>
      <c r="AV15" s="492"/>
      <c r="AW15" s="492"/>
      <c r="AX15" s="492"/>
      <c r="AY15" s="492"/>
      <c r="AZ15" s="492"/>
      <c r="BA15" s="492"/>
      <c r="BB15" s="492"/>
      <c r="BC15" s="492"/>
      <c r="BD15" s="492"/>
      <c r="BE15" s="492"/>
      <c r="BF15" s="492"/>
      <c r="BG15" s="492"/>
      <c r="BH15" s="492"/>
      <c r="BI15" s="492"/>
      <c r="BJ15" s="492"/>
      <c r="BK15" s="492"/>
    </row>
    <row r="16" spans="1:64" x14ac:dyDescent="0.35">
      <c r="D16" s="526"/>
      <c r="E16" s="526"/>
      <c r="F16" s="526"/>
      <c r="G16" s="526"/>
      <c r="H16" s="526"/>
      <c r="I16" s="526"/>
      <c r="J16" s="526"/>
      <c r="K16" s="526"/>
      <c r="L16" s="526"/>
      <c r="M16" s="526"/>
      <c r="N16" s="526"/>
      <c r="O16" s="526"/>
      <c r="P16" s="526"/>
      <c r="Q16" s="526"/>
      <c r="R16" s="526"/>
      <c r="S16" s="492"/>
      <c r="T16" s="492"/>
      <c r="U16" s="492"/>
      <c r="V16" s="492"/>
      <c r="W16" s="492"/>
      <c r="X16" s="492"/>
      <c r="Y16" s="492"/>
      <c r="Z16" s="492"/>
      <c r="AA16" s="492"/>
      <c r="AB16" s="492"/>
      <c r="AC16" s="492"/>
      <c r="AD16" s="492"/>
      <c r="AE16" s="492"/>
      <c r="AF16" s="492"/>
      <c r="AG16" s="492"/>
      <c r="AH16" s="492"/>
      <c r="AI16" s="492"/>
      <c r="AJ16" s="492"/>
      <c r="AK16" s="492"/>
      <c r="AL16" s="492"/>
      <c r="AM16" s="492"/>
      <c r="AN16" s="492"/>
      <c r="AO16" s="492"/>
      <c r="AP16" s="492"/>
      <c r="AQ16" s="492"/>
      <c r="AR16" s="525"/>
      <c r="AS16" s="492"/>
      <c r="AT16" s="492"/>
      <c r="AU16" s="492"/>
      <c r="AV16" s="492"/>
      <c r="AW16" s="492"/>
      <c r="AX16" s="492"/>
      <c r="AY16" s="492"/>
      <c r="AZ16" s="492"/>
      <c r="BA16" s="492"/>
      <c r="BB16" s="492"/>
      <c r="BC16" s="492"/>
      <c r="BD16" s="492"/>
      <c r="BE16" s="492"/>
      <c r="BF16" s="492"/>
      <c r="BG16" s="492"/>
      <c r="BH16" s="492"/>
      <c r="BI16" s="492"/>
      <c r="BJ16" s="492"/>
      <c r="BK16" s="492"/>
    </row>
    <row r="17" spans="1:69" x14ac:dyDescent="0.35">
      <c r="D17" s="893" t="s">
        <v>35</v>
      </c>
      <c r="E17" s="4356" t="s">
        <v>199</v>
      </c>
      <c r="F17" s="4357"/>
      <c r="G17" s="4358"/>
      <c r="H17" s="895"/>
      <c r="I17" s="4359"/>
      <c r="J17" s="895"/>
      <c r="K17" s="895"/>
      <c r="L17" s="895"/>
      <c r="M17" s="895"/>
      <c r="N17" s="895"/>
      <c r="O17" s="895"/>
      <c r="P17" s="895"/>
      <c r="Q17" s="896"/>
      <c r="R17" s="896"/>
      <c r="S17" s="896"/>
      <c r="T17" s="896"/>
      <c r="U17" s="896"/>
      <c r="V17" s="896"/>
      <c r="W17" s="896"/>
      <c r="X17" s="896"/>
      <c r="Y17" s="492"/>
      <c r="Z17" s="492"/>
      <c r="AA17" s="492"/>
      <c r="AB17" s="492"/>
      <c r="AC17" s="492"/>
      <c r="AD17" s="492"/>
      <c r="AE17" s="492"/>
      <c r="AF17" s="492"/>
      <c r="AG17" s="492"/>
      <c r="AH17" s="492"/>
      <c r="AI17" s="492"/>
      <c r="AJ17" s="492"/>
      <c r="AK17" s="492"/>
      <c r="AL17" s="492"/>
      <c r="AM17" s="492"/>
      <c r="AN17" s="492"/>
      <c r="AO17" s="492"/>
      <c r="AP17" s="492"/>
      <c r="AQ17" s="492"/>
      <c r="AR17" s="525"/>
      <c r="AS17" s="492"/>
      <c r="AT17" s="492"/>
      <c r="AU17" s="492"/>
      <c r="AV17" s="492"/>
      <c r="AW17" s="492"/>
      <c r="AX17" s="492"/>
      <c r="AY17" s="492"/>
      <c r="AZ17" s="492"/>
      <c r="BA17" s="492"/>
      <c r="BB17" s="492"/>
      <c r="BC17" s="492"/>
      <c r="BD17" s="492"/>
      <c r="BE17" s="492"/>
      <c r="BF17" s="492"/>
      <c r="BG17" s="492"/>
      <c r="BH17" s="492"/>
      <c r="BI17" s="492"/>
      <c r="BJ17" s="492"/>
      <c r="BK17" s="492"/>
    </row>
    <row r="18" spans="1:69" s="503" customFormat="1" ht="14.5" customHeight="1" x14ac:dyDescent="0.35">
      <c r="A18" s="530"/>
      <c r="B18" s="531"/>
      <c r="C18" s="532"/>
      <c r="D18" s="4360"/>
      <c r="E18" s="4361"/>
      <c r="F18" s="4362"/>
      <c r="G18" s="4362">
        <v>2002</v>
      </c>
      <c r="H18" s="4362">
        <v>2003</v>
      </c>
      <c r="I18" s="4362">
        <v>2004</v>
      </c>
      <c r="J18" s="4362">
        <v>2005</v>
      </c>
      <c r="K18" s="4362">
        <v>2006</v>
      </c>
      <c r="L18" s="4362">
        <v>2007</v>
      </c>
      <c r="M18" s="4362">
        <v>2008</v>
      </c>
      <c r="N18" s="4362">
        <v>2009</v>
      </c>
      <c r="O18" s="4362">
        <v>2010</v>
      </c>
      <c r="P18" s="4362">
        <v>2011</v>
      </c>
      <c r="Q18" s="4362">
        <v>2012</v>
      </c>
      <c r="R18" s="4362">
        <v>2013</v>
      </c>
      <c r="S18" s="4362">
        <v>2014</v>
      </c>
      <c r="T18" s="4362">
        <v>2015</v>
      </c>
      <c r="U18" s="4362">
        <v>2016</v>
      </c>
      <c r="V18" s="4362">
        <v>2017</v>
      </c>
      <c r="W18" s="4363">
        <v>2018</v>
      </c>
      <c r="X18" s="4364">
        <v>2019</v>
      </c>
      <c r="AX18" s="533"/>
    </row>
    <row r="19" spans="1:69" ht="14.5" customHeight="1" x14ac:dyDescent="0.35">
      <c r="D19" s="4365" t="s">
        <v>200</v>
      </c>
      <c r="E19" s="4366"/>
      <c r="F19" s="916"/>
      <c r="G19" s="916">
        <v>36</v>
      </c>
      <c r="H19" s="916">
        <v>36</v>
      </c>
      <c r="I19" s="916">
        <v>37</v>
      </c>
      <c r="J19" s="916">
        <v>34</v>
      </c>
      <c r="K19" s="916">
        <v>37</v>
      </c>
      <c r="L19" s="916">
        <v>47</v>
      </c>
      <c r="M19" s="916">
        <v>51</v>
      </c>
      <c r="N19" s="916">
        <v>52</v>
      </c>
      <c r="O19" s="916">
        <v>62</v>
      </c>
      <c r="P19" s="916">
        <v>61</v>
      </c>
      <c r="Q19" s="916">
        <v>72</v>
      </c>
      <c r="R19" s="916">
        <v>70</v>
      </c>
      <c r="S19" s="916">
        <v>70</v>
      </c>
      <c r="T19" s="916">
        <v>75</v>
      </c>
      <c r="U19" s="4367">
        <v>65</v>
      </c>
      <c r="V19" s="916"/>
      <c r="W19" s="4368"/>
      <c r="X19" s="4369">
        <v>72</v>
      </c>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525"/>
      <c r="AY19" s="492"/>
      <c r="AZ19" s="492"/>
      <c r="BA19" s="492"/>
      <c r="BB19" s="492"/>
      <c r="BC19" s="492"/>
      <c r="BD19" s="492"/>
      <c r="BE19" s="492"/>
      <c r="BF19" s="492"/>
      <c r="BG19" s="492"/>
      <c r="BH19" s="492"/>
      <c r="BI19" s="492"/>
      <c r="BJ19" s="492"/>
      <c r="BK19" s="492"/>
      <c r="BL19" s="492"/>
      <c r="BM19" s="492"/>
      <c r="BN19" s="492"/>
      <c r="BO19" s="492"/>
      <c r="BP19" s="492"/>
      <c r="BQ19" s="492"/>
    </row>
    <row r="20" spans="1:69" x14ac:dyDescent="0.35">
      <c r="D20" s="4370"/>
      <c r="E20" s="4370"/>
      <c r="F20" s="894"/>
      <c r="G20" s="894"/>
      <c r="H20" s="894"/>
      <c r="I20" s="894"/>
      <c r="J20" s="894"/>
      <c r="K20" s="894"/>
      <c r="L20" s="894"/>
      <c r="M20" s="894"/>
      <c r="N20" s="894"/>
      <c r="O20" s="894"/>
      <c r="P20" s="894"/>
      <c r="Q20" s="894"/>
      <c r="R20" s="895"/>
      <c r="S20" s="895"/>
      <c r="T20" s="895"/>
      <c r="U20" s="895"/>
      <c r="V20" s="895"/>
      <c r="W20" s="896"/>
      <c r="X20" s="896"/>
      <c r="Y20" s="492"/>
      <c r="Z20" s="492"/>
      <c r="AA20" s="492"/>
      <c r="AB20" s="492"/>
      <c r="AC20" s="492"/>
      <c r="AD20" s="492"/>
      <c r="AE20" s="492"/>
      <c r="AF20" s="492"/>
      <c r="AG20" s="492"/>
      <c r="AH20" s="492"/>
      <c r="AI20" s="492"/>
      <c r="AJ20" s="492"/>
      <c r="AK20" s="492"/>
      <c r="AL20" s="492"/>
      <c r="AM20" s="492"/>
      <c r="AN20" s="492"/>
      <c r="AO20" s="492"/>
      <c r="AP20" s="492"/>
      <c r="AQ20" s="492"/>
      <c r="AR20" s="492"/>
      <c r="AS20" s="492"/>
      <c r="AT20" s="492"/>
      <c r="AU20" s="492"/>
      <c r="AV20" s="525"/>
      <c r="AW20" s="492"/>
      <c r="AX20" s="492"/>
      <c r="AY20" s="492"/>
      <c r="AZ20" s="492"/>
      <c r="BA20" s="492"/>
      <c r="BB20" s="492"/>
      <c r="BC20" s="492"/>
      <c r="BD20" s="492"/>
      <c r="BE20" s="492"/>
      <c r="BF20" s="492"/>
      <c r="BG20" s="492"/>
      <c r="BH20" s="492"/>
      <c r="BI20" s="492"/>
      <c r="BJ20" s="492"/>
      <c r="BK20" s="492"/>
      <c r="BL20" s="492"/>
      <c r="BM20" s="492"/>
      <c r="BN20" s="492"/>
      <c r="BO20" s="492"/>
    </row>
    <row r="21" spans="1:69" x14ac:dyDescent="0.35">
      <c r="D21" s="893" t="s">
        <v>201</v>
      </c>
      <c r="E21" s="893" t="s">
        <v>202</v>
      </c>
      <c r="F21" s="894"/>
      <c r="G21" s="894"/>
      <c r="H21" s="894"/>
      <c r="I21" s="894"/>
      <c r="J21" s="894"/>
      <c r="K21" s="894"/>
      <c r="L21" s="894"/>
      <c r="M21" s="894"/>
      <c r="N21" s="894"/>
      <c r="O21" s="894"/>
      <c r="P21" s="894"/>
      <c r="Q21" s="894"/>
      <c r="R21" s="895"/>
      <c r="S21" s="895"/>
      <c r="T21" s="895"/>
      <c r="U21" s="895"/>
      <c r="V21" s="895"/>
      <c r="W21" s="896"/>
      <c r="X21" s="896"/>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525"/>
      <c r="AW21" s="492"/>
      <c r="AX21" s="492"/>
      <c r="AY21" s="492"/>
      <c r="AZ21" s="492"/>
      <c r="BA21" s="492"/>
      <c r="BB21" s="492"/>
      <c r="BC21" s="492"/>
      <c r="BD21" s="492"/>
      <c r="BE21" s="492"/>
      <c r="BF21" s="492"/>
      <c r="BG21" s="492"/>
      <c r="BH21" s="492"/>
      <c r="BI21" s="492"/>
      <c r="BJ21" s="492"/>
      <c r="BK21" s="492"/>
      <c r="BL21" s="492"/>
      <c r="BM21" s="492"/>
      <c r="BN21" s="492"/>
      <c r="BO21" s="492"/>
    </row>
    <row r="22" spans="1:69" x14ac:dyDescent="0.35">
      <c r="D22" s="897"/>
      <c r="E22" s="898"/>
      <c r="F22" s="899">
        <v>2001</v>
      </c>
      <c r="G22" s="899">
        <v>2002</v>
      </c>
      <c r="H22" s="899">
        <v>2003</v>
      </c>
      <c r="I22" s="899">
        <v>2004</v>
      </c>
      <c r="J22" s="899">
        <v>2005</v>
      </c>
      <c r="K22" s="899">
        <v>2006</v>
      </c>
      <c r="L22" s="899">
        <v>2007</v>
      </c>
      <c r="M22" s="899">
        <v>2008</v>
      </c>
      <c r="N22" s="899">
        <v>2009</v>
      </c>
      <c r="O22" s="899">
        <v>2010</v>
      </c>
      <c r="P22" s="899">
        <v>2011</v>
      </c>
      <c r="Q22" s="899">
        <v>2012</v>
      </c>
      <c r="R22" s="899">
        <v>2013</v>
      </c>
      <c r="S22" s="899">
        <v>2014</v>
      </c>
      <c r="T22" s="899">
        <v>2015</v>
      </c>
      <c r="U22" s="900">
        <v>2016</v>
      </c>
      <c r="V22" s="900">
        <v>2017</v>
      </c>
      <c r="W22" s="901">
        <v>2018</v>
      </c>
      <c r="X22" s="896"/>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525"/>
      <c r="AX22" s="492"/>
      <c r="AY22" s="492"/>
      <c r="AZ22" s="492"/>
      <c r="BA22" s="492"/>
      <c r="BB22" s="492"/>
      <c r="BC22" s="492"/>
      <c r="BD22" s="492"/>
      <c r="BE22" s="492"/>
      <c r="BF22" s="492"/>
      <c r="BG22" s="492"/>
      <c r="BH22" s="492"/>
      <c r="BI22" s="492"/>
      <c r="BJ22" s="492"/>
      <c r="BK22" s="492"/>
      <c r="BL22" s="492"/>
      <c r="BM22" s="492"/>
      <c r="BN22" s="492"/>
      <c r="BO22" s="492"/>
      <c r="BP22" s="492"/>
    </row>
    <row r="23" spans="1:69" x14ac:dyDescent="0.35">
      <c r="D23" s="902" t="s">
        <v>203</v>
      </c>
      <c r="E23" s="903"/>
      <c r="F23" s="904">
        <v>0.31900000000000001</v>
      </c>
      <c r="G23" s="905"/>
      <c r="H23" s="905"/>
      <c r="I23" s="905"/>
      <c r="J23" s="905"/>
      <c r="K23" s="905"/>
      <c r="L23" s="906">
        <v>0.72699999999999998</v>
      </c>
      <c r="M23" s="907"/>
      <c r="N23" s="894"/>
      <c r="O23" s="894"/>
      <c r="P23" s="906">
        <v>0.88900000000000001</v>
      </c>
      <c r="Q23" s="906"/>
      <c r="R23" s="906"/>
      <c r="S23" s="906"/>
      <c r="T23" s="906"/>
      <c r="U23" s="906"/>
      <c r="V23" s="906"/>
      <c r="W23" s="908"/>
      <c r="X23" s="896"/>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525"/>
      <c r="AX23" s="492"/>
      <c r="AY23" s="492"/>
      <c r="AZ23" s="492"/>
      <c r="BA23" s="492"/>
      <c r="BB23" s="492"/>
      <c r="BC23" s="492"/>
      <c r="BD23" s="492"/>
      <c r="BE23" s="492"/>
      <c r="BF23" s="492"/>
      <c r="BG23" s="492"/>
      <c r="BH23" s="492"/>
      <c r="BI23" s="492"/>
      <c r="BJ23" s="492"/>
      <c r="BK23" s="492"/>
      <c r="BL23" s="492"/>
      <c r="BM23" s="492"/>
      <c r="BN23" s="492"/>
      <c r="BO23" s="492"/>
      <c r="BP23" s="492"/>
    </row>
    <row r="24" spans="1:69" x14ac:dyDescent="0.35">
      <c r="D24" s="902" t="s">
        <v>204</v>
      </c>
      <c r="E24" s="903"/>
      <c r="F24" s="904">
        <v>0.72150000000000003</v>
      </c>
      <c r="G24" s="905"/>
      <c r="H24" s="905"/>
      <c r="I24" s="905"/>
      <c r="J24" s="905"/>
      <c r="K24" s="905"/>
      <c r="L24" s="906">
        <v>0.76500000000000001</v>
      </c>
      <c r="M24" s="907"/>
      <c r="N24" s="894"/>
      <c r="O24" s="894"/>
      <c r="P24" s="906">
        <v>0.67500000000000004</v>
      </c>
      <c r="Q24" s="906"/>
      <c r="R24" s="906"/>
      <c r="S24" s="906"/>
      <c r="T24" s="906"/>
      <c r="U24" s="906"/>
      <c r="V24" s="906"/>
      <c r="W24" s="908"/>
      <c r="X24" s="896"/>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525"/>
      <c r="AX24" s="492"/>
      <c r="AY24" s="492"/>
      <c r="AZ24" s="492"/>
      <c r="BA24" s="492"/>
      <c r="BB24" s="492"/>
      <c r="BC24" s="492"/>
      <c r="BD24" s="492"/>
      <c r="BE24" s="492"/>
      <c r="BF24" s="492"/>
      <c r="BG24" s="492"/>
      <c r="BH24" s="492"/>
      <c r="BI24" s="492"/>
      <c r="BJ24" s="492"/>
      <c r="BK24" s="492"/>
      <c r="BL24" s="492"/>
      <c r="BM24" s="492"/>
      <c r="BN24" s="492"/>
      <c r="BO24" s="492"/>
      <c r="BP24" s="492"/>
    </row>
    <row r="25" spans="1:69" x14ac:dyDescent="0.35">
      <c r="D25" s="902" t="s">
        <v>205</v>
      </c>
      <c r="E25" s="903"/>
      <c r="F25" s="904">
        <v>8.5000000000000006E-2</v>
      </c>
      <c r="G25" s="905"/>
      <c r="H25" s="905"/>
      <c r="I25" s="905"/>
      <c r="J25" s="905"/>
      <c r="K25" s="905"/>
      <c r="L25" s="906">
        <v>0.156</v>
      </c>
      <c r="M25" s="907"/>
      <c r="N25" s="894"/>
      <c r="O25" s="894"/>
      <c r="P25" s="906">
        <v>0.2145</v>
      </c>
      <c r="Q25" s="906"/>
      <c r="R25" s="906"/>
      <c r="S25" s="906"/>
      <c r="T25" s="906"/>
      <c r="U25" s="906"/>
      <c r="V25" s="906"/>
      <c r="W25" s="908"/>
      <c r="X25" s="896"/>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525"/>
      <c r="AX25" s="492"/>
      <c r="AY25" s="492"/>
      <c r="AZ25" s="492"/>
      <c r="BA25" s="492"/>
      <c r="BB25" s="492"/>
      <c r="BC25" s="492"/>
      <c r="BD25" s="492"/>
      <c r="BE25" s="492"/>
      <c r="BF25" s="492"/>
      <c r="BG25" s="492"/>
      <c r="BH25" s="492"/>
      <c r="BI25" s="492"/>
      <c r="BJ25" s="492"/>
      <c r="BK25" s="492"/>
      <c r="BL25" s="492"/>
      <c r="BM25" s="492"/>
      <c r="BN25" s="492"/>
      <c r="BO25" s="492"/>
      <c r="BP25" s="492"/>
    </row>
    <row r="26" spans="1:69" x14ac:dyDescent="0.35">
      <c r="D26" s="902" t="s">
        <v>206</v>
      </c>
      <c r="E26" s="909"/>
      <c r="F26" s="904">
        <v>0.52600000000000002</v>
      </c>
      <c r="G26" s="905"/>
      <c r="H26" s="905"/>
      <c r="I26" s="905"/>
      <c r="J26" s="905"/>
      <c r="K26" s="905"/>
      <c r="L26" s="906">
        <v>0.65500000000000003</v>
      </c>
      <c r="M26" s="907"/>
      <c r="N26" s="894"/>
      <c r="O26" s="894"/>
      <c r="P26" s="906">
        <v>0.745</v>
      </c>
      <c r="Q26" s="906"/>
      <c r="R26" s="906"/>
      <c r="S26" s="906"/>
      <c r="T26" s="906"/>
      <c r="U26" s="906"/>
      <c r="V26" s="906"/>
      <c r="W26" s="908"/>
      <c r="X26" s="896"/>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525"/>
      <c r="AX26" s="492"/>
      <c r="AY26" s="492"/>
      <c r="AZ26" s="492"/>
      <c r="BA26" s="492"/>
      <c r="BB26" s="492"/>
      <c r="BC26" s="492"/>
      <c r="BD26" s="492"/>
      <c r="BE26" s="492"/>
      <c r="BF26" s="492"/>
      <c r="BG26" s="492"/>
      <c r="BH26" s="492"/>
      <c r="BI26" s="492"/>
      <c r="BJ26" s="492"/>
      <c r="BK26" s="492"/>
      <c r="BL26" s="492"/>
      <c r="BM26" s="492"/>
      <c r="BN26" s="492"/>
      <c r="BO26" s="492"/>
      <c r="BP26" s="492"/>
    </row>
    <row r="27" spans="1:69" x14ac:dyDescent="0.35">
      <c r="D27" s="910" t="s">
        <v>207</v>
      </c>
      <c r="E27" s="911"/>
      <c r="F27" s="912">
        <v>23.95</v>
      </c>
      <c r="G27" s="913"/>
      <c r="H27" s="913"/>
      <c r="I27" s="913"/>
      <c r="J27" s="913"/>
      <c r="K27" s="913"/>
      <c r="L27" s="914">
        <v>0.155</v>
      </c>
      <c r="M27" s="915"/>
      <c r="N27" s="916"/>
      <c r="O27" s="916"/>
      <c r="P27" s="914">
        <v>0.14499999999999999</v>
      </c>
      <c r="Q27" s="914"/>
      <c r="R27" s="914"/>
      <c r="S27" s="914"/>
      <c r="T27" s="914"/>
      <c r="U27" s="914"/>
      <c r="V27" s="914"/>
      <c r="W27" s="917"/>
      <c r="X27" s="896"/>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525"/>
      <c r="AX27" s="492"/>
      <c r="AY27" s="492"/>
      <c r="AZ27" s="492"/>
      <c r="BA27" s="492"/>
      <c r="BB27" s="492"/>
      <c r="BC27" s="492"/>
      <c r="BD27" s="492"/>
      <c r="BE27" s="492"/>
      <c r="BF27" s="492"/>
      <c r="BG27" s="492"/>
      <c r="BH27" s="492"/>
      <c r="BI27" s="492"/>
      <c r="BJ27" s="492"/>
      <c r="BK27" s="492"/>
      <c r="BL27" s="492"/>
      <c r="BM27" s="492"/>
      <c r="BN27" s="492"/>
      <c r="BO27" s="492"/>
      <c r="BP27" s="492"/>
    </row>
    <row r="28" spans="1:69" x14ac:dyDescent="0.35">
      <c r="D28" s="918"/>
      <c r="E28" s="909"/>
      <c r="F28" s="919"/>
      <c r="G28" s="905"/>
      <c r="H28" s="905"/>
      <c r="I28" s="905"/>
      <c r="J28" s="905"/>
      <c r="K28" s="905"/>
      <c r="L28" s="906"/>
      <c r="M28" s="907"/>
      <c r="N28" s="894"/>
      <c r="O28" s="894"/>
      <c r="P28" s="906"/>
      <c r="Q28" s="906"/>
      <c r="R28" s="906"/>
      <c r="S28" s="906"/>
      <c r="T28" s="906"/>
      <c r="U28" s="906"/>
      <c r="V28" s="906"/>
      <c r="W28" s="895"/>
      <c r="X28" s="896"/>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525"/>
      <c r="AX28" s="492"/>
      <c r="AY28" s="492"/>
      <c r="AZ28" s="492"/>
      <c r="BA28" s="492"/>
      <c r="BB28" s="492"/>
      <c r="BC28" s="492"/>
      <c r="BD28" s="492"/>
      <c r="BE28" s="492"/>
      <c r="BF28" s="492"/>
      <c r="BG28" s="492"/>
      <c r="BH28" s="492"/>
      <c r="BI28" s="492"/>
      <c r="BJ28" s="492"/>
      <c r="BK28" s="492"/>
      <c r="BL28" s="492"/>
      <c r="BM28" s="492"/>
      <c r="BN28" s="492"/>
      <c r="BO28" s="492"/>
      <c r="BP28" s="492"/>
    </row>
    <row r="29" spans="1:69" x14ac:dyDescent="0.35">
      <c r="D29" s="893" t="s">
        <v>208</v>
      </c>
      <c r="E29" s="893" t="s">
        <v>209</v>
      </c>
      <c r="F29" s="919"/>
      <c r="G29" s="905"/>
      <c r="H29" s="905"/>
      <c r="I29" s="905"/>
      <c r="J29" s="905"/>
      <c r="K29" s="905"/>
      <c r="L29" s="906"/>
      <c r="M29" s="907"/>
      <c r="N29" s="894"/>
      <c r="O29" s="894"/>
      <c r="P29" s="906"/>
      <c r="Q29" s="906"/>
      <c r="R29" s="906"/>
      <c r="S29" s="906"/>
      <c r="T29" s="895"/>
      <c r="U29" s="895"/>
      <c r="V29" s="895"/>
      <c r="W29" s="906"/>
      <c r="X29" s="896"/>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525"/>
      <c r="AW29" s="492"/>
      <c r="AX29" s="492"/>
      <c r="AY29" s="492"/>
      <c r="AZ29" s="492"/>
      <c r="BA29" s="492"/>
      <c r="BB29" s="492"/>
      <c r="BC29" s="492"/>
      <c r="BD29" s="492"/>
      <c r="BE29" s="492"/>
      <c r="BF29" s="492"/>
      <c r="BG29" s="492"/>
      <c r="BH29" s="492"/>
      <c r="BI29" s="492"/>
      <c r="BJ29" s="492"/>
      <c r="BK29" s="492"/>
      <c r="BL29" s="492"/>
      <c r="BM29" s="492"/>
      <c r="BN29" s="492"/>
      <c r="BO29" s="492"/>
    </row>
    <row r="30" spans="1:69" x14ac:dyDescent="0.35">
      <c r="D30" s="897" t="s">
        <v>203</v>
      </c>
      <c r="E30" s="920"/>
      <c r="F30" s="921"/>
      <c r="G30" s="922">
        <v>0.35688851200000005</v>
      </c>
      <c r="H30" s="923">
        <v>0.412909256</v>
      </c>
      <c r="I30" s="923">
        <v>0.50041365300000007</v>
      </c>
      <c r="J30" s="923">
        <v>0.61948103399999999</v>
      </c>
      <c r="K30" s="923">
        <v>0.68213298100000008</v>
      </c>
      <c r="L30" s="924">
        <v>0.73932118099999999</v>
      </c>
      <c r="M30" s="925">
        <v>0.77777310399999999</v>
      </c>
      <c r="N30" s="926">
        <v>0.83576974900000001</v>
      </c>
      <c r="O30" s="926">
        <v>0.86883918100000002</v>
      </c>
      <c r="P30" s="927">
        <v>0.89684816299999992</v>
      </c>
      <c r="Q30" s="928">
        <v>0.92921465600000008</v>
      </c>
      <c r="R30" s="929">
        <v>0.9475415479999999</v>
      </c>
      <c r="S30" s="930">
        <v>0.95637434499999996</v>
      </c>
      <c r="T30" s="929">
        <v>0.96350349199999996</v>
      </c>
      <c r="U30" s="930">
        <v>0.87</v>
      </c>
      <c r="V30" s="930">
        <v>0.88200000000000001</v>
      </c>
      <c r="W30" s="931">
        <v>0.89500000000000002</v>
      </c>
      <c r="X30" s="896"/>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525"/>
      <c r="AX30" s="492"/>
      <c r="AY30" s="492"/>
      <c r="AZ30" s="492"/>
      <c r="BA30" s="492"/>
      <c r="BB30" s="492"/>
      <c r="BC30" s="492"/>
      <c r="BD30" s="492"/>
      <c r="BE30" s="492"/>
      <c r="BF30" s="492"/>
      <c r="BG30" s="492"/>
      <c r="BH30" s="492"/>
      <c r="BI30" s="492"/>
      <c r="BJ30" s="492"/>
      <c r="BK30" s="492"/>
      <c r="BL30" s="492"/>
      <c r="BM30" s="492"/>
      <c r="BN30" s="492"/>
      <c r="BO30" s="492"/>
      <c r="BP30" s="492"/>
    </row>
    <row r="31" spans="1:69" x14ac:dyDescent="0.35">
      <c r="D31" s="902" t="s">
        <v>204</v>
      </c>
      <c r="E31" s="903"/>
      <c r="F31" s="904"/>
      <c r="G31" s="932">
        <v>0.79702511499999995</v>
      </c>
      <c r="H31" s="932">
        <v>0.80849722299999993</v>
      </c>
      <c r="I31" s="932">
        <v>0.80900786899999999</v>
      </c>
      <c r="J31" s="932">
        <v>0.78925426900000006</v>
      </c>
      <c r="K31" s="932">
        <v>0.78628499500000004</v>
      </c>
      <c r="L31" s="932">
        <v>0.79513746100000005</v>
      </c>
      <c r="M31" s="932">
        <v>0.77531083699999992</v>
      </c>
      <c r="N31" s="894"/>
      <c r="O31" s="932">
        <v>0.77116662300000005</v>
      </c>
      <c r="P31" s="932">
        <v>0.76174881699999997</v>
      </c>
      <c r="Q31" s="906"/>
      <c r="R31" s="933">
        <v>0.84781977999999991</v>
      </c>
      <c r="S31" s="896"/>
      <c r="T31" s="933">
        <v>0.17426503900000001</v>
      </c>
      <c r="U31" s="932"/>
      <c r="V31" s="932"/>
      <c r="W31" s="908"/>
      <c r="X31" s="896"/>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525"/>
      <c r="AX31" s="492"/>
      <c r="AY31" s="492"/>
      <c r="AZ31" s="492"/>
      <c r="BA31" s="492"/>
      <c r="BB31" s="492"/>
      <c r="BC31" s="492"/>
      <c r="BD31" s="492"/>
      <c r="BE31" s="492"/>
      <c r="BF31" s="492"/>
      <c r="BG31" s="492"/>
      <c r="BH31" s="492"/>
      <c r="BI31" s="492"/>
      <c r="BJ31" s="492"/>
      <c r="BK31" s="492"/>
      <c r="BL31" s="492"/>
      <c r="BM31" s="492"/>
      <c r="BN31" s="492"/>
      <c r="BO31" s="492"/>
      <c r="BP31" s="492"/>
    </row>
    <row r="32" spans="1:69" x14ac:dyDescent="0.35">
      <c r="D32" s="902" t="s">
        <v>205</v>
      </c>
      <c r="E32" s="903"/>
      <c r="F32" s="904"/>
      <c r="G32" s="905"/>
      <c r="H32" s="905"/>
      <c r="I32" s="905"/>
      <c r="J32" s="905"/>
      <c r="K32" s="905"/>
      <c r="L32" s="934">
        <v>0.15600550699999999</v>
      </c>
      <c r="M32" s="907"/>
      <c r="N32" s="894"/>
      <c r="O32" s="894"/>
      <c r="P32" s="906"/>
      <c r="Q32" s="906">
        <v>0.19221838999999999</v>
      </c>
      <c r="R32" s="906">
        <v>0.19141688099999998</v>
      </c>
      <c r="S32" s="906">
        <v>0.20771941999999999</v>
      </c>
      <c r="T32" s="906">
        <v>0.20126053499999999</v>
      </c>
      <c r="U32" s="906">
        <v>0.214</v>
      </c>
      <c r="V32" s="906">
        <v>0.22</v>
      </c>
      <c r="W32" s="935">
        <v>0.215</v>
      </c>
      <c r="X32" s="896"/>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525"/>
      <c r="AX32" s="492"/>
      <c r="AY32" s="492"/>
      <c r="AZ32" s="492"/>
      <c r="BA32" s="492"/>
      <c r="BB32" s="492"/>
      <c r="BC32" s="492"/>
      <c r="BD32" s="492"/>
      <c r="BE32" s="492"/>
      <c r="BF32" s="492"/>
      <c r="BG32" s="492"/>
      <c r="BH32" s="492"/>
      <c r="BI32" s="492"/>
      <c r="BJ32" s="492"/>
      <c r="BK32" s="492"/>
      <c r="BL32" s="492"/>
      <c r="BM32" s="492"/>
      <c r="BN32" s="492"/>
      <c r="BO32" s="492"/>
      <c r="BP32" s="492"/>
    </row>
    <row r="33" spans="1:68" x14ac:dyDescent="0.35">
      <c r="D33" s="902" t="s">
        <v>206</v>
      </c>
      <c r="E33" s="909"/>
      <c r="F33" s="904"/>
      <c r="G33" s="936">
        <v>0.57567518100000004</v>
      </c>
      <c r="H33" s="936">
        <v>0.59254396100000006</v>
      </c>
      <c r="I33" s="937">
        <v>0.59925978000000002</v>
      </c>
      <c r="J33" s="937">
        <v>0.60641471400000002</v>
      </c>
      <c r="K33" s="937">
        <v>0.64851322700000003</v>
      </c>
      <c r="L33" s="906">
        <v>0.66745162699999994</v>
      </c>
      <c r="M33" s="938">
        <v>0.69533075600000005</v>
      </c>
      <c r="N33" s="894"/>
      <c r="O33" s="939">
        <v>0.75521570800000004</v>
      </c>
      <c r="P33" s="906">
        <v>0.77721346000000002</v>
      </c>
      <c r="Q33" s="940">
        <v>0.77721346000000002</v>
      </c>
      <c r="R33" s="936">
        <v>0.79229503600000006</v>
      </c>
      <c r="S33" s="936">
        <v>0.80932900099999994</v>
      </c>
      <c r="T33" s="936">
        <v>0.80382913200000006</v>
      </c>
      <c r="U33" s="932">
        <v>0.81499999999999995</v>
      </c>
      <c r="V33" s="932">
        <v>0.82</v>
      </c>
      <c r="W33" s="941">
        <v>0.82199999999999995</v>
      </c>
      <c r="X33" s="896"/>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525"/>
      <c r="AX33" s="492"/>
      <c r="AY33" s="492"/>
      <c r="AZ33" s="492"/>
      <c r="BA33" s="492"/>
      <c r="BB33" s="492"/>
      <c r="BC33" s="492"/>
      <c r="BD33" s="492"/>
      <c r="BE33" s="492"/>
      <c r="BF33" s="492"/>
      <c r="BG33" s="492"/>
      <c r="BH33" s="492"/>
      <c r="BI33" s="492"/>
      <c r="BJ33" s="492"/>
      <c r="BK33" s="492"/>
      <c r="BL33" s="492"/>
      <c r="BM33" s="492"/>
      <c r="BN33" s="492"/>
      <c r="BO33" s="492"/>
      <c r="BP33" s="492"/>
    </row>
    <row r="34" spans="1:68" x14ac:dyDescent="0.35">
      <c r="D34" s="910" t="s">
        <v>207</v>
      </c>
      <c r="E34" s="911"/>
      <c r="F34" s="912"/>
      <c r="G34" s="942">
        <v>0.25679812499999999</v>
      </c>
      <c r="H34" s="942">
        <v>0.23536975800000001</v>
      </c>
      <c r="I34" s="942">
        <v>0.22703006100000001</v>
      </c>
      <c r="J34" s="942">
        <v>0.21212214899999998</v>
      </c>
      <c r="K34" s="942">
        <v>0.19598807900000001</v>
      </c>
      <c r="L34" s="942">
        <v>0.181165305</v>
      </c>
      <c r="M34" s="942">
        <v>0.178794335</v>
      </c>
      <c r="N34" s="942">
        <v>0.16526255200000001</v>
      </c>
      <c r="O34" s="942">
        <v>0.16333753099999998</v>
      </c>
      <c r="P34" s="914">
        <v>0.15137735699999999</v>
      </c>
      <c r="Q34" s="914">
        <v>0.14106903300000001</v>
      </c>
      <c r="R34" s="914">
        <v>0.12986304000000001</v>
      </c>
      <c r="S34" s="914">
        <v>0.12703294800000001</v>
      </c>
      <c r="T34" s="914">
        <v>0.10944050399999999</v>
      </c>
      <c r="U34" s="914">
        <v>1E-3</v>
      </c>
      <c r="V34" s="914">
        <v>1E-3</v>
      </c>
      <c r="W34" s="943">
        <v>1E-3</v>
      </c>
      <c r="X34" s="896"/>
      <c r="Y34" s="492"/>
      <c r="Z34" s="492"/>
      <c r="AA34" s="492"/>
      <c r="AB34" s="537"/>
      <c r="AC34" s="492"/>
      <c r="AD34" s="492"/>
      <c r="AE34" s="492"/>
      <c r="AF34" s="492"/>
      <c r="AG34" s="492"/>
      <c r="AH34" s="492"/>
      <c r="AI34" s="492"/>
      <c r="AJ34" s="492"/>
      <c r="AK34" s="492"/>
      <c r="AL34" s="492"/>
      <c r="AM34" s="492"/>
      <c r="AN34" s="492"/>
      <c r="AO34" s="492"/>
      <c r="AP34" s="492"/>
      <c r="AQ34" s="492"/>
      <c r="AR34" s="492"/>
      <c r="AS34" s="492"/>
      <c r="AT34" s="492"/>
      <c r="AU34" s="492"/>
      <c r="AV34" s="492"/>
      <c r="AW34" s="525"/>
      <c r="AX34" s="492"/>
      <c r="AY34" s="492"/>
      <c r="AZ34" s="492"/>
      <c r="BA34" s="492"/>
      <c r="BB34" s="492"/>
      <c r="BC34" s="492"/>
      <c r="BD34" s="492"/>
      <c r="BE34" s="492"/>
      <c r="BF34" s="492"/>
      <c r="BG34" s="492"/>
      <c r="BH34" s="492"/>
      <c r="BI34" s="492"/>
      <c r="BJ34" s="492"/>
      <c r="BK34" s="492"/>
      <c r="BL34" s="492"/>
      <c r="BM34" s="492"/>
      <c r="BN34" s="492"/>
      <c r="BO34" s="492"/>
      <c r="BP34" s="492"/>
    </row>
    <row r="35" spans="1:68" x14ac:dyDescent="0.35">
      <c r="D35" s="534"/>
      <c r="E35" s="534"/>
      <c r="F35" s="535"/>
      <c r="G35" s="535"/>
      <c r="H35" s="535"/>
      <c r="I35" s="535"/>
      <c r="J35" s="535"/>
      <c r="K35" s="535"/>
      <c r="L35" s="535"/>
      <c r="M35" s="535"/>
      <c r="N35" s="535"/>
      <c r="O35" s="535"/>
      <c r="P35" s="535"/>
      <c r="Q35" s="536"/>
      <c r="R35" s="527"/>
      <c r="S35" s="527"/>
      <c r="T35" s="527"/>
      <c r="U35" s="527"/>
      <c r="V35" s="527"/>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525"/>
      <c r="AW35" s="492"/>
      <c r="AX35" s="492"/>
      <c r="AY35" s="492"/>
      <c r="AZ35" s="492"/>
      <c r="BA35" s="492"/>
      <c r="BB35" s="492"/>
      <c r="BC35" s="492"/>
      <c r="BD35" s="492"/>
      <c r="BE35" s="492"/>
      <c r="BF35" s="492"/>
      <c r="BG35" s="492"/>
      <c r="BH35" s="492"/>
      <c r="BI35" s="492"/>
      <c r="BJ35" s="492"/>
      <c r="BK35" s="492"/>
      <c r="BL35" s="492"/>
      <c r="BM35" s="492"/>
      <c r="BN35" s="492"/>
      <c r="BO35" s="492"/>
    </row>
    <row r="36" spans="1:68" x14ac:dyDescent="0.35">
      <c r="D36" s="534"/>
      <c r="E36" s="534"/>
      <c r="F36" s="534"/>
      <c r="G36" s="527"/>
      <c r="H36" s="527"/>
      <c r="I36" s="528"/>
      <c r="J36" s="527"/>
      <c r="K36" s="527"/>
      <c r="L36" s="527"/>
      <c r="M36" s="527"/>
      <c r="N36" s="527"/>
      <c r="O36" s="527"/>
      <c r="P36" s="529"/>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525"/>
      <c r="AS36" s="492"/>
      <c r="AT36" s="492"/>
      <c r="AU36" s="492"/>
      <c r="AV36" s="492"/>
      <c r="AW36" s="492"/>
      <c r="AX36" s="492"/>
      <c r="AY36" s="492"/>
      <c r="AZ36" s="492"/>
      <c r="BA36" s="492"/>
      <c r="BB36" s="492"/>
      <c r="BC36" s="492"/>
      <c r="BD36" s="492"/>
      <c r="BE36" s="492"/>
      <c r="BF36" s="492"/>
      <c r="BG36" s="492"/>
      <c r="BH36" s="492"/>
      <c r="BI36" s="492"/>
      <c r="BJ36" s="492"/>
      <c r="BK36" s="492"/>
    </row>
    <row r="37" spans="1:68" x14ac:dyDescent="0.35">
      <c r="A37" s="489">
        <v>5</v>
      </c>
      <c r="B37" s="490" t="s">
        <v>58</v>
      </c>
      <c r="C37" s="489"/>
      <c r="D37" s="4705" t="s">
        <v>210</v>
      </c>
      <c r="E37" s="4706"/>
      <c r="F37" s="4706"/>
      <c r="G37" s="4706"/>
      <c r="H37" s="4706"/>
      <c r="I37" s="4706"/>
      <c r="J37" s="4706"/>
      <c r="K37" s="4706"/>
      <c r="L37" s="4706"/>
      <c r="M37" s="4706"/>
      <c r="N37" s="4706"/>
      <c r="O37" s="4706"/>
      <c r="P37" s="4706"/>
      <c r="Q37" s="4706"/>
      <c r="R37" s="4706"/>
      <c r="S37" s="4706"/>
      <c r="T37" s="4706"/>
      <c r="U37" s="4706"/>
      <c r="V37" s="4706"/>
      <c r="W37" s="4707"/>
      <c r="AR37" s="525"/>
    </row>
    <row r="38" spans="1:68" ht="81" customHeight="1" x14ac:dyDescent="0.35">
      <c r="A38" s="538">
        <v>6</v>
      </c>
      <c r="B38" s="539" t="s">
        <v>60</v>
      </c>
      <c r="C38" s="538"/>
      <c r="D38" s="4697" t="s">
        <v>211</v>
      </c>
      <c r="E38" s="4698"/>
      <c r="F38" s="4698"/>
      <c r="G38" s="4698"/>
      <c r="H38" s="4698"/>
      <c r="I38" s="4698"/>
      <c r="J38" s="4698"/>
      <c r="K38" s="4698"/>
      <c r="L38" s="4698"/>
      <c r="M38" s="4698"/>
      <c r="N38" s="4698"/>
      <c r="O38" s="4698"/>
      <c r="P38" s="4698"/>
      <c r="Q38" s="4698"/>
      <c r="R38" s="4698"/>
      <c r="S38" s="4698"/>
      <c r="T38" s="4698"/>
      <c r="U38" s="4698"/>
      <c r="V38" s="4698"/>
      <c r="W38" s="4699"/>
      <c r="AR38" s="525"/>
    </row>
    <row r="39" spans="1:68" ht="50.75" customHeight="1" x14ac:dyDescent="0.35">
      <c r="A39" s="489">
        <v>7</v>
      </c>
      <c r="B39" s="490" t="s">
        <v>62</v>
      </c>
      <c r="C39" s="489"/>
      <c r="D39" s="4697" t="s">
        <v>212</v>
      </c>
      <c r="E39" s="4698"/>
      <c r="F39" s="4698"/>
      <c r="G39" s="4698"/>
      <c r="H39" s="4698"/>
      <c r="I39" s="4698"/>
      <c r="J39" s="4698"/>
      <c r="K39" s="4698"/>
      <c r="L39" s="4698"/>
      <c r="M39" s="4698"/>
      <c r="N39" s="4698"/>
      <c r="O39" s="4698"/>
      <c r="P39" s="4698"/>
      <c r="Q39" s="4698"/>
      <c r="R39" s="4698"/>
      <c r="S39" s="4698"/>
      <c r="T39" s="4698"/>
      <c r="U39" s="4698"/>
      <c r="V39" s="4698"/>
      <c r="W39" s="4699"/>
      <c r="AR39" s="525"/>
    </row>
    <row r="40" spans="1:68" ht="51" customHeight="1" x14ac:dyDescent="0.35">
      <c r="A40" s="489">
        <v>8</v>
      </c>
      <c r="B40" s="490" t="s">
        <v>64</v>
      </c>
      <c r="C40" s="489"/>
      <c r="D40" s="4697" t="s">
        <v>213</v>
      </c>
      <c r="E40" s="4698"/>
      <c r="F40" s="4698"/>
      <c r="G40" s="4698"/>
      <c r="H40" s="4698"/>
      <c r="I40" s="4698"/>
      <c r="J40" s="4698"/>
      <c r="K40" s="4698"/>
      <c r="L40" s="4698"/>
      <c r="M40" s="4698"/>
      <c r="N40" s="4698"/>
      <c r="O40" s="4698"/>
      <c r="P40" s="4698"/>
      <c r="Q40" s="4698"/>
      <c r="R40" s="4698"/>
      <c r="S40" s="4698"/>
      <c r="T40" s="4698"/>
      <c r="U40" s="4698"/>
      <c r="V40" s="4698"/>
      <c r="W40" s="4699"/>
      <c r="AR40" s="525"/>
    </row>
    <row r="41" spans="1:68" x14ac:dyDescent="0.35">
      <c r="Q41" s="488" t="s">
        <v>57</v>
      </c>
    </row>
    <row r="45" spans="1:68" x14ac:dyDescent="0.35">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row>
    <row r="46" spans="1:68" x14ac:dyDescent="0.35">
      <c r="BE46" s="540"/>
      <c r="BF46" s="540"/>
      <c r="BG46" s="540"/>
      <c r="BH46" s="540"/>
      <c r="BI46" s="540"/>
      <c r="BJ46" s="540"/>
    </row>
    <row r="47" spans="1:68" x14ac:dyDescent="0.35">
      <c r="BE47" s="541"/>
      <c r="BF47" s="541"/>
      <c r="BG47" s="541"/>
      <c r="BH47" s="541"/>
      <c r="BI47" s="541"/>
      <c r="BJ47" s="541"/>
    </row>
    <row r="50" spans="2:29" x14ac:dyDescent="0.35">
      <c r="B50" s="490"/>
      <c r="C50" s="489"/>
      <c r="H50" s="542"/>
      <c r="I50" s="542"/>
      <c r="J50" s="542"/>
      <c r="K50" s="542"/>
      <c r="L50" s="542"/>
      <c r="M50" s="542"/>
      <c r="N50" s="542"/>
      <c r="O50" s="542"/>
    </row>
    <row r="51" spans="2:29" x14ac:dyDescent="0.35">
      <c r="B51" s="490"/>
      <c r="C51" s="489"/>
      <c r="H51" s="542"/>
      <c r="I51" s="542"/>
      <c r="J51" s="542"/>
      <c r="K51" s="542"/>
      <c r="L51" s="542"/>
      <c r="M51" s="542"/>
      <c r="N51" s="542"/>
      <c r="O51" s="542"/>
    </row>
    <row r="52" spans="2:29" x14ac:dyDescent="0.35">
      <c r="B52" s="490"/>
      <c r="C52" s="489"/>
      <c r="H52" s="542"/>
      <c r="I52" s="542"/>
      <c r="J52" s="542"/>
      <c r="K52" s="542"/>
      <c r="L52" s="543"/>
      <c r="M52" s="542"/>
      <c r="N52" s="542"/>
      <c r="O52" s="542"/>
    </row>
    <row r="53" spans="2:29" x14ac:dyDescent="0.35">
      <c r="B53" s="490"/>
      <c r="C53" s="489"/>
      <c r="H53" s="542"/>
      <c r="I53" s="542"/>
      <c r="J53" s="542"/>
      <c r="K53" s="542"/>
      <c r="L53" s="543"/>
      <c r="M53" s="542"/>
      <c r="N53" s="542"/>
      <c r="O53" s="542"/>
    </row>
    <row r="54" spans="2:29" x14ac:dyDescent="0.35">
      <c r="B54" s="490"/>
      <c r="C54" s="489"/>
      <c r="H54" s="542"/>
      <c r="I54" s="542"/>
      <c r="J54" s="542"/>
      <c r="K54" s="542"/>
      <c r="L54" s="542"/>
      <c r="M54" s="542"/>
      <c r="N54" s="542"/>
      <c r="O54" s="542"/>
    </row>
    <row r="55" spans="2:29" x14ac:dyDescent="0.35">
      <c r="B55" s="490"/>
      <c r="C55" s="489"/>
      <c r="H55" s="542"/>
      <c r="I55" s="542"/>
      <c r="J55" s="542"/>
      <c r="K55" s="542"/>
      <c r="L55" s="542"/>
      <c r="M55" s="542"/>
      <c r="N55" s="542"/>
      <c r="O55" s="542"/>
    </row>
    <row r="56" spans="2:29" x14ac:dyDescent="0.35">
      <c r="B56" s="490"/>
      <c r="C56" s="489"/>
      <c r="H56" s="542"/>
      <c r="I56" s="542"/>
      <c r="J56" s="542"/>
      <c r="K56" s="542"/>
      <c r="L56" s="542"/>
      <c r="M56" s="542"/>
      <c r="N56" s="542"/>
      <c r="O56" s="542"/>
    </row>
    <row r="57" spans="2:29" x14ac:dyDescent="0.35">
      <c r="B57" s="490"/>
      <c r="C57" s="489"/>
      <c r="H57" s="542"/>
      <c r="I57" s="542"/>
      <c r="J57" s="542"/>
      <c r="K57" s="542"/>
      <c r="L57" s="542"/>
      <c r="M57" s="542"/>
      <c r="N57" s="542"/>
      <c r="O57" s="542"/>
    </row>
    <row r="58" spans="2:29" x14ac:dyDescent="0.35">
      <c r="B58" s="490"/>
      <c r="C58" s="4518"/>
      <c r="D58" s="4519">
        <v>2000</v>
      </c>
      <c r="E58" s="4519">
        <v>2001</v>
      </c>
      <c r="F58" s="4519">
        <v>2002</v>
      </c>
      <c r="G58" s="4519">
        <v>2003</v>
      </c>
      <c r="H58" s="4519">
        <v>2004</v>
      </c>
      <c r="I58" s="4519">
        <v>2005</v>
      </c>
      <c r="J58" s="4519">
        <v>2006</v>
      </c>
      <c r="K58" s="4519">
        <v>2007</v>
      </c>
      <c r="L58" s="4519">
        <v>2008</v>
      </c>
      <c r="M58" s="4519">
        <v>2009</v>
      </c>
      <c r="N58" s="4519">
        <v>2010</v>
      </c>
      <c r="O58" s="4519">
        <v>2011</v>
      </c>
      <c r="P58" s="4519">
        <v>2012</v>
      </c>
      <c r="Q58" s="4519">
        <v>2013</v>
      </c>
      <c r="R58" s="4519">
        <v>2014</v>
      </c>
      <c r="S58" s="4519">
        <v>2015</v>
      </c>
      <c r="T58" s="4520">
        <v>2016</v>
      </c>
      <c r="U58" s="4520">
        <v>2017</v>
      </c>
      <c r="V58" s="4520">
        <v>2018</v>
      </c>
      <c r="W58" s="4520">
        <v>2019</v>
      </c>
    </row>
    <row r="59" spans="2:29" ht="44.5" customHeight="1" x14ac:dyDescent="0.35">
      <c r="B59" s="519"/>
      <c r="C59" s="4521" t="s">
        <v>198</v>
      </c>
      <c r="D59" s="4522"/>
      <c r="E59" s="4522"/>
      <c r="F59" s="4523">
        <v>5.6755628402932103E-3</v>
      </c>
      <c r="G59" s="4523">
        <v>4.2630729673008898E-2</v>
      </c>
      <c r="H59" s="4523">
        <v>0.124359045705991</v>
      </c>
      <c r="I59" s="4523">
        <v>0.338566194187018</v>
      </c>
      <c r="J59" s="4523">
        <v>0.67885108396137095</v>
      </c>
      <c r="K59" s="4523">
        <v>0.75770968096994695</v>
      </c>
      <c r="L59" s="4523">
        <v>0.9</v>
      </c>
      <c r="M59" s="4523">
        <v>1</v>
      </c>
      <c r="N59" s="4523">
        <v>1.5</v>
      </c>
      <c r="O59" s="4523">
        <v>1.7354362458124699</v>
      </c>
      <c r="P59" s="4523">
        <v>2.0891270428306701</v>
      </c>
      <c r="Q59" s="4523">
        <v>3.0040696038171499</v>
      </c>
      <c r="R59" s="4523">
        <v>3.1285779640620901</v>
      </c>
      <c r="S59" s="4523">
        <v>2.5489523880145502</v>
      </c>
      <c r="T59" s="4524">
        <v>2</v>
      </c>
      <c r="U59" s="4524">
        <v>1.9701698074273499</v>
      </c>
      <c r="V59" s="4524">
        <v>1.9</v>
      </c>
      <c r="W59" s="4524">
        <v>2.1</v>
      </c>
    </row>
    <row r="60" spans="2:29" x14ac:dyDescent="0.35">
      <c r="B60" s="490"/>
      <c r="C60" s="489"/>
      <c r="AC60" s="488" t="s">
        <v>67</v>
      </c>
    </row>
    <row r="61" spans="2:29" x14ac:dyDescent="0.35">
      <c r="B61" s="490"/>
      <c r="C61" s="4518"/>
      <c r="D61" s="4519">
        <v>2000</v>
      </c>
      <c r="E61" s="4519">
        <v>2001</v>
      </c>
      <c r="F61" s="4519">
        <v>2002</v>
      </c>
      <c r="G61" s="4519">
        <v>2003</v>
      </c>
      <c r="H61" s="4519">
        <v>2004</v>
      </c>
      <c r="I61" s="4519">
        <v>2005</v>
      </c>
      <c r="J61" s="4519">
        <v>2006</v>
      </c>
      <c r="K61" s="4519">
        <v>2007</v>
      </c>
      <c r="L61" s="4519">
        <v>2008</v>
      </c>
      <c r="M61" s="4519">
        <v>2009</v>
      </c>
      <c r="N61" s="4519">
        <v>2010</v>
      </c>
      <c r="O61" s="4519">
        <v>2011</v>
      </c>
      <c r="P61" s="4519">
        <v>2012</v>
      </c>
      <c r="Q61" s="4519">
        <v>2013</v>
      </c>
      <c r="R61" s="4519">
        <v>2014</v>
      </c>
      <c r="S61" s="4519">
        <v>2015</v>
      </c>
      <c r="T61" s="4520">
        <v>2016</v>
      </c>
      <c r="U61" s="4520">
        <v>2017</v>
      </c>
      <c r="V61" s="4520">
        <v>2018</v>
      </c>
      <c r="W61" s="4520">
        <v>2019</v>
      </c>
    </row>
    <row r="62" spans="2:29" ht="53.5" x14ac:dyDescent="0.35">
      <c r="B62" s="490"/>
      <c r="C62" s="4521" t="s">
        <v>196</v>
      </c>
      <c r="D62" s="4523">
        <v>18.5</v>
      </c>
      <c r="E62" s="4523">
        <v>23.7</v>
      </c>
      <c r="F62" s="4523">
        <v>29.7</v>
      </c>
      <c r="G62" s="4523">
        <v>36.1</v>
      </c>
      <c r="H62" s="4523">
        <v>44.1</v>
      </c>
      <c r="I62" s="4523">
        <v>70.900000000000006</v>
      </c>
      <c r="J62" s="4523">
        <v>81.8</v>
      </c>
      <c r="K62" s="4523">
        <v>86.1</v>
      </c>
      <c r="L62" s="4523">
        <v>90.4</v>
      </c>
      <c r="M62" s="4523">
        <v>92</v>
      </c>
      <c r="N62" s="4523">
        <v>98.4</v>
      </c>
      <c r="O62" s="4523">
        <v>123.1</v>
      </c>
      <c r="P62" s="4523">
        <v>129.5</v>
      </c>
      <c r="Q62" s="4523">
        <v>143.19999999999999</v>
      </c>
      <c r="R62" s="4523">
        <v>145.36368648737599</v>
      </c>
      <c r="S62" s="4523">
        <v>158.9</v>
      </c>
      <c r="T62" s="4524">
        <v>146.6</v>
      </c>
      <c r="U62" s="4524">
        <v>155.23239566224399</v>
      </c>
      <c r="V62" s="4524">
        <v>159.9</v>
      </c>
      <c r="W62" s="4524">
        <v>165.6</v>
      </c>
    </row>
    <row r="63" spans="2:29" x14ac:dyDescent="0.35">
      <c r="B63" s="490"/>
      <c r="C63" s="505"/>
      <c r="D63" s="510"/>
      <c r="E63" s="510"/>
      <c r="F63" s="510"/>
      <c r="G63" s="510"/>
      <c r="H63" s="510"/>
      <c r="I63" s="510"/>
      <c r="J63" s="510"/>
      <c r="K63" s="510"/>
      <c r="L63" s="510"/>
      <c r="M63" s="510"/>
      <c r="N63" s="510"/>
      <c r="O63" s="510"/>
      <c r="P63" s="510"/>
      <c r="Q63" s="510"/>
      <c r="R63" s="511"/>
      <c r="S63" s="511"/>
      <c r="T63" s="511"/>
      <c r="U63" s="512"/>
    </row>
    <row r="64" spans="2:29" x14ac:dyDescent="0.35">
      <c r="B64" s="490"/>
      <c r="C64" s="489"/>
    </row>
    <row r="65" spans="2:31" x14ac:dyDescent="0.35">
      <c r="B65" s="490"/>
      <c r="C65" s="489"/>
    </row>
    <row r="66" spans="2:31" x14ac:dyDescent="0.35">
      <c r="B66" s="490"/>
      <c r="C66" s="489"/>
    </row>
    <row r="67" spans="2:31" x14ac:dyDescent="0.35">
      <c r="B67" s="490"/>
      <c r="C67" s="489"/>
    </row>
    <row r="68" spans="2:31" x14ac:dyDescent="0.35">
      <c r="B68" s="490"/>
      <c r="C68" s="489"/>
      <c r="D68" s="544"/>
      <c r="E68" s="544"/>
      <c r="F68" s="544"/>
      <c r="G68" s="4700"/>
      <c r="H68" s="4701"/>
      <c r="I68" s="4701"/>
      <c r="J68" s="4701"/>
      <c r="K68" s="4701"/>
      <c r="L68" s="4701"/>
      <c r="M68" s="4701"/>
      <c r="N68" s="4701"/>
      <c r="O68" s="4701"/>
      <c r="P68" s="4701"/>
      <c r="Q68" s="4701"/>
      <c r="R68" s="4701"/>
      <c r="S68" s="4701"/>
      <c r="T68" s="4701"/>
      <c r="U68" s="4701"/>
      <c r="V68" s="4701"/>
      <c r="W68" s="4701"/>
      <c r="X68" s="4701"/>
      <c r="Y68" s="4701"/>
      <c r="Z68" s="4701"/>
      <c r="AA68" s="4701"/>
      <c r="AB68" s="4701"/>
      <c r="AC68" s="4701"/>
      <c r="AD68" s="4701"/>
      <c r="AE68" s="4702"/>
    </row>
    <row r="69" spans="2:31" x14ac:dyDescent="0.35">
      <c r="B69" s="545"/>
      <c r="C69" s="546"/>
      <c r="D69" s="547"/>
      <c r="E69" s="547"/>
      <c r="F69" s="547"/>
      <c r="G69" s="4703"/>
      <c r="H69" s="4704"/>
      <c r="I69" s="4704"/>
      <c r="J69" s="4704"/>
      <c r="K69" s="4704"/>
      <c r="L69" s="4704"/>
      <c r="M69" s="4704"/>
      <c r="N69" s="4704"/>
      <c r="O69" s="4704"/>
      <c r="P69" s="4704"/>
      <c r="Q69" s="4704"/>
      <c r="R69" s="4704"/>
      <c r="S69" s="4704"/>
      <c r="T69" s="4704"/>
      <c r="U69" s="4704"/>
      <c r="V69" s="4704"/>
      <c r="W69" s="4704"/>
      <c r="X69" s="548"/>
      <c r="Y69" s="548"/>
      <c r="Z69" s="548"/>
      <c r="AA69" s="548"/>
      <c r="AB69" s="548"/>
      <c r="AC69" s="548"/>
      <c r="AD69" s="548"/>
      <c r="AE69" s="549"/>
    </row>
    <row r="70" spans="2:31" x14ac:dyDescent="0.35">
      <c r="B70" s="550"/>
      <c r="C70" s="551"/>
      <c r="D70" s="552"/>
      <c r="E70" s="552"/>
      <c r="F70" s="552"/>
      <c r="G70" s="4700"/>
      <c r="H70" s="4701"/>
      <c r="I70" s="4701"/>
      <c r="J70" s="4701"/>
      <c r="K70" s="4701"/>
      <c r="L70" s="4701"/>
      <c r="M70" s="4701"/>
      <c r="N70" s="4701"/>
      <c r="O70" s="4701"/>
      <c r="P70" s="4701"/>
      <c r="Q70" s="4701"/>
      <c r="R70" s="4701"/>
      <c r="S70" s="4701"/>
      <c r="T70" s="4701"/>
      <c r="U70" s="4701"/>
      <c r="V70" s="4701"/>
      <c r="W70" s="4701"/>
      <c r="X70" s="548"/>
      <c r="Y70" s="548"/>
      <c r="Z70" s="548"/>
      <c r="AA70" s="548"/>
      <c r="AB70" s="548"/>
      <c r="AC70" s="548"/>
      <c r="AD70" s="548"/>
      <c r="AE70" s="549"/>
    </row>
  </sheetData>
  <mergeCells count="10">
    <mergeCell ref="D40:W40"/>
    <mergeCell ref="G68:AE68"/>
    <mergeCell ref="G69:W69"/>
    <mergeCell ref="G70:W70"/>
    <mergeCell ref="D2:W2"/>
    <mergeCell ref="D3:W3"/>
    <mergeCell ref="D4:W4"/>
    <mergeCell ref="D37:W37"/>
    <mergeCell ref="D38:W38"/>
    <mergeCell ref="D39:W39"/>
  </mergeCells>
  <pageMargins left="0.74803149606299202" right="0.74803149606299202" top="0.98425196850393704" bottom="0.98425196850393704" header="0.511811023622047" footer="0.511811023622047"/>
  <pageSetup paperSize="9" scale="2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AQ61"/>
  <sheetViews>
    <sheetView showGridLines="0" view="pageBreakPreview" zoomScale="90" zoomScaleNormal="100" zoomScaleSheetLayoutView="90" workbookViewId="0">
      <selection activeCell="H46" sqref="H46"/>
    </sheetView>
  </sheetViews>
  <sheetFormatPr defaultColWidth="9.1796875" defaultRowHeight="14.5" x14ac:dyDescent="0.35"/>
  <cols>
    <col min="1" max="1" width="3.81640625" style="86" customWidth="1"/>
    <col min="2" max="2" width="14.453125" style="83" customWidth="1"/>
    <col min="3" max="3" width="3.81640625" style="84" customWidth="1"/>
    <col min="4" max="4" width="22" style="4" customWidth="1"/>
    <col min="5" max="5" width="10.54296875" style="4" customWidth="1"/>
    <col min="6" max="6" width="10.453125" style="4" customWidth="1"/>
    <col min="7" max="7" width="10.1796875" style="4" bestFit="1" customWidth="1"/>
    <col min="8" max="8" width="10.54296875" style="4" customWidth="1"/>
    <col min="9" max="17" width="8.81640625" style="4" customWidth="1"/>
    <col min="18" max="18" width="8.81640625" style="12" customWidth="1"/>
    <col min="19" max="19" width="8.36328125" style="12" customWidth="1"/>
    <col min="20" max="20" width="8.54296875" style="4" customWidth="1"/>
    <col min="21" max="16384" width="9.1796875" style="4"/>
  </cols>
  <sheetData>
    <row r="1" spans="1:28" x14ac:dyDescent="0.35">
      <c r="D1" s="85"/>
      <c r="E1" s="85"/>
      <c r="F1" s="85"/>
      <c r="G1" s="85"/>
      <c r="H1" s="85"/>
      <c r="I1" s="85"/>
      <c r="J1" s="85"/>
      <c r="K1" s="85"/>
      <c r="L1" s="85"/>
      <c r="M1" s="85"/>
      <c r="N1" s="85"/>
      <c r="O1" s="85"/>
      <c r="P1" s="85"/>
      <c r="Q1" s="85"/>
    </row>
    <row r="2" spans="1:28" ht="12.75" customHeight="1" x14ac:dyDescent="0.35">
      <c r="A2" s="86">
        <v>1</v>
      </c>
      <c r="B2" s="87" t="s">
        <v>0</v>
      </c>
      <c r="C2" s="86">
        <f>1+[5]ICT!C2</f>
        <v>12</v>
      </c>
      <c r="D2" s="4694" t="s">
        <v>214</v>
      </c>
      <c r="E2" s="4695"/>
      <c r="F2" s="4695"/>
      <c r="G2" s="4695"/>
      <c r="H2" s="4695"/>
      <c r="I2" s="4695"/>
      <c r="J2" s="4695"/>
      <c r="K2" s="4695"/>
      <c r="L2" s="4695"/>
      <c r="M2" s="4695"/>
      <c r="N2" s="4695"/>
      <c r="O2" s="4695"/>
      <c r="P2" s="4695"/>
      <c r="Q2" s="4695"/>
      <c r="R2" s="4695"/>
      <c r="S2" s="4695"/>
      <c r="T2" s="4695"/>
      <c r="U2" s="4695"/>
      <c r="V2" s="4695"/>
      <c r="W2" s="4695"/>
      <c r="X2" s="4695"/>
      <c r="Y2" s="4695"/>
      <c r="Z2" s="4696"/>
    </row>
    <row r="3" spans="1:28" x14ac:dyDescent="0.35">
      <c r="A3" s="86">
        <v>2</v>
      </c>
      <c r="B3" s="87" t="s">
        <v>2</v>
      </c>
      <c r="C3" s="86"/>
      <c r="D3" s="4694" t="s">
        <v>172</v>
      </c>
      <c r="E3" s="4695"/>
      <c r="F3" s="4695"/>
      <c r="G3" s="4695"/>
      <c r="H3" s="4695"/>
      <c r="I3" s="4695"/>
      <c r="J3" s="4695"/>
      <c r="K3" s="4695"/>
      <c r="L3" s="4695"/>
      <c r="M3" s="4695"/>
      <c r="N3" s="4695"/>
      <c r="O3" s="4695"/>
      <c r="P3" s="4695"/>
      <c r="Q3" s="4695"/>
      <c r="R3" s="4695"/>
      <c r="S3" s="4695"/>
      <c r="T3" s="4695"/>
      <c r="U3" s="4695"/>
      <c r="V3" s="4695"/>
      <c r="W3" s="4695"/>
      <c r="X3" s="4695"/>
      <c r="Y3" s="4695"/>
      <c r="Z3" s="4696"/>
    </row>
    <row r="4" spans="1:28" ht="12.75" customHeight="1" x14ac:dyDescent="0.35">
      <c r="A4" s="86">
        <v>3</v>
      </c>
      <c r="B4" s="87" t="s">
        <v>4</v>
      </c>
      <c r="C4" s="86"/>
      <c r="D4" s="4694" t="s">
        <v>215</v>
      </c>
      <c r="E4" s="4695"/>
      <c r="F4" s="4695"/>
      <c r="G4" s="4695"/>
      <c r="H4" s="4695"/>
      <c r="I4" s="4695"/>
      <c r="J4" s="4695"/>
      <c r="K4" s="4695"/>
      <c r="L4" s="4695"/>
      <c r="M4" s="4695"/>
      <c r="N4" s="4695"/>
      <c r="O4" s="4695"/>
      <c r="P4" s="4695"/>
      <c r="Q4" s="4695"/>
      <c r="R4" s="4695"/>
      <c r="S4" s="4695"/>
      <c r="T4" s="4695"/>
      <c r="U4" s="4695"/>
      <c r="V4" s="4695"/>
      <c r="W4" s="4695"/>
      <c r="X4" s="4695"/>
      <c r="Y4" s="4695"/>
      <c r="Z4" s="4696"/>
    </row>
    <row r="5" spans="1:28" ht="12.75" customHeight="1" x14ac:dyDescent="0.35">
      <c r="B5" s="87"/>
      <c r="C5" s="86"/>
      <c r="D5" s="33"/>
      <c r="E5" s="33"/>
      <c r="F5" s="33"/>
      <c r="G5" s="33"/>
      <c r="H5" s="33"/>
      <c r="I5" s="33"/>
      <c r="J5" s="33"/>
      <c r="K5" s="33"/>
      <c r="L5" s="33"/>
      <c r="M5" s="33"/>
      <c r="N5" s="33"/>
      <c r="O5" s="33"/>
      <c r="P5" s="33"/>
      <c r="Q5" s="33"/>
      <c r="R5" s="33"/>
      <c r="S5" s="33"/>
      <c r="T5" s="33"/>
      <c r="U5" s="33"/>
      <c r="V5" s="33"/>
      <c r="W5" s="33"/>
      <c r="X5" s="33"/>
      <c r="Y5" s="33"/>
      <c r="Z5" s="33"/>
    </row>
    <row r="6" spans="1:28" ht="15" customHeight="1" x14ac:dyDescent="0.35">
      <c r="B6" s="87"/>
      <c r="C6" s="86"/>
      <c r="D6" s="33"/>
      <c r="E6" s="33"/>
      <c r="F6" s="33"/>
      <c r="G6" s="33"/>
      <c r="H6" s="33"/>
      <c r="I6" s="33"/>
      <c r="J6" s="33"/>
      <c r="K6" s="33"/>
      <c r="L6" s="33"/>
      <c r="M6" s="33"/>
      <c r="N6" s="33"/>
      <c r="O6" s="33"/>
      <c r="P6" s="33"/>
      <c r="Q6" s="33"/>
      <c r="R6" s="33"/>
      <c r="S6" s="33"/>
      <c r="T6" s="33"/>
      <c r="U6" s="33"/>
      <c r="V6" s="33"/>
      <c r="W6" s="33"/>
      <c r="X6" s="33"/>
      <c r="Y6" s="33"/>
      <c r="Z6" s="33"/>
      <c r="AA6" s="482"/>
      <c r="AB6" s="482"/>
    </row>
    <row r="7" spans="1:28" x14ac:dyDescent="0.35">
      <c r="A7" s="86">
        <v>4</v>
      </c>
      <c r="B7" s="87" t="s">
        <v>6</v>
      </c>
      <c r="D7" s="412"/>
      <c r="E7" s="412"/>
      <c r="F7" s="413"/>
      <c r="G7" s="414"/>
      <c r="H7" s="414"/>
      <c r="I7" s="414"/>
      <c r="J7" s="414"/>
      <c r="K7" s="414"/>
      <c r="L7" s="414"/>
      <c r="M7" s="414"/>
      <c r="N7" s="414"/>
      <c r="O7" s="414"/>
      <c r="P7" s="414"/>
      <c r="Q7" s="92"/>
    </row>
    <row r="8" spans="1:28" s="33" customFormat="1" ht="10.5" x14ac:dyDescent="0.25">
      <c r="A8" s="99"/>
      <c r="B8" s="100"/>
      <c r="C8" s="101"/>
      <c r="D8" s="90" t="s">
        <v>7</v>
      </c>
      <c r="E8" s="90"/>
      <c r="F8" s="90" t="s">
        <v>216</v>
      </c>
      <c r="G8" s="90"/>
      <c r="H8" s="90"/>
      <c r="I8" s="90"/>
      <c r="J8" s="90"/>
      <c r="K8" s="554"/>
      <c r="L8" s="554"/>
      <c r="M8" s="554"/>
      <c r="N8" s="554"/>
      <c r="O8" s="554"/>
      <c r="P8" s="414"/>
      <c r="Q8" s="416"/>
      <c r="R8" s="11"/>
      <c r="S8" s="11"/>
    </row>
    <row r="9" spans="1:28" s="33" customFormat="1" ht="10.5" x14ac:dyDescent="0.25">
      <c r="A9" s="99"/>
      <c r="B9" s="100"/>
      <c r="C9" s="101"/>
      <c r="D9" s="555"/>
      <c r="E9" s="556">
        <v>2003</v>
      </c>
      <c r="F9" s="556">
        <v>2004</v>
      </c>
      <c r="G9" s="556">
        <v>2005</v>
      </c>
      <c r="H9" s="556">
        <v>2006</v>
      </c>
      <c r="I9" s="556">
        <v>2007</v>
      </c>
      <c r="J9" s="557" t="s">
        <v>116</v>
      </c>
      <c r="K9" s="557" t="s">
        <v>117</v>
      </c>
      <c r="L9" s="557" t="s">
        <v>118</v>
      </c>
      <c r="M9" s="557" t="s">
        <v>119</v>
      </c>
      <c r="N9" s="557" t="s">
        <v>120</v>
      </c>
      <c r="O9" s="557" t="s">
        <v>121</v>
      </c>
      <c r="P9" s="557" t="s">
        <v>122</v>
      </c>
      <c r="Q9" s="557" t="s">
        <v>123</v>
      </c>
      <c r="R9" s="557" t="s">
        <v>124</v>
      </c>
      <c r="S9" s="557" t="s">
        <v>125</v>
      </c>
      <c r="T9" s="558" t="s">
        <v>126</v>
      </c>
    </row>
    <row r="10" spans="1:28" s="33" customFormat="1" ht="10.5" x14ac:dyDescent="0.2">
      <c r="A10" s="99"/>
      <c r="B10" s="100"/>
      <c r="C10" s="101"/>
      <c r="D10" s="559" t="s">
        <v>217</v>
      </c>
      <c r="E10" s="560">
        <v>10029</v>
      </c>
      <c r="F10" s="560">
        <v>10493</v>
      </c>
      <c r="G10" s="560">
        <v>10464</v>
      </c>
      <c r="H10" s="560">
        <v>10753</v>
      </c>
      <c r="I10" s="560">
        <v>10830</v>
      </c>
      <c r="J10" s="560">
        <v>10191</v>
      </c>
      <c r="K10" s="561">
        <v>9271</v>
      </c>
      <c r="L10" s="561">
        <v>9352</v>
      </c>
      <c r="M10" s="561">
        <v>9426</v>
      </c>
      <c r="N10" s="561">
        <v>8906</v>
      </c>
      <c r="O10" s="561">
        <v>10676</v>
      </c>
      <c r="P10" s="561">
        <v>9421</v>
      </c>
      <c r="Q10" s="561">
        <v>9325</v>
      </c>
      <c r="R10" s="560">
        <v>9117</v>
      </c>
      <c r="S10" s="560">
        <v>8720</v>
      </c>
      <c r="T10" s="562">
        <v>8720</v>
      </c>
    </row>
    <row r="11" spans="1:28" s="33" customFormat="1" ht="10.5" x14ac:dyDescent="0.2">
      <c r="A11" s="99"/>
      <c r="B11" s="100"/>
      <c r="C11" s="101"/>
      <c r="D11" s="559" t="s">
        <v>218</v>
      </c>
      <c r="E11" s="560">
        <v>5806</v>
      </c>
      <c r="F11" s="560">
        <v>6709</v>
      </c>
      <c r="G11" s="560">
        <v>5432</v>
      </c>
      <c r="H11" s="560">
        <v>6513</v>
      </c>
      <c r="I11" s="560">
        <v>7285</v>
      </c>
      <c r="J11" s="560">
        <v>7740</v>
      </c>
      <c r="K11" s="561">
        <v>10042</v>
      </c>
      <c r="L11" s="561"/>
      <c r="M11" s="561"/>
      <c r="N11" s="561"/>
      <c r="O11" s="561"/>
      <c r="P11" s="561"/>
      <c r="Q11" s="561"/>
      <c r="R11" s="560"/>
      <c r="S11" s="560"/>
      <c r="T11" s="562"/>
    </row>
    <row r="12" spans="1:28" s="33" customFormat="1" ht="10.5" x14ac:dyDescent="0.2">
      <c r="A12" s="99"/>
      <c r="B12" s="100"/>
      <c r="C12" s="101"/>
      <c r="D12" s="559" t="s">
        <v>219</v>
      </c>
      <c r="E12" s="560">
        <v>36194</v>
      </c>
      <c r="F12" s="560">
        <v>35942</v>
      </c>
      <c r="G12" s="560">
        <v>38395</v>
      </c>
      <c r="H12" s="560">
        <v>39194</v>
      </c>
      <c r="I12" s="560">
        <v>41379</v>
      </c>
      <c r="J12" s="560">
        <v>44310</v>
      </c>
      <c r="K12" s="561">
        <v>45296</v>
      </c>
      <c r="L12" s="561"/>
      <c r="M12" s="561"/>
      <c r="N12" s="561"/>
      <c r="O12" s="561"/>
      <c r="P12" s="561"/>
      <c r="Q12" s="561"/>
      <c r="R12" s="560"/>
      <c r="S12" s="560"/>
      <c r="T12" s="562"/>
    </row>
    <row r="13" spans="1:28" s="33" customFormat="1" ht="10.5" x14ac:dyDescent="0.2">
      <c r="A13" s="99"/>
      <c r="B13" s="100"/>
      <c r="C13" s="101"/>
      <c r="D13" s="563" t="s">
        <v>220</v>
      </c>
      <c r="E13" s="564">
        <v>186</v>
      </c>
      <c r="F13" s="564">
        <v>179</v>
      </c>
      <c r="G13" s="564">
        <v>168</v>
      </c>
      <c r="H13" s="564">
        <v>124</v>
      </c>
      <c r="I13" s="564">
        <v>96</v>
      </c>
      <c r="J13" s="564">
        <v>126</v>
      </c>
      <c r="K13" s="565">
        <v>101</v>
      </c>
      <c r="L13" s="565"/>
      <c r="M13" s="565"/>
      <c r="N13" s="565"/>
      <c r="O13" s="565"/>
      <c r="P13" s="565"/>
      <c r="Q13" s="565"/>
      <c r="R13" s="564"/>
      <c r="S13" s="564"/>
      <c r="T13" s="566"/>
    </row>
    <row r="14" spans="1:28" s="33" customFormat="1" ht="10.5" x14ac:dyDescent="0.25">
      <c r="A14" s="99"/>
      <c r="B14" s="100"/>
      <c r="C14" s="101"/>
      <c r="D14" s="89"/>
      <c r="E14" s="89"/>
      <c r="F14" s="89"/>
      <c r="G14" s="89"/>
      <c r="H14" s="89"/>
      <c r="I14" s="89"/>
      <c r="J14" s="89"/>
      <c r="K14" s="414"/>
      <c r="L14" s="414"/>
      <c r="M14" s="414"/>
      <c r="N14" s="414"/>
      <c r="O14" s="414"/>
      <c r="P14" s="416"/>
      <c r="Q14" s="416"/>
      <c r="R14" s="11"/>
      <c r="S14" s="11"/>
    </row>
    <row r="15" spans="1:28" s="33" customFormat="1" ht="10.5" x14ac:dyDescent="0.25">
      <c r="A15" s="99"/>
      <c r="B15" s="100"/>
      <c r="C15" s="101"/>
      <c r="D15" s="89" t="s">
        <v>35</v>
      </c>
      <c r="E15" s="89"/>
      <c r="F15" s="89" t="s">
        <v>221</v>
      </c>
      <c r="G15" s="89"/>
      <c r="H15" s="89"/>
      <c r="I15" s="89"/>
      <c r="J15" s="89"/>
      <c r="K15" s="89"/>
      <c r="L15" s="414"/>
      <c r="M15" s="414"/>
      <c r="N15" s="414"/>
      <c r="O15" s="414"/>
      <c r="P15" s="416"/>
      <c r="Q15" s="416"/>
      <c r="R15" s="11"/>
      <c r="S15" s="11"/>
      <c r="U15" s="296"/>
    </row>
    <row r="16" spans="1:28" s="33" customFormat="1" ht="10.5" x14ac:dyDescent="0.25">
      <c r="A16" s="99"/>
      <c r="B16" s="100"/>
      <c r="C16" s="101"/>
      <c r="D16" s="555"/>
      <c r="E16" s="159">
        <v>2002</v>
      </c>
      <c r="F16" s="159">
        <v>2003</v>
      </c>
      <c r="G16" s="159">
        <v>2004</v>
      </c>
      <c r="H16" s="159">
        <v>2005</v>
      </c>
      <c r="I16" s="159">
        <v>2006</v>
      </c>
      <c r="J16" s="159">
        <v>2007</v>
      </c>
      <c r="K16" s="159">
        <v>2008</v>
      </c>
      <c r="L16" s="159">
        <v>2009</v>
      </c>
      <c r="M16" s="159">
        <v>2010</v>
      </c>
      <c r="N16" s="159">
        <v>2011</v>
      </c>
      <c r="O16" s="159">
        <v>2012</v>
      </c>
      <c r="P16" s="159">
        <v>2013</v>
      </c>
      <c r="Q16" s="159">
        <v>2014</v>
      </c>
      <c r="R16" s="159">
        <v>2015</v>
      </c>
      <c r="S16" s="159">
        <v>2016</v>
      </c>
      <c r="T16" s="159">
        <v>2017</v>
      </c>
      <c r="U16" s="160">
        <v>2018</v>
      </c>
    </row>
    <row r="17" spans="1:22" s="33" customFormat="1" ht="10.5" x14ac:dyDescent="0.2">
      <c r="A17" s="99"/>
      <c r="B17" s="100"/>
      <c r="C17" s="101"/>
      <c r="D17" s="559" t="s">
        <v>222</v>
      </c>
      <c r="E17" s="567">
        <v>114</v>
      </c>
      <c r="F17" s="567">
        <v>112</v>
      </c>
      <c r="G17" s="567">
        <v>100</v>
      </c>
      <c r="H17" s="567">
        <v>87</v>
      </c>
      <c r="I17" s="567">
        <v>109</v>
      </c>
      <c r="J17" s="567">
        <v>82</v>
      </c>
      <c r="K17" s="568">
        <v>91</v>
      </c>
      <c r="L17" s="568">
        <v>93</v>
      </c>
      <c r="M17" s="568">
        <v>116</v>
      </c>
      <c r="N17" s="568">
        <v>123</v>
      </c>
      <c r="O17" s="568">
        <v>142</v>
      </c>
      <c r="P17" s="568">
        <v>161</v>
      </c>
      <c r="Q17" s="569">
        <v>152</v>
      </c>
      <c r="R17" s="569">
        <v>166</v>
      </c>
      <c r="S17" s="569">
        <v>181</v>
      </c>
      <c r="T17" s="567">
        <v>182</v>
      </c>
      <c r="U17" s="570">
        <v>145</v>
      </c>
    </row>
    <row r="18" spans="1:22" s="33" customFormat="1" ht="10.5" x14ac:dyDescent="0.2">
      <c r="A18" s="99"/>
      <c r="B18" s="100"/>
      <c r="C18" s="101"/>
      <c r="D18" s="559" t="s">
        <v>38</v>
      </c>
      <c r="E18" s="567">
        <v>52</v>
      </c>
      <c r="F18" s="567">
        <v>64</v>
      </c>
      <c r="G18" s="567">
        <v>59</v>
      </c>
      <c r="H18" s="567">
        <v>55</v>
      </c>
      <c r="I18" s="567">
        <v>34</v>
      </c>
      <c r="J18" s="567">
        <v>44</v>
      </c>
      <c r="K18" s="568">
        <v>31</v>
      </c>
      <c r="L18" s="571">
        <v>59</v>
      </c>
      <c r="M18" s="571">
        <v>76</v>
      </c>
      <c r="N18" s="571">
        <v>84</v>
      </c>
      <c r="O18" s="571">
        <v>73</v>
      </c>
      <c r="P18" s="571">
        <v>40</v>
      </c>
      <c r="Q18" s="567">
        <v>66</v>
      </c>
      <c r="R18" s="567">
        <v>48</v>
      </c>
      <c r="S18" s="567">
        <v>65</v>
      </c>
      <c r="T18" s="569">
        <v>60</v>
      </c>
      <c r="U18" s="572">
        <v>46</v>
      </c>
    </row>
    <row r="19" spans="1:22" s="33" customFormat="1" ht="10.5" x14ac:dyDescent="0.2">
      <c r="A19" s="99"/>
      <c r="B19" s="100"/>
      <c r="C19" s="101"/>
      <c r="D19" s="559" t="s">
        <v>223</v>
      </c>
      <c r="E19" s="567">
        <v>35</v>
      </c>
      <c r="F19" s="567">
        <v>35</v>
      </c>
      <c r="G19" s="567">
        <v>56</v>
      </c>
      <c r="H19" s="567">
        <v>55</v>
      </c>
      <c r="I19" s="567">
        <v>59</v>
      </c>
      <c r="J19" s="567">
        <v>58</v>
      </c>
      <c r="K19" s="568">
        <v>53</v>
      </c>
      <c r="L19" s="568">
        <v>49</v>
      </c>
      <c r="M19" s="568">
        <v>53</v>
      </c>
      <c r="N19" s="568">
        <v>53</v>
      </c>
      <c r="O19" s="568">
        <v>65</v>
      </c>
      <c r="P19" s="568">
        <v>54</v>
      </c>
      <c r="Q19" s="569">
        <v>50</v>
      </c>
      <c r="R19" s="569">
        <v>59</v>
      </c>
      <c r="S19" s="569">
        <v>70</v>
      </c>
      <c r="T19" s="567">
        <v>50</v>
      </c>
      <c r="U19" s="570">
        <v>73</v>
      </c>
    </row>
    <row r="20" spans="1:22" s="33" customFormat="1" ht="10.5" x14ac:dyDescent="0.2">
      <c r="A20" s="99"/>
      <c r="B20" s="100"/>
      <c r="C20" s="101"/>
      <c r="D20" s="559" t="s">
        <v>224</v>
      </c>
      <c r="E20" s="567">
        <v>8</v>
      </c>
      <c r="F20" s="567">
        <v>32</v>
      </c>
      <c r="G20" s="567">
        <v>21</v>
      </c>
      <c r="H20" s="567">
        <v>37</v>
      </c>
      <c r="I20" s="567">
        <v>28</v>
      </c>
      <c r="J20" s="567">
        <v>37</v>
      </c>
      <c r="K20" s="568">
        <v>38</v>
      </c>
      <c r="L20" s="571">
        <v>47</v>
      </c>
      <c r="M20" s="571">
        <v>34</v>
      </c>
      <c r="N20" s="571">
        <v>44</v>
      </c>
      <c r="O20" s="571">
        <v>73</v>
      </c>
      <c r="P20" s="571">
        <v>47</v>
      </c>
      <c r="Q20" s="567">
        <v>52</v>
      </c>
      <c r="R20" s="567">
        <v>61</v>
      </c>
      <c r="S20" s="567">
        <v>50</v>
      </c>
      <c r="T20" s="569">
        <v>52</v>
      </c>
      <c r="U20" s="572">
        <v>39</v>
      </c>
    </row>
    <row r="21" spans="1:22" s="33" customFormat="1" ht="10.5" x14ac:dyDescent="0.2">
      <c r="A21" s="99"/>
      <c r="B21" s="100"/>
      <c r="C21" s="101"/>
      <c r="D21" s="559" t="s">
        <v>41</v>
      </c>
      <c r="E21" s="567">
        <v>11</v>
      </c>
      <c r="F21" s="567">
        <v>11</v>
      </c>
      <c r="G21" s="567">
        <v>18</v>
      </c>
      <c r="H21" s="567">
        <v>22</v>
      </c>
      <c r="I21" s="567">
        <v>21</v>
      </c>
      <c r="J21" s="567">
        <v>23</v>
      </c>
      <c r="K21" s="568">
        <v>34</v>
      </c>
      <c r="L21" s="568">
        <v>26</v>
      </c>
      <c r="M21" s="568">
        <v>40</v>
      </c>
      <c r="N21" s="568">
        <v>41</v>
      </c>
      <c r="O21" s="568">
        <v>44</v>
      </c>
      <c r="P21" s="568">
        <v>36</v>
      </c>
      <c r="Q21" s="567">
        <v>41</v>
      </c>
      <c r="R21" s="567">
        <v>27</v>
      </c>
      <c r="S21" s="567">
        <v>27</v>
      </c>
      <c r="T21" s="567">
        <v>26</v>
      </c>
      <c r="U21" s="570">
        <v>36</v>
      </c>
    </row>
    <row r="22" spans="1:22" s="33" customFormat="1" ht="10.5" x14ac:dyDescent="0.2">
      <c r="A22" s="99"/>
      <c r="B22" s="100"/>
      <c r="C22" s="101"/>
      <c r="D22" s="559" t="s">
        <v>225</v>
      </c>
      <c r="E22" s="567">
        <v>19</v>
      </c>
      <c r="F22" s="567">
        <v>16</v>
      </c>
      <c r="G22" s="567">
        <v>24</v>
      </c>
      <c r="H22" s="567">
        <v>15</v>
      </c>
      <c r="I22" s="567">
        <v>8</v>
      </c>
      <c r="J22" s="567">
        <v>7</v>
      </c>
      <c r="K22" s="568">
        <v>10</v>
      </c>
      <c r="L22" s="568">
        <v>9</v>
      </c>
      <c r="M22" s="568">
        <v>6</v>
      </c>
      <c r="N22" s="568">
        <v>7</v>
      </c>
      <c r="O22" s="568">
        <v>9</v>
      </c>
      <c r="P22" s="568">
        <v>6</v>
      </c>
      <c r="Q22" s="573"/>
      <c r="R22" s="573">
        <v>9</v>
      </c>
      <c r="S22" s="573">
        <v>12</v>
      </c>
      <c r="T22" s="567">
        <v>8</v>
      </c>
      <c r="U22" s="570">
        <v>11</v>
      </c>
    </row>
    <row r="23" spans="1:22" s="33" customFormat="1" ht="10.5" x14ac:dyDescent="0.2">
      <c r="A23" s="99"/>
      <c r="B23" s="100"/>
      <c r="C23" s="101"/>
      <c r="D23" s="559" t="s">
        <v>226</v>
      </c>
      <c r="E23" s="567">
        <v>8</v>
      </c>
      <c r="F23" s="573">
        <v>18</v>
      </c>
      <c r="G23" s="573">
        <v>13</v>
      </c>
      <c r="H23" s="573">
        <v>13</v>
      </c>
      <c r="I23" s="573">
        <v>4</v>
      </c>
      <c r="J23" s="573">
        <v>10</v>
      </c>
      <c r="K23" s="574">
        <v>6</v>
      </c>
      <c r="L23" s="574">
        <v>7</v>
      </c>
      <c r="M23" s="574">
        <v>14</v>
      </c>
      <c r="N23" s="574">
        <v>13</v>
      </c>
      <c r="O23" s="574">
        <v>25</v>
      </c>
      <c r="P23" s="574">
        <v>13</v>
      </c>
      <c r="Q23" s="573">
        <v>7</v>
      </c>
      <c r="R23" s="573">
        <v>23</v>
      </c>
      <c r="S23" s="573">
        <v>11</v>
      </c>
      <c r="T23" s="573"/>
      <c r="U23" s="575"/>
    </row>
    <row r="24" spans="1:22" s="33" customFormat="1" ht="10.5" x14ac:dyDescent="0.2">
      <c r="A24" s="99"/>
      <c r="B24" s="100"/>
      <c r="C24" s="101"/>
      <c r="D24" s="559" t="s">
        <v>227</v>
      </c>
      <c r="E24" s="567">
        <v>10</v>
      </c>
      <c r="F24" s="573">
        <v>12</v>
      </c>
      <c r="G24" s="573">
        <v>7</v>
      </c>
      <c r="H24" s="573">
        <v>6</v>
      </c>
      <c r="I24" s="573">
        <v>10</v>
      </c>
      <c r="J24" s="573">
        <v>9</v>
      </c>
      <c r="K24" s="574">
        <v>6</v>
      </c>
      <c r="L24" s="574">
        <v>2</v>
      </c>
      <c r="M24" s="574">
        <v>6</v>
      </c>
      <c r="N24" s="574">
        <v>8</v>
      </c>
      <c r="O24" s="574">
        <v>9</v>
      </c>
      <c r="P24" s="574">
        <v>6</v>
      </c>
      <c r="Q24" s="573">
        <v>6</v>
      </c>
      <c r="R24" s="573">
        <v>7</v>
      </c>
      <c r="S24" s="573">
        <v>4</v>
      </c>
      <c r="T24" s="573">
        <v>4</v>
      </c>
      <c r="U24" s="575">
        <v>3</v>
      </c>
    </row>
    <row r="25" spans="1:22" s="33" customFormat="1" ht="10.5" x14ac:dyDescent="0.2">
      <c r="A25" s="99"/>
      <c r="B25" s="100"/>
      <c r="C25" s="101"/>
      <c r="D25" s="559" t="s">
        <v>228</v>
      </c>
      <c r="E25" s="567">
        <v>5</v>
      </c>
      <c r="F25" s="573">
        <v>9</v>
      </c>
      <c r="G25" s="573">
        <v>8</v>
      </c>
      <c r="H25" s="573">
        <v>13</v>
      </c>
      <c r="I25" s="573">
        <v>7</v>
      </c>
      <c r="J25" s="573">
        <v>11</v>
      </c>
      <c r="K25" s="574">
        <v>10</v>
      </c>
      <c r="L25" s="574">
        <v>16</v>
      </c>
      <c r="M25" s="574">
        <v>16</v>
      </c>
      <c r="N25" s="574">
        <v>15</v>
      </c>
      <c r="O25" s="574">
        <v>21</v>
      </c>
      <c r="P25" s="574">
        <v>27</v>
      </c>
      <c r="Q25" s="573">
        <v>25</v>
      </c>
      <c r="R25" s="573">
        <v>16</v>
      </c>
      <c r="S25" s="573">
        <v>18</v>
      </c>
      <c r="T25" s="573">
        <v>16</v>
      </c>
      <c r="U25" s="575">
        <v>21</v>
      </c>
    </row>
    <row r="26" spans="1:22" s="33" customFormat="1" ht="10.5" x14ac:dyDescent="0.2">
      <c r="A26" s="99"/>
      <c r="B26" s="100"/>
      <c r="C26" s="101"/>
      <c r="D26" s="559" t="s">
        <v>51</v>
      </c>
      <c r="E26" s="567">
        <v>5</v>
      </c>
      <c r="F26" s="573">
        <v>10</v>
      </c>
      <c r="G26" s="573">
        <v>7</v>
      </c>
      <c r="H26" s="573">
        <v>7</v>
      </c>
      <c r="I26" s="573">
        <v>6</v>
      </c>
      <c r="J26" s="573">
        <v>9</v>
      </c>
      <c r="K26" s="574">
        <v>12</v>
      </c>
      <c r="L26" s="574">
        <v>16</v>
      </c>
      <c r="M26" s="574">
        <v>12</v>
      </c>
      <c r="N26" s="574">
        <v>14</v>
      </c>
      <c r="O26" s="574">
        <v>21</v>
      </c>
      <c r="P26" s="574">
        <v>11</v>
      </c>
      <c r="Q26" s="573">
        <v>9</v>
      </c>
      <c r="R26" s="573">
        <v>8</v>
      </c>
      <c r="S26" s="573">
        <v>6</v>
      </c>
      <c r="T26" s="573">
        <v>9</v>
      </c>
      <c r="U26" s="575">
        <v>12</v>
      </c>
    </row>
    <row r="27" spans="1:22" s="33" customFormat="1" ht="10.5" x14ac:dyDescent="0.2">
      <c r="A27" s="99"/>
      <c r="B27" s="100"/>
      <c r="C27" s="101"/>
      <c r="D27" s="559" t="s">
        <v>229</v>
      </c>
      <c r="E27" s="567">
        <v>1</v>
      </c>
      <c r="F27" s="573">
        <v>6</v>
      </c>
      <c r="G27" s="573"/>
      <c r="H27" s="573">
        <v>10</v>
      </c>
      <c r="I27" s="573">
        <v>12</v>
      </c>
      <c r="J27" s="573">
        <v>12</v>
      </c>
      <c r="K27" s="574">
        <v>17</v>
      </c>
      <c r="L27" s="574">
        <v>5</v>
      </c>
      <c r="M27" s="574">
        <v>7</v>
      </c>
      <c r="N27" s="574">
        <v>7</v>
      </c>
      <c r="O27" s="574">
        <v>9</v>
      </c>
      <c r="P27" s="574">
        <v>20</v>
      </c>
      <c r="Q27" s="573">
        <v>17</v>
      </c>
      <c r="R27" s="573">
        <v>18</v>
      </c>
      <c r="S27" s="573">
        <v>10</v>
      </c>
      <c r="T27" s="573">
        <v>2</v>
      </c>
      <c r="U27" s="575">
        <v>8</v>
      </c>
    </row>
    <row r="28" spans="1:22" s="33" customFormat="1" ht="10.5" x14ac:dyDescent="0.2">
      <c r="A28" s="99"/>
      <c r="B28" s="100"/>
      <c r="C28" s="101"/>
      <c r="D28" s="576" t="s">
        <v>230</v>
      </c>
      <c r="E28" s="567">
        <v>8</v>
      </c>
      <c r="F28" s="573">
        <v>9</v>
      </c>
      <c r="G28" s="577"/>
      <c r="H28" s="573">
        <v>2</v>
      </c>
      <c r="I28" s="573">
        <v>8</v>
      </c>
      <c r="J28" s="573">
        <v>10</v>
      </c>
      <c r="K28" s="574">
        <v>18</v>
      </c>
      <c r="L28" s="574">
        <v>23</v>
      </c>
      <c r="M28" s="574">
        <v>30</v>
      </c>
      <c r="N28" s="574">
        <v>26</v>
      </c>
      <c r="O28" s="574">
        <v>36</v>
      </c>
      <c r="P28" s="574">
        <v>63</v>
      </c>
      <c r="Q28" s="573">
        <v>50</v>
      </c>
      <c r="R28" s="573">
        <v>23</v>
      </c>
      <c r="S28" s="573">
        <v>21</v>
      </c>
      <c r="T28" s="573">
        <v>16</v>
      </c>
      <c r="U28" s="575">
        <v>18</v>
      </c>
    </row>
    <row r="29" spans="1:22" s="33" customFormat="1" ht="10.5" x14ac:dyDescent="0.2">
      <c r="A29" s="99"/>
      <c r="B29" s="100"/>
      <c r="C29" s="101"/>
      <c r="D29" s="578" t="s">
        <v>231</v>
      </c>
      <c r="E29" s="579">
        <v>57</v>
      </c>
      <c r="F29" s="580">
        <v>61</v>
      </c>
      <c r="G29" s="581">
        <v>48</v>
      </c>
      <c r="H29" s="580">
        <v>44</v>
      </c>
      <c r="I29" s="580">
        <v>48</v>
      </c>
      <c r="J29" s="580">
        <v>44</v>
      </c>
      <c r="K29" s="582">
        <v>77</v>
      </c>
      <c r="L29" s="582">
        <v>55</v>
      </c>
      <c r="M29" s="582">
        <v>85</v>
      </c>
      <c r="N29" s="582">
        <v>88</v>
      </c>
      <c r="O29" s="582">
        <v>85</v>
      </c>
      <c r="P29" s="582">
        <v>132</v>
      </c>
      <c r="Q29" s="580">
        <v>149</v>
      </c>
      <c r="R29" s="580">
        <v>134</v>
      </c>
      <c r="S29" s="580">
        <v>143</v>
      </c>
      <c r="T29" s="580">
        <v>188</v>
      </c>
      <c r="U29" s="583">
        <v>219</v>
      </c>
    </row>
    <row r="30" spans="1:22" s="33" customFormat="1" ht="10.5" x14ac:dyDescent="0.25">
      <c r="A30" s="99"/>
      <c r="B30" s="100"/>
      <c r="C30" s="101"/>
      <c r="D30" s="584" t="s">
        <v>232</v>
      </c>
      <c r="E30" s="585">
        <f>SUM(E17:E29)</f>
        <v>333</v>
      </c>
      <c r="F30" s="585">
        <f t="shared" ref="F30:U30" si="0">SUM(F17:F29)</f>
        <v>395</v>
      </c>
      <c r="G30" s="585">
        <f t="shared" si="0"/>
        <v>361</v>
      </c>
      <c r="H30" s="585">
        <f t="shared" si="0"/>
        <v>366</v>
      </c>
      <c r="I30" s="585">
        <f t="shared" si="0"/>
        <v>354</v>
      </c>
      <c r="J30" s="585">
        <f t="shared" si="0"/>
        <v>356</v>
      </c>
      <c r="K30" s="585">
        <f t="shared" si="0"/>
        <v>403</v>
      </c>
      <c r="L30" s="585">
        <f t="shared" si="0"/>
        <v>407</v>
      </c>
      <c r="M30" s="585">
        <f t="shared" si="0"/>
        <v>495</v>
      </c>
      <c r="N30" s="585">
        <f t="shared" si="0"/>
        <v>523</v>
      </c>
      <c r="O30" s="585">
        <f t="shared" si="0"/>
        <v>612</v>
      </c>
      <c r="P30" s="585">
        <f t="shared" si="0"/>
        <v>616</v>
      </c>
      <c r="Q30" s="585">
        <f t="shared" si="0"/>
        <v>624</v>
      </c>
      <c r="R30" s="585">
        <f t="shared" si="0"/>
        <v>599</v>
      </c>
      <c r="S30" s="585">
        <f t="shared" si="0"/>
        <v>618</v>
      </c>
      <c r="T30" s="585">
        <f t="shared" si="0"/>
        <v>613</v>
      </c>
      <c r="U30" s="585">
        <f t="shared" si="0"/>
        <v>631</v>
      </c>
      <c r="V30" s="576"/>
    </row>
    <row r="31" spans="1:22" s="33" customFormat="1" ht="10.5" x14ac:dyDescent="0.25">
      <c r="A31" s="99"/>
      <c r="B31" s="100"/>
      <c r="C31" s="101"/>
      <c r="D31" s="89"/>
      <c r="E31" s="567"/>
      <c r="F31" s="567"/>
      <c r="G31" s="567"/>
      <c r="H31" s="567"/>
      <c r="I31" s="567"/>
      <c r="J31" s="567"/>
      <c r="K31" s="567"/>
      <c r="L31" s="567"/>
      <c r="M31" s="567"/>
      <c r="N31" s="567"/>
      <c r="O31" s="567"/>
      <c r="P31" s="567"/>
      <c r="Q31" s="586"/>
      <c r="R31" s="586"/>
      <c r="S31" s="586"/>
      <c r="T31" s="586"/>
    </row>
    <row r="32" spans="1:22" s="33" customFormat="1" ht="10.5" x14ac:dyDescent="0.25">
      <c r="A32" s="99"/>
      <c r="B32" s="100"/>
      <c r="C32" s="101"/>
      <c r="D32" s="89"/>
      <c r="E32" s="567"/>
      <c r="F32" s="567"/>
      <c r="G32" s="567"/>
      <c r="H32" s="567"/>
      <c r="I32" s="567"/>
      <c r="J32" s="567"/>
      <c r="K32" s="567"/>
      <c r="L32" s="567"/>
      <c r="M32" s="567"/>
      <c r="N32" s="567"/>
      <c r="O32" s="567"/>
      <c r="P32" s="567"/>
      <c r="Q32" s="586"/>
      <c r="R32" s="586"/>
      <c r="S32" s="586"/>
      <c r="T32" s="586"/>
    </row>
    <row r="33" spans="1:31" s="33" customFormat="1" ht="13" x14ac:dyDescent="0.25">
      <c r="A33" s="4392">
        <v>5</v>
      </c>
      <c r="B33" s="4371" t="s">
        <v>233</v>
      </c>
      <c r="C33" s="4372"/>
      <c r="D33" s="4373" t="s">
        <v>234</v>
      </c>
      <c r="E33" s="4373" t="s">
        <v>235</v>
      </c>
      <c r="F33" s="4374"/>
      <c r="G33" s="4375"/>
      <c r="H33" s="4375"/>
      <c r="I33" s="4375"/>
      <c r="J33" s="4375"/>
      <c r="K33" s="4375"/>
      <c r="L33" s="4375"/>
      <c r="M33" s="4375"/>
      <c r="N33" s="4375"/>
      <c r="O33" s="4375"/>
      <c r="P33" s="4375"/>
      <c r="Q33" s="4376"/>
      <c r="R33" s="4376"/>
      <c r="S33" s="4376"/>
      <c r="T33" s="4376"/>
      <c r="U33" s="4374"/>
      <c r="V33" s="4374"/>
      <c r="W33" s="4374"/>
      <c r="X33" s="4374"/>
      <c r="Y33" s="4374"/>
      <c r="Z33" s="4374"/>
    </row>
    <row r="34" spans="1:31" s="33" customFormat="1" ht="13" x14ac:dyDescent="0.25">
      <c r="A34" s="4392"/>
      <c r="B34" s="4371"/>
      <c r="C34" s="4372"/>
      <c r="D34" s="4377"/>
      <c r="E34" s="4378" t="s">
        <v>236</v>
      </c>
      <c r="F34" s="4378" t="s">
        <v>237</v>
      </c>
      <c r="G34" s="4378" t="s">
        <v>238</v>
      </c>
      <c r="H34" s="4379" t="s">
        <v>239</v>
      </c>
      <c r="I34" s="4375"/>
      <c r="J34" s="4375"/>
      <c r="K34" s="4375"/>
      <c r="L34" s="4375"/>
      <c r="M34" s="4375"/>
      <c r="N34" s="4375"/>
      <c r="O34" s="4375"/>
      <c r="P34" s="4375"/>
      <c r="Q34" s="4375"/>
      <c r="R34" s="4375"/>
      <c r="S34" s="4376"/>
      <c r="T34" s="4376"/>
      <c r="U34" s="4376"/>
      <c r="V34" s="4376"/>
      <c r="W34" s="4374"/>
      <c r="X34" s="4374"/>
      <c r="Y34" s="4374"/>
      <c r="Z34" s="4374"/>
    </row>
    <row r="35" spans="1:31" s="33" customFormat="1" ht="10.5" x14ac:dyDescent="0.25">
      <c r="A35" s="4393"/>
      <c r="B35" s="4380"/>
      <c r="C35" s="4372"/>
      <c r="D35" s="4381" t="s">
        <v>240</v>
      </c>
      <c r="E35" s="4382" t="s">
        <v>241</v>
      </c>
      <c r="F35" s="4383" t="s">
        <v>241</v>
      </c>
      <c r="G35" s="4383" t="s">
        <v>241</v>
      </c>
      <c r="H35" s="4384" t="s">
        <v>241</v>
      </c>
      <c r="I35" s="4375"/>
      <c r="J35" s="4375"/>
      <c r="K35" s="4375"/>
      <c r="L35" s="4375"/>
      <c r="M35" s="4375"/>
      <c r="N35" s="4375"/>
      <c r="O35" s="4375"/>
      <c r="P35" s="4375"/>
      <c r="Q35" s="4375"/>
      <c r="R35" s="4375"/>
      <c r="S35" s="4376"/>
      <c r="T35" s="4376"/>
      <c r="U35" s="4376"/>
      <c r="V35" s="4376"/>
      <c r="W35" s="4374"/>
      <c r="X35" s="4374"/>
      <c r="Y35" s="4374"/>
      <c r="Z35" s="4374"/>
    </row>
    <row r="36" spans="1:31" s="33" customFormat="1" ht="10.5" x14ac:dyDescent="0.2">
      <c r="A36" s="4393"/>
      <c r="B36" s="4380"/>
      <c r="C36" s="4372"/>
      <c r="D36" s="4385" t="s">
        <v>242</v>
      </c>
      <c r="E36" s="4386">
        <v>6.86</v>
      </c>
      <c r="F36" s="4375">
        <v>9.99</v>
      </c>
      <c r="G36" s="4375">
        <v>9.61</v>
      </c>
      <c r="H36" s="4387"/>
      <c r="I36" s="4375"/>
      <c r="J36" s="4375"/>
      <c r="K36" s="4375"/>
      <c r="L36" s="4375"/>
      <c r="M36" s="4375"/>
      <c r="N36" s="4375"/>
      <c r="O36" s="4375"/>
      <c r="P36" s="4375"/>
      <c r="Q36" s="4375"/>
      <c r="R36" s="4375"/>
      <c r="S36" s="4376"/>
      <c r="T36" s="4376"/>
      <c r="U36" s="4376"/>
      <c r="V36" s="4376"/>
      <c r="W36" s="4374"/>
      <c r="X36" s="4374"/>
      <c r="Y36" s="4374"/>
      <c r="Z36" s="4374"/>
    </row>
    <row r="37" spans="1:31" s="33" customFormat="1" ht="15.5" x14ac:dyDescent="0.2">
      <c r="A37" s="4393"/>
      <c r="B37" s="4380"/>
      <c r="C37" s="4372"/>
      <c r="D37" s="4385" t="s">
        <v>243</v>
      </c>
      <c r="E37" s="4386">
        <v>6.71</v>
      </c>
      <c r="F37" s="4375">
        <v>5.15</v>
      </c>
      <c r="G37" s="4375">
        <v>5.2</v>
      </c>
      <c r="H37" s="4387"/>
      <c r="I37" s="4375"/>
      <c r="J37" s="4375"/>
      <c r="K37" s="4375"/>
      <c r="L37" s="4375"/>
      <c r="M37" s="4375"/>
      <c r="N37" s="4375"/>
      <c r="O37" s="4375"/>
      <c r="P37" s="4375"/>
      <c r="Q37" s="4375"/>
      <c r="R37" s="4375"/>
      <c r="S37" s="4376"/>
      <c r="T37" s="4376"/>
      <c r="U37" s="4376"/>
      <c r="V37" s="4376"/>
      <c r="W37" s="4374"/>
      <c r="X37" s="4374"/>
      <c r="Y37" s="4374"/>
      <c r="Z37" s="4374"/>
      <c r="AB37" s="590"/>
      <c r="AD37" s="591"/>
      <c r="AE37" s="592"/>
    </row>
    <row r="38" spans="1:31" s="33" customFormat="1" ht="10.5" x14ac:dyDescent="0.2">
      <c r="A38" s="4393"/>
      <c r="B38" s="4380"/>
      <c r="C38" s="4372"/>
      <c r="D38" s="4385" t="s">
        <v>244</v>
      </c>
      <c r="E38" s="4386">
        <v>6.4</v>
      </c>
      <c r="F38" s="4375">
        <v>4.95</v>
      </c>
      <c r="G38" s="4375">
        <v>4.97</v>
      </c>
      <c r="H38" s="4387"/>
      <c r="I38" s="4375"/>
      <c r="J38" s="4375"/>
      <c r="K38" s="4375"/>
      <c r="L38" s="4375"/>
      <c r="M38" s="4375"/>
      <c r="N38" s="4375"/>
      <c r="O38" s="4375"/>
      <c r="P38" s="4375"/>
      <c r="Q38" s="4375"/>
      <c r="R38" s="4375"/>
      <c r="S38" s="4376"/>
      <c r="T38" s="4376"/>
      <c r="U38" s="4376"/>
      <c r="V38" s="4376"/>
      <c r="W38" s="4374"/>
      <c r="X38" s="4374"/>
      <c r="Y38" s="4374"/>
      <c r="Z38" s="4374"/>
      <c r="AD38" s="593"/>
      <c r="AE38" s="594"/>
    </row>
    <row r="39" spans="1:31" s="33" customFormat="1" ht="10.5" x14ac:dyDescent="0.2">
      <c r="A39" s="4393"/>
      <c r="B39" s="4380"/>
      <c r="C39" s="4372"/>
      <c r="D39" s="4385" t="s">
        <v>245</v>
      </c>
      <c r="E39" s="4386">
        <v>6.17</v>
      </c>
      <c r="F39" s="4375">
        <v>5.7</v>
      </c>
      <c r="G39" s="4375">
        <v>5.72</v>
      </c>
      <c r="H39" s="4387"/>
      <c r="I39" s="4375"/>
      <c r="J39" s="4375"/>
      <c r="K39" s="4375"/>
      <c r="L39" s="4375"/>
      <c r="M39" s="4375"/>
      <c r="N39" s="4375"/>
      <c r="O39" s="4375"/>
      <c r="P39" s="4375"/>
      <c r="Q39" s="4375"/>
      <c r="R39" s="4375"/>
      <c r="S39" s="4376"/>
      <c r="T39" s="4376"/>
      <c r="U39" s="4376"/>
      <c r="V39" s="4376"/>
      <c r="W39" s="4374"/>
      <c r="X39" s="4374"/>
      <c r="Y39" s="4374"/>
      <c r="Z39" s="4374"/>
      <c r="AD39" s="593"/>
      <c r="AE39" s="594"/>
    </row>
    <row r="40" spans="1:31" s="33" customFormat="1" ht="10.5" x14ac:dyDescent="0.2">
      <c r="A40" s="4393"/>
      <c r="B40" s="4380"/>
      <c r="C40" s="4372"/>
      <c r="D40" s="4385" t="s">
        <v>246</v>
      </c>
      <c r="E40" s="4386">
        <v>5.54</v>
      </c>
      <c r="F40" s="4375">
        <v>5.01</v>
      </c>
      <c r="G40" s="4375">
        <v>5.09</v>
      </c>
      <c r="H40" s="4387"/>
      <c r="I40" s="4375"/>
      <c r="J40" s="4375"/>
      <c r="K40" s="4375"/>
      <c r="L40" s="4375"/>
      <c r="M40" s="4375"/>
      <c r="N40" s="4375"/>
      <c r="O40" s="4375"/>
      <c r="P40" s="4375"/>
      <c r="Q40" s="4375"/>
      <c r="R40" s="4375"/>
      <c r="S40" s="4376"/>
      <c r="T40" s="4376"/>
      <c r="U40" s="4376"/>
      <c r="V40" s="4376"/>
      <c r="W40" s="4374"/>
      <c r="X40" s="4374"/>
      <c r="Y40" s="4374"/>
      <c r="Z40" s="4374"/>
      <c r="AD40" s="593"/>
      <c r="AE40" s="594"/>
    </row>
    <row r="41" spans="1:31" s="33" customFormat="1" ht="10.5" x14ac:dyDescent="0.2">
      <c r="A41" s="4393"/>
      <c r="B41" s="4380"/>
      <c r="C41" s="4372"/>
      <c r="D41" s="4385" t="s">
        <v>247</v>
      </c>
      <c r="E41" s="4386">
        <v>4.92</v>
      </c>
      <c r="F41" s="4375">
        <v>5.75</v>
      </c>
      <c r="G41" s="4375">
        <v>5.55</v>
      </c>
      <c r="H41" s="4387"/>
      <c r="I41" s="4375"/>
      <c r="J41" s="4375"/>
      <c r="K41" s="4375"/>
      <c r="L41" s="4375"/>
      <c r="M41" s="4375"/>
      <c r="N41" s="4375"/>
      <c r="O41" s="4375"/>
      <c r="P41" s="4375"/>
      <c r="Q41" s="4375"/>
      <c r="R41" s="4375"/>
      <c r="S41" s="4376"/>
      <c r="T41" s="4376"/>
      <c r="U41" s="4376"/>
      <c r="V41" s="4376"/>
      <c r="W41" s="4374"/>
      <c r="X41" s="4374"/>
      <c r="Y41" s="4374"/>
      <c r="Z41" s="4374"/>
      <c r="AD41" s="593"/>
      <c r="AE41" s="594"/>
    </row>
    <row r="42" spans="1:31" s="33" customFormat="1" ht="10.5" x14ac:dyDescent="0.2">
      <c r="A42" s="4393"/>
      <c r="B42" s="4380"/>
      <c r="C42" s="4372"/>
      <c r="D42" s="4385" t="s">
        <v>248</v>
      </c>
      <c r="E42" s="4386">
        <v>4.47</v>
      </c>
      <c r="F42" s="4375">
        <v>5.57</v>
      </c>
      <c r="G42" s="4375">
        <v>5.36</v>
      </c>
      <c r="H42" s="4387"/>
      <c r="I42" s="4375"/>
      <c r="J42" s="4375"/>
      <c r="K42" s="4375"/>
      <c r="L42" s="4375"/>
      <c r="M42" s="4375"/>
      <c r="N42" s="4375"/>
      <c r="O42" s="4375"/>
      <c r="P42" s="4375"/>
      <c r="Q42" s="4375"/>
      <c r="R42" s="4375"/>
      <c r="S42" s="4376"/>
      <c r="T42" s="4376"/>
      <c r="U42" s="4376"/>
      <c r="V42" s="4376"/>
      <c r="W42" s="4374"/>
      <c r="X42" s="4374"/>
      <c r="Y42" s="4374"/>
      <c r="Z42" s="4374"/>
      <c r="AD42" s="593"/>
      <c r="AE42" s="594"/>
    </row>
    <row r="43" spans="1:31" s="33" customFormat="1" ht="10.5" x14ac:dyDescent="0.2">
      <c r="A43" s="4393"/>
      <c r="B43" s="4380"/>
      <c r="C43" s="4372"/>
      <c r="D43" s="4385" t="s">
        <v>249</v>
      </c>
      <c r="E43" s="4386">
        <v>4.53</v>
      </c>
      <c r="F43" s="4375">
        <v>4.7699999999999996</v>
      </c>
      <c r="G43" s="4375">
        <v>4.7300000000000004</v>
      </c>
      <c r="H43" s="4387"/>
      <c r="I43" s="4375"/>
      <c r="J43" s="4375"/>
      <c r="K43" s="4375"/>
      <c r="L43" s="4375"/>
      <c r="M43" s="4375"/>
      <c r="N43" s="4375"/>
      <c r="O43" s="4375"/>
      <c r="P43" s="4375"/>
      <c r="Q43" s="4375"/>
      <c r="R43" s="4375"/>
      <c r="S43" s="4376"/>
      <c r="T43" s="4376"/>
      <c r="U43" s="4376"/>
      <c r="V43" s="4376"/>
      <c r="W43" s="4374"/>
      <c r="X43" s="4374"/>
      <c r="Y43" s="4374"/>
      <c r="Z43" s="4374"/>
      <c r="AD43" s="593"/>
      <c r="AE43" s="594"/>
    </row>
    <row r="44" spans="1:31" s="33" customFormat="1" ht="10.5" x14ac:dyDescent="0.2">
      <c r="A44" s="4393"/>
      <c r="B44" s="4380"/>
      <c r="C44" s="4372"/>
      <c r="D44" s="4385" t="s">
        <v>250</v>
      </c>
      <c r="E44" s="4386">
        <v>3.78</v>
      </c>
      <c r="F44" s="4375">
        <v>4.32</v>
      </c>
      <c r="G44" s="4375">
        <v>4.33</v>
      </c>
      <c r="H44" s="4387"/>
      <c r="I44" s="4375"/>
      <c r="J44" s="4375"/>
      <c r="K44" s="4375"/>
      <c r="L44" s="4375"/>
      <c r="M44" s="4375"/>
      <c r="N44" s="4375"/>
      <c r="O44" s="4375"/>
      <c r="P44" s="4375"/>
      <c r="Q44" s="4375"/>
      <c r="R44" s="4375"/>
      <c r="S44" s="4376"/>
      <c r="T44" s="4376"/>
      <c r="U44" s="4376"/>
      <c r="V44" s="4376"/>
      <c r="W44" s="4374"/>
      <c r="X44" s="4374"/>
      <c r="Y44" s="4374"/>
      <c r="Z44" s="4374"/>
      <c r="AD44" s="593"/>
      <c r="AE44" s="594"/>
    </row>
    <row r="45" spans="1:31" s="33" customFormat="1" ht="20" x14ac:dyDescent="0.2">
      <c r="A45" s="4393"/>
      <c r="B45" s="4380"/>
      <c r="C45" s="4372"/>
      <c r="D45" s="4385" t="s">
        <v>251</v>
      </c>
      <c r="E45" s="4386">
        <v>3.62</v>
      </c>
      <c r="F45" s="4375">
        <v>3.97</v>
      </c>
      <c r="G45" s="4375">
        <v>3.95</v>
      </c>
      <c r="H45" s="4387"/>
      <c r="I45" s="4375"/>
      <c r="J45" s="4375"/>
      <c r="K45" s="4375"/>
      <c r="L45" s="4375"/>
      <c r="M45" s="4375"/>
      <c r="N45" s="4375"/>
      <c r="O45" s="4375"/>
      <c r="P45" s="4375"/>
      <c r="Q45" s="4375"/>
      <c r="R45" s="4375"/>
      <c r="S45" s="4376"/>
      <c r="T45" s="4376"/>
      <c r="U45" s="4376"/>
      <c r="V45" s="4376"/>
      <c r="W45" s="4374"/>
      <c r="X45" s="4374"/>
      <c r="Y45" s="4374"/>
      <c r="Z45" s="4374"/>
      <c r="AD45" s="593"/>
      <c r="AE45" s="594"/>
    </row>
    <row r="46" spans="1:31" s="33" customFormat="1" ht="10.5" x14ac:dyDescent="0.2">
      <c r="A46" s="4393"/>
      <c r="B46" s="4380"/>
      <c r="C46" s="4372"/>
      <c r="D46" s="4388" t="s">
        <v>231</v>
      </c>
      <c r="E46" s="4389">
        <v>47</v>
      </c>
      <c r="F46" s="4390">
        <v>44.82</v>
      </c>
      <c r="G46" s="4390">
        <v>45.49</v>
      </c>
      <c r="H46" s="4391"/>
      <c r="I46" s="4375"/>
      <c r="J46" s="4375"/>
      <c r="K46" s="4375"/>
      <c r="L46" s="4375"/>
      <c r="M46" s="4375"/>
      <c r="N46" s="4375"/>
      <c r="O46" s="4375"/>
      <c r="P46" s="4375"/>
      <c r="Q46" s="4375"/>
      <c r="R46" s="4375"/>
      <c r="S46" s="4376"/>
      <c r="T46" s="4376"/>
      <c r="U46" s="4376"/>
      <c r="V46" s="4376"/>
      <c r="W46" s="4374"/>
      <c r="X46" s="4374"/>
      <c r="Y46" s="4374"/>
      <c r="Z46" s="4374"/>
      <c r="AD46" s="593"/>
      <c r="AE46" s="594"/>
    </row>
    <row r="47" spans="1:31" s="33" customFormat="1" ht="10.5" x14ac:dyDescent="0.25">
      <c r="A47" s="4393"/>
      <c r="B47" s="4380"/>
      <c r="C47" s="4372"/>
      <c r="D47" s="4373"/>
      <c r="E47" s="4375"/>
      <c r="F47" s="4375"/>
      <c r="G47" s="4375"/>
      <c r="H47" s="4375"/>
      <c r="I47" s="4375"/>
      <c r="J47" s="4375"/>
      <c r="K47" s="4375"/>
      <c r="L47" s="4375"/>
      <c r="M47" s="4375"/>
      <c r="N47" s="4375"/>
      <c r="O47" s="4375"/>
      <c r="P47" s="4375"/>
      <c r="Q47" s="4376"/>
      <c r="R47" s="4376"/>
      <c r="S47" s="4376"/>
      <c r="T47" s="4376"/>
      <c r="U47" s="4374"/>
      <c r="V47" s="4374"/>
      <c r="W47" s="4374"/>
      <c r="X47" s="4374"/>
      <c r="Y47" s="4374"/>
      <c r="Z47" s="4374"/>
      <c r="AB47" s="593"/>
      <c r="AC47" s="594"/>
    </row>
    <row r="48" spans="1:31" s="33" customFormat="1" ht="10.5" x14ac:dyDescent="0.25">
      <c r="A48" s="4393"/>
      <c r="B48" s="4380"/>
      <c r="C48" s="4372"/>
      <c r="D48" s="4373"/>
      <c r="E48" s="4375"/>
      <c r="F48" s="4375"/>
      <c r="G48" s="4375"/>
      <c r="H48" s="4375"/>
      <c r="I48" s="4375"/>
      <c r="J48" s="4375"/>
      <c r="K48" s="4375"/>
      <c r="L48" s="4375"/>
      <c r="M48" s="4375"/>
      <c r="N48" s="4375"/>
      <c r="O48" s="4375"/>
      <c r="P48" s="4375"/>
      <c r="Q48" s="4376"/>
      <c r="R48" s="4376"/>
      <c r="S48" s="4376"/>
      <c r="T48" s="4376"/>
      <c r="U48" s="4374"/>
      <c r="V48" s="4374"/>
      <c r="W48" s="4374"/>
      <c r="X48" s="4374"/>
      <c r="Y48" s="4374"/>
      <c r="Z48" s="4374"/>
      <c r="AB48" s="593"/>
      <c r="AC48" s="594"/>
    </row>
    <row r="49" spans="1:43" s="33" customFormat="1" ht="10.5" x14ac:dyDescent="0.25">
      <c r="A49" s="99"/>
      <c r="B49" s="100"/>
      <c r="C49" s="101"/>
      <c r="D49" s="89" t="s">
        <v>252</v>
      </c>
      <c r="E49" s="89" t="s">
        <v>386</v>
      </c>
      <c r="F49" s="567"/>
      <c r="G49" s="567"/>
      <c r="H49" s="567"/>
      <c r="I49" s="567"/>
      <c r="J49" s="567"/>
      <c r="K49" s="567"/>
      <c r="L49" s="567"/>
      <c r="M49" s="567"/>
      <c r="N49" s="567"/>
      <c r="O49" s="567"/>
      <c r="P49" s="567"/>
      <c r="Q49" s="586"/>
      <c r="R49" s="586"/>
      <c r="S49" s="586"/>
      <c r="T49" s="586"/>
      <c r="AB49" s="11"/>
      <c r="AC49" s="11"/>
    </row>
    <row r="50" spans="1:43" s="33" customFormat="1" ht="10.5" x14ac:dyDescent="0.25">
      <c r="A50" s="99"/>
      <c r="B50" s="100"/>
      <c r="C50" s="101"/>
      <c r="D50" s="595"/>
      <c r="E50" s="596">
        <v>1997</v>
      </c>
      <c r="F50" s="596">
        <v>1998</v>
      </c>
      <c r="G50" s="596">
        <v>1999</v>
      </c>
      <c r="H50" s="596">
        <v>2000</v>
      </c>
      <c r="I50" s="596">
        <v>2001</v>
      </c>
      <c r="J50" s="596">
        <v>2002</v>
      </c>
      <c r="K50" s="596">
        <v>2003</v>
      </c>
      <c r="L50" s="596">
        <v>2004</v>
      </c>
      <c r="M50" s="596">
        <v>2005</v>
      </c>
      <c r="N50" s="596">
        <v>2006</v>
      </c>
      <c r="O50" s="596">
        <v>2007</v>
      </c>
      <c r="P50" s="596">
        <v>2008</v>
      </c>
      <c r="Q50" s="596">
        <v>2009</v>
      </c>
      <c r="R50" s="596">
        <v>2010</v>
      </c>
      <c r="S50" s="596">
        <v>2011</v>
      </c>
      <c r="T50" s="596">
        <v>2012</v>
      </c>
      <c r="U50" s="596">
        <v>2013</v>
      </c>
      <c r="V50" s="596">
        <v>2014</v>
      </c>
      <c r="W50" s="597">
        <v>2015</v>
      </c>
      <c r="X50" s="597">
        <v>2016</v>
      </c>
      <c r="Y50" s="597">
        <v>2017</v>
      </c>
      <c r="Z50" s="598">
        <v>2018</v>
      </c>
    </row>
    <row r="51" spans="1:43" s="33" customFormat="1" ht="10.5" x14ac:dyDescent="0.2">
      <c r="A51" s="99"/>
      <c r="B51" s="100"/>
      <c r="C51" s="101"/>
      <c r="D51" s="589" t="s">
        <v>253</v>
      </c>
      <c r="E51" s="599">
        <v>355</v>
      </c>
      <c r="F51" s="600">
        <v>200</v>
      </c>
      <c r="G51" s="600">
        <v>140</v>
      </c>
      <c r="H51" s="601">
        <v>902</v>
      </c>
      <c r="I51" s="601">
        <v>968</v>
      </c>
      <c r="J51" s="601">
        <v>983</v>
      </c>
      <c r="K51" s="601">
        <v>924</v>
      </c>
      <c r="L51" s="601">
        <v>957</v>
      </c>
      <c r="M51" s="601" t="s">
        <v>254</v>
      </c>
      <c r="N51" s="601">
        <v>868</v>
      </c>
      <c r="O51" s="601">
        <v>918</v>
      </c>
      <c r="P51" s="601">
        <v>863</v>
      </c>
      <c r="Q51" s="601">
        <v>833</v>
      </c>
      <c r="R51" s="601">
        <v>822</v>
      </c>
      <c r="S51" s="601">
        <v>567</v>
      </c>
      <c r="T51" s="601">
        <v>685</v>
      </c>
      <c r="U51" s="601">
        <v>474</v>
      </c>
      <c r="V51" s="601">
        <v>445</v>
      </c>
      <c r="W51" s="602">
        <v>453</v>
      </c>
      <c r="X51" s="602">
        <v>403</v>
      </c>
      <c r="Y51" s="602">
        <v>595</v>
      </c>
      <c r="Z51" s="603">
        <v>451</v>
      </c>
    </row>
    <row r="52" spans="1:43" s="614" customFormat="1" ht="11.5" x14ac:dyDescent="0.25">
      <c r="A52" s="604"/>
      <c r="B52" s="605"/>
      <c r="C52" s="606"/>
      <c r="D52" s="607" t="s">
        <v>200</v>
      </c>
      <c r="E52" s="608">
        <v>38</v>
      </c>
      <c r="F52" s="609">
        <v>37</v>
      </c>
      <c r="G52" s="609">
        <v>43</v>
      </c>
      <c r="H52" s="610">
        <v>21</v>
      </c>
      <c r="I52" s="610">
        <v>20</v>
      </c>
      <c r="J52" s="610">
        <v>18</v>
      </c>
      <c r="K52" s="610">
        <v>22</v>
      </c>
      <c r="L52" s="610">
        <v>19</v>
      </c>
      <c r="M52" s="610">
        <v>23</v>
      </c>
      <c r="N52" s="610">
        <v>25</v>
      </c>
      <c r="O52" s="610">
        <v>24</v>
      </c>
      <c r="P52" s="610">
        <v>23</v>
      </c>
      <c r="Q52" s="610">
        <v>26</v>
      </c>
      <c r="R52" s="610">
        <v>26</v>
      </c>
      <c r="S52" s="610">
        <v>30</v>
      </c>
      <c r="T52" s="610">
        <v>26</v>
      </c>
      <c r="U52" s="610">
        <v>31</v>
      </c>
      <c r="V52" s="610">
        <v>31</v>
      </c>
      <c r="W52" s="611">
        <v>30</v>
      </c>
      <c r="X52" s="611"/>
      <c r="Y52" s="611"/>
      <c r="Z52" s="612"/>
      <c r="AA52" s="613"/>
      <c r="AB52" s="613"/>
      <c r="AC52" s="613"/>
    </row>
    <row r="53" spans="1:43" s="33" customFormat="1" ht="12" x14ac:dyDescent="0.3">
      <c r="A53" s="99"/>
      <c r="B53" s="100"/>
      <c r="C53" s="101"/>
      <c r="D53" s="589" t="s">
        <v>255</v>
      </c>
      <c r="E53" s="615">
        <v>6917</v>
      </c>
      <c r="F53" s="616" t="s">
        <v>256</v>
      </c>
      <c r="G53" s="616" t="s">
        <v>257</v>
      </c>
      <c r="H53" s="617" t="s">
        <v>258</v>
      </c>
      <c r="I53" s="617" t="s">
        <v>259</v>
      </c>
      <c r="J53" s="617" t="s">
        <v>260</v>
      </c>
      <c r="K53" s="617" t="s">
        <v>261</v>
      </c>
      <c r="L53" s="617">
        <v>846</v>
      </c>
      <c r="M53" s="617">
        <v>821</v>
      </c>
      <c r="N53" s="617">
        <v>572</v>
      </c>
      <c r="O53" s="617">
        <v>537</v>
      </c>
      <c r="P53" s="617">
        <v>879</v>
      </c>
      <c r="Q53" s="617">
        <v>806</v>
      </c>
      <c r="R53" s="617">
        <v>4509</v>
      </c>
      <c r="S53" s="617">
        <v>4729</v>
      </c>
      <c r="T53" s="617">
        <v>5520</v>
      </c>
      <c r="U53" s="617">
        <v>4282</v>
      </c>
      <c r="V53" s="617">
        <v>4620</v>
      </c>
      <c r="W53" s="618">
        <v>4046</v>
      </c>
      <c r="X53" s="618">
        <v>3852</v>
      </c>
      <c r="Y53" s="618">
        <v>4940</v>
      </c>
      <c r="Z53" s="619">
        <v>4295</v>
      </c>
      <c r="AA53" s="620"/>
      <c r="AB53" s="620"/>
      <c r="AC53" s="621"/>
    </row>
    <row r="54" spans="1:43" s="614" customFormat="1" ht="12" x14ac:dyDescent="0.3">
      <c r="A54" s="604"/>
      <c r="B54" s="605"/>
      <c r="C54" s="606"/>
      <c r="D54" s="607" t="s">
        <v>200</v>
      </c>
      <c r="E54" s="608">
        <v>14</v>
      </c>
      <c r="F54" s="609">
        <v>7</v>
      </c>
      <c r="G54" s="609">
        <v>7</v>
      </c>
      <c r="H54" s="610">
        <v>15</v>
      </c>
      <c r="I54" s="610">
        <v>18</v>
      </c>
      <c r="J54" s="610">
        <v>11</v>
      </c>
      <c r="K54" s="610">
        <v>11</v>
      </c>
      <c r="L54" s="610">
        <v>24</v>
      </c>
      <c r="M54" s="610">
        <v>26</v>
      </c>
      <c r="N54" s="610">
        <v>31</v>
      </c>
      <c r="O54" s="610">
        <v>29</v>
      </c>
      <c r="P54" s="610">
        <v>30</v>
      </c>
      <c r="Q54" s="610">
        <v>29</v>
      </c>
      <c r="R54" s="610">
        <v>12</v>
      </c>
      <c r="S54" s="610">
        <v>12</v>
      </c>
      <c r="T54" s="610">
        <v>11</v>
      </c>
      <c r="U54" s="610">
        <v>14</v>
      </c>
      <c r="V54" s="610">
        <v>14</v>
      </c>
      <c r="W54" s="611">
        <v>14</v>
      </c>
      <c r="X54" s="611"/>
      <c r="Y54" s="611"/>
      <c r="Z54" s="612"/>
      <c r="AA54" s="620"/>
      <c r="AB54" s="620"/>
      <c r="AC54" s="620"/>
    </row>
    <row r="55" spans="1:43" s="33" customFormat="1" ht="12" x14ac:dyDescent="0.3">
      <c r="A55" s="99"/>
      <c r="B55" s="100"/>
      <c r="C55" s="101"/>
      <c r="D55" s="589" t="s">
        <v>262</v>
      </c>
      <c r="E55" s="615">
        <v>458</v>
      </c>
      <c r="F55" s="616">
        <v>379</v>
      </c>
      <c r="G55" s="616">
        <v>386</v>
      </c>
      <c r="H55" s="617">
        <v>420</v>
      </c>
      <c r="I55" s="617">
        <v>415</v>
      </c>
      <c r="J55" s="617">
        <v>425</v>
      </c>
      <c r="K55" s="617">
        <v>433</v>
      </c>
      <c r="L55" s="617">
        <v>431</v>
      </c>
      <c r="M55" s="617">
        <v>483</v>
      </c>
      <c r="N55" s="617">
        <v>378</v>
      </c>
      <c r="O55" s="617">
        <v>428</v>
      </c>
      <c r="P55" s="617">
        <v>467</v>
      </c>
      <c r="Q55" s="617">
        <v>415</v>
      </c>
      <c r="R55" s="617">
        <v>559</v>
      </c>
      <c r="S55" s="617">
        <v>555</v>
      </c>
      <c r="T55" s="617">
        <v>667</v>
      </c>
      <c r="U55" s="617">
        <v>965</v>
      </c>
      <c r="V55" s="617">
        <v>889</v>
      </c>
      <c r="W55" s="618">
        <v>773</v>
      </c>
      <c r="X55" s="618">
        <v>674</v>
      </c>
      <c r="Y55" s="618">
        <v>835</v>
      </c>
      <c r="Z55" s="619">
        <v>992</v>
      </c>
      <c r="AA55" s="620"/>
      <c r="AB55" s="620"/>
      <c r="AC55" s="621"/>
    </row>
    <row r="56" spans="1:43" s="614" customFormat="1" ht="12" x14ac:dyDescent="0.3">
      <c r="A56" s="604"/>
      <c r="B56" s="605"/>
      <c r="C56" s="606"/>
      <c r="D56" s="622" t="s">
        <v>200</v>
      </c>
      <c r="E56" s="623">
        <v>21</v>
      </c>
      <c r="F56" s="623">
        <v>22</v>
      </c>
      <c r="G56" s="623">
        <v>21</v>
      </c>
      <c r="H56" s="624">
        <v>21</v>
      </c>
      <c r="I56" s="624">
        <v>22</v>
      </c>
      <c r="J56" s="624">
        <v>23</v>
      </c>
      <c r="K56" s="624">
        <v>26</v>
      </c>
      <c r="L56" s="624">
        <v>26</v>
      </c>
      <c r="M56" s="624">
        <v>25</v>
      </c>
      <c r="N56" s="624">
        <v>28</v>
      </c>
      <c r="O56" s="624">
        <v>28</v>
      </c>
      <c r="P56" s="624">
        <v>27</v>
      </c>
      <c r="Q56" s="624">
        <v>32</v>
      </c>
      <c r="R56" s="624">
        <v>29</v>
      </c>
      <c r="S56" s="624">
        <v>30</v>
      </c>
      <c r="T56" s="624">
        <v>28</v>
      </c>
      <c r="U56" s="624">
        <v>26</v>
      </c>
      <c r="V56" s="624">
        <v>27</v>
      </c>
      <c r="W56" s="625">
        <v>29</v>
      </c>
      <c r="X56" s="625"/>
      <c r="Y56" s="625"/>
      <c r="Z56" s="626"/>
      <c r="AA56" s="620"/>
      <c r="AB56" s="620"/>
      <c r="AC56" s="620"/>
    </row>
    <row r="57" spans="1:43" s="614" customFormat="1" ht="12" x14ac:dyDescent="0.3">
      <c r="A57" s="604"/>
      <c r="B57" s="605"/>
      <c r="C57" s="606"/>
      <c r="D57" s="627"/>
      <c r="E57" s="628"/>
      <c r="F57" s="628"/>
      <c r="G57" s="628"/>
      <c r="H57" s="628"/>
      <c r="I57" s="628"/>
      <c r="J57" s="628"/>
      <c r="K57" s="628"/>
      <c r="L57" s="628"/>
      <c r="M57" s="628"/>
      <c r="N57" s="628"/>
      <c r="O57" s="628"/>
      <c r="P57" s="628"/>
      <c r="Q57" s="628"/>
      <c r="R57" s="628"/>
      <c r="S57" s="628"/>
      <c r="T57" s="628"/>
      <c r="U57" s="628"/>
      <c r="V57" s="629"/>
      <c r="W57" s="630"/>
      <c r="X57" s="620"/>
      <c r="Y57" s="620"/>
      <c r="Z57" s="620"/>
      <c r="AA57" s="620"/>
      <c r="AB57" s="627"/>
      <c r="AC57" s="628"/>
      <c r="AD57" s="628"/>
      <c r="AE57" s="628"/>
      <c r="AF57" s="628"/>
      <c r="AG57" s="628"/>
      <c r="AH57" s="628"/>
      <c r="AI57" s="628"/>
      <c r="AJ57" s="628"/>
      <c r="AK57" s="628"/>
      <c r="AL57" s="628"/>
      <c r="AM57" s="628"/>
      <c r="AN57" s="628"/>
      <c r="AO57" s="628"/>
      <c r="AP57" s="628"/>
      <c r="AQ57" s="628"/>
    </row>
    <row r="58" spans="1:43" ht="12.75" customHeight="1" x14ac:dyDescent="0.35">
      <c r="A58" s="86">
        <v>6</v>
      </c>
      <c r="B58" s="87" t="s">
        <v>58</v>
      </c>
      <c r="C58" s="86"/>
      <c r="D58" s="4642" t="s">
        <v>263</v>
      </c>
      <c r="E58" s="4643"/>
      <c r="F58" s="4643"/>
      <c r="G58" s="4643"/>
      <c r="H58" s="4643"/>
      <c r="I58" s="4643"/>
      <c r="J58" s="4643"/>
      <c r="K58" s="4643"/>
      <c r="L58" s="4643"/>
      <c r="M58" s="4643"/>
      <c r="N58" s="4643"/>
      <c r="O58" s="4643"/>
      <c r="P58" s="4643"/>
      <c r="Q58" s="4643"/>
      <c r="R58" s="4643"/>
      <c r="S58" s="4643"/>
      <c r="T58" s="4643"/>
      <c r="U58" s="4643"/>
      <c r="V58" s="4643"/>
      <c r="W58" s="4643"/>
      <c r="X58" s="4643"/>
      <c r="Y58" s="4644"/>
      <c r="Z58" s="115"/>
      <c r="AA58" s="620"/>
      <c r="AB58" s="621"/>
      <c r="AC58" s="620"/>
    </row>
    <row r="59" spans="1:43" ht="39.75" customHeight="1" x14ac:dyDescent="0.35">
      <c r="A59" s="113">
        <v>7</v>
      </c>
      <c r="B59" s="114" t="s">
        <v>60</v>
      </c>
      <c r="C59" s="113"/>
      <c r="D59" s="4688" t="s">
        <v>264</v>
      </c>
      <c r="E59" s="4689"/>
      <c r="F59" s="4689"/>
      <c r="G59" s="4689"/>
      <c r="H59" s="4689"/>
      <c r="I59" s="4689"/>
      <c r="J59" s="4689"/>
      <c r="K59" s="4689"/>
      <c r="L59" s="4689"/>
      <c r="M59" s="4689"/>
      <c r="N59" s="4689"/>
      <c r="O59" s="4689"/>
      <c r="P59" s="4689"/>
      <c r="Q59" s="4689"/>
      <c r="R59" s="4689"/>
      <c r="S59" s="4689"/>
      <c r="T59" s="4689"/>
      <c r="U59" s="4689"/>
      <c r="V59" s="4689"/>
      <c r="W59" s="4689"/>
      <c r="X59" s="4689"/>
      <c r="Y59" s="4690"/>
      <c r="Z59" s="478"/>
      <c r="AA59" s="621"/>
      <c r="AB59" s="620"/>
      <c r="AC59" s="621"/>
      <c r="AD59" s="620"/>
      <c r="AE59" s="621"/>
      <c r="AF59" s="620"/>
    </row>
    <row r="60" spans="1:43" ht="22" customHeight="1" x14ac:dyDescent="0.35">
      <c r="A60" s="86">
        <v>8</v>
      </c>
      <c r="B60" s="87" t="s">
        <v>62</v>
      </c>
      <c r="C60" s="86"/>
      <c r="D60" s="4691" t="s">
        <v>265</v>
      </c>
      <c r="E60" s="4692"/>
      <c r="F60" s="4692"/>
      <c r="G60" s="4692"/>
      <c r="H60" s="4692"/>
      <c r="I60" s="4692"/>
      <c r="J60" s="4692"/>
      <c r="K60" s="4692"/>
      <c r="L60" s="4692"/>
      <c r="M60" s="4692"/>
      <c r="N60" s="4692"/>
      <c r="O60" s="4692"/>
      <c r="P60" s="4692"/>
      <c r="Q60" s="4692"/>
      <c r="R60" s="4692"/>
      <c r="S60" s="4692"/>
      <c r="T60" s="4692"/>
      <c r="U60" s="4692"/>
      <c r="V60" s="4692"/>
      <c r="W60" s="4692"/>
      <c r="X60" s="4692"/>
      <c r="Y60" s="4693"/>
      <c r="Z60" s="482"/>
      <c r="AA60" s="621"/>
      <c r="AB60" s="620"/>
      <c r="AC60" s="621"/>
      <c r="AD60" s="620"/>
      <c r="AE60" s="621"/>
      <c r="AF60" s="620"/>
    </row>
    <row r="61" spans="1:43" ht="46.25" customHeight="1" x14ac:dyDescent="0.35">
      <c r="A61" s="86">
        <v>9</v>
      </c>
      <c r="B61" s="87" t="s">
        <v>64</v>
      </c>
      <c r="D61" s="4691" t="s">
        <v>266</v>
      </c>
      <c r="E61" s="4692"/>
      <c r="F61" s="4692"/>
      <c r="G61" s="4692"/>
      <c r="H61" s="4692"/>
      <c r="I61" s="4692"/>
      <c r="J61" s="4692"/>
      <c r="K61" s="4692"/>
      <c r="L61" s="4692"/>
      <c r="M61" s="4692"/>
      <c r="N61" s="4692"/>
      <c r="O61" s="4692"/>
      <c r="P61" s="4692"/>
      <c r="Q61" s="4692"/>
      <c r="R61" s="4692"/>
      <c r="S61" s="4692"/>
      <c r="T61" s="4692"/>
      <c r="U61" s="4692"/>
      <c r="V61" s="4692"/>
      <c r="W61" s="4692"/>
      <c r="X61" s="4692"/>
      <c r="Y61" s="4693"/>
      <c r="Z61" s="482"/>
      <c r="AA61" s="621"/>
      <c r="AB61" s="620"/>
      <c r="AC61" s="621"/>
      <c r="AD61" s="620"/>
      <c r="AE61" s="621"/>
      <c r="AF61" s="620"/>
    </row>
  </sheetData>
  <mergeCells count="7">
    <mergeCell ref="D58:Y58"/>
    <mergeCell ref="D59:Y59"/>
    <mergeCell ref="D60:Y60"/>
    <mergeCell ref="D61:Y61"/>
    <mergeCell ref="D2:Z2"/>
    <mergeCell ref="D3:Z3"/>
    <mergeCell ref="D4:Z4"/>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DE133"/>
  <sheetViews>
    <sheetView showGridLines="0" view="pageBreakPreview" zoomScale="90" zoomScaleNormal="100" zoomScaleSheetLayoutView="90" workbookViewId="0">
      <selection activeCell="B19" sqref="B19"/>
    </sheetView>
  </sheetViews>
  <sheetFormatPr defaultColWidth="9.1796875" defaultRowHeight="14.5" x14ac:dyDescent="0.35"/>
  <cols>
    <col min="1" max="1" width="3.81640625" style="631" customWidth="1"/>
    <col min="2" max="2" width="11.81640625" style="83" customWidth="1"/>
    <col min="3" max="3" width="4.54296875" style="632" customWidth="1"/>
    <col min="4" max="4" width="20.453125" style="636" customWidth="1"/>
    <col min="5" max="5" width="7" style="636" customWidth="1"/>
    <col min="6" max="6" width="5.453125" style="636" customWidth="1"/>
    <col min="7" max="7" width="5.81640625" style="636" customWidth="1"/>
    <col min="8" max="18" width="8.1796875" style="636" customWidth="1"/>
    <col min="19" max="19" width="7.1796875" style="635" customWidth="1"/>
    <col min="20" max="23" width="8.1796875" style="635" customWidth="1"/>
    <col min="24" max="26" width="6.1796875" style="635" customWidth="1"/>
    <col min="27" max="27" width="5.1796875" style="635" customWidth="1"/>
    <col min="28" max="28" width="5.81640625" style="635" customWidth="1"/>
    <col min="29" max="29" width="7.1796875" style="635" customWidth="1"/>
    <col min="30" max="30" width="5" style="635" customWidth="1"/>
    <col min="31" max="31" width="10" style="635" bestFit="1" customWidth="1"/>
    <col min="32" max="32" width="9.81640625" style="635" bestFit="1" customWidth="1"/>
    <col min="33" max="35" width="10" style="635" bestFit="1" customWidth="1"/>
    <col min="36" max="36" width="9.81640625" style="635" bestFit="1" customWidth="1"/>
    <col min="37" max="37" width="10" style="635" bestFit="1" customWidth="1"/>
    <col min="38" max="38" width="10" style="635" customWidth="1"/>
    <col min="39" max="39" width="10" style="635" bestFit="1" customWidth="1"/>
    <col min="40" max="40" width="9.81640625" style="635" bestFit="1" customWidth="1"/>
    <col min="41" max="43" width="10" style="635" bestFit="1" customWidth="1"/>
    <col min="44" max="44" width="9.81640625" style="635" bestFit="1" customWidth="1"/>
    <col min="45" max="47" width="10" style="635" bestFit="1" customWidth="1"/>
    <col min="48" max="48" width="9.81640625" style="635" bestFit="1" customWidth="1"/>
    <col min="49" max="51" width="10" style="635" bestFit="1" customWidth="1"/>
    <col min="52" max="52" width="9.81640625" style="635" bestFit="1" customWidth="1"/>
    <col min="53" max="55" width="10" style="635" bestFit="1" customWidth="1"/>
    <col min="56" max="56" width="9.81640625" style="635" bestFit="1" customWidth="1"/>
    <col min="57" max="59" width="10" style="635" bestFit="1" customWidth="1"/>
    <col min="60" max="60" width="9.81640625" style="635" bestFit="1" customWidth="1"/>
    <col min="61" max="63" width="10" style="635" bestFit="1" customWidth="1"/>
    <col min="64" max="65" width="9.81640625" style="635" bestFit="1" customWidth="1"/>
    <col min="66" max="67" width="10" style="635" bestFit="1" customWidth="1"/>
    <col min="68" max="68" width="11.54296875" style="635" customWidth="1"/>
    <col min="69" max="70" width="10.453125" style="635" customWidth="1"/>
    <col min="71" max="71" width="10.453125" style="636" customWidth="1"/>
    <col min="72" max="16384" width="9.1796875" style="636"/>
  </cols>
  <sheetData>
    <row r="1" spans="1:72" x14ac:dyDescent="0.35">
      <c r="D1" s="633"/>
      <c r="E1" s="633"/>
      <c r="F1" s="633"/>
      <c r="G1" s="634"/>
      <c r="H1" s="634"/>
      <c r="I1" s="634"/>
      <c r="J1" s="634"/>
      <c r="K1" s="634"/>
      <c r="L1" s="634"/>
      <c r="M1" s="634"/>
      <c r="N1" s="634"/>
      <c r="O1" s="634"/>
      <c r="P1" s="634"/>
      <c r="Q1" s="634"/>
      <c r="R1" s="634"/>
      <c r="S1" s="633"/>
      <c r="T1" s="633"/>
      <c r="U1" s="633"/>
      <c r="V1" s="633"/>
      <c r="BS1" s="635"/>
    </row>
    <row r="2" spans="1:72" ht="15" customHeight="1" x14ac:dyDescent="0.35">
      <c r="A2" s="87">
        <v>1</v>
      </c>
      <c r="B2" s="87" t="s">
        <v>0</v>
      </c>
      <c r="C2" s="87">
        <v>13</v>
      </c>
      <c r="D2" s="4712" t="s">
        <v>384</v>
      </c>
      <c r="E2" s="4713"/>
      <c r="F2" s="4713"/>
      <c r="G2" s="4713"/>
      <c r="H2" s="4713"/>
      <c r="I2" s="4713"/>
      <c r="J2" s="4713"/>
      <c r="K2" s="4713"/>
      <c r="L2" s="4713"/>
      <c r="M2" s="4713"/>
      <c r="N2" s="4713"/>
      <c r="O2" s="4713"/>
      <c r="P2" s="4713"/>
      <c r="Q2" s="4713"/>
      <c r="R2" s="4713"/>
      <c r="S2" s="4713"/>
      <c r="T2" s="4713"/>
      <c r="U2" s="4713"/>
      <c r="V2" s="4713"/>
      <c r="W2" s="4713"/>
      <c r="X2" s="4713"/>
      <c r="Y2" s="4713"/>
      <c r="Z2" s="4713"/>
      <c r="AA2" s="4713"/>
      <c r="AB2" s="4713"/>
      <c r="AC2" s="4714"/>
      <c r="AD2" s="637"/>
      <c r="AE2" s="637"/>
      <c r="AF2" s="637"/>
      <c r="AG2" s="637"/>
      <c r="AH2" s="637"/>
      <c r="AI2" s="637"/>
      <c r="AJ2" s="637"/>
      <c r="AK2" s="637"/>
      <c r="AL2" s="637"/>
      <c r="AM2" s="637"/>
      <c r="AN2" s="637"/>
      <c r="AO2" s="637"/>
      <c r="AP2" s="637"/>
      <c r="BS2" s="635"/>
    </row>
    <row r="3" spans="1:72" ht="15" customHeight="1" x14ac:dyDescent="0.35">
      <c r="A3" s="87">
        <v>2</v>
      </c>
      <c r="B3" s="87" t="s">
        <v>2</v>
      </c>
      <c r="C3" s="631"/>
      <c r="D3" s="4712" t="s">
        <v>268</v>
      </c>
      <c r="E3" s="4713"/>
      <c r="F3" s="4713"/>
      <c r="G3" s="4713"/>
      <c r="H3" s="4713"/>
      <c r="I3" s="4713"/>
      <c r="J3" s="4713"/>
      <c r="K3" s="4713"/>
      <c r="L3" s="4713"/>
      <c r="M3" s="4713"/>
      <c r="N3" s="4713"/>
      <c r="O3" s="4713"/>
      <c r="P3" s="4713"/>
      <c r="Q3" s="4713"/>
      <c r="R3" s="4713"/>
      <c r="S3" s="4713"/>
      <c r="T3" s="4713"/>
      <c r="U3" s="4713"/>
      <c r="V3" s="4713"/>
      <c r="W3" s="4713"/>
      <c r="X3" s="4713"/>
      <c r="Y3" s="4713"/>
      <c r="Z3" s="4713"/>
      <c r="AA3" s="4713"/>
      <c r="AB3" s="4713"/>
      <c r="AC3" s="4714"/>
      <c r="AD3" s="370"/>
      <c r="AE3" s="370"/>
      <c r="AF3" s="370"/>
      <c r="AG3" s="370"/>
      <c r="AH3" s="370"/>
      <c r="AI3" s="370"/>
      <c r="AJ3" s="370"/>
      <c r="AK3" s="370"/>
      <c r="AL3" s="370"/>
      <c r="AM3" s="370"/>
      <c r="AN3" s="370"/>
      <c r="AO3" s="370"/>
      <c r="AP3" s="370"/>
      <c r="BS3" s="635"/>
    </row>
    <row r="4" spans="1:72" ht="15" customHeight="1" x14ac:dyDescent="0.35">
      <c r="A4" s="87">
        <v>3</v>
      </c>
      <c r="B4" s="87" t="s">
        <v>4</v>
      </c>
      <c r="C4" s="631"/>
      <c r="D4" s="4712" t="s">
        <v>269</v>
      </c>
      <c r="E4" s="4713"/>
      <c r="F4" s="4713"/>
      <c r="G4" s="4713"/>
      <c r="H4" s="4713"/>
      <c r="I4" s="4713"/>
      <c r="J4" s="4713"/>
      <c r="K4" s="4713"/>
      <c r="L4" s="4713"/>
      <c r="M4" s="4713"/>
      <c r="N4" s="4713"/>
      <c r="O4" s="4713"/>
      <c r="P4" s="4713"/>
      <c r="Q4" s="4713"/>
      <c r="R4" s="4713"/>
      <c r="S4" s="4713"/>
      <c r="T4" s="4713"/>
      <c r="U4" s="4713"/>
      <c r="V4" s="4713"/>
      <c r="W4" s="4713"/>
      <c r="X4" s="4713"/>
      <c r="Y4" s="4713"/>
      <c r="Z4" s="4713"/>
      <c r="AA4" s="4713"/>
      <c r="AB4" s="4713"/>
      <c r="AC4" s="4714"/>
      <c r="AD4" s="370"/>
      <c r="AE4" s="370"/>
      <c r="AF4" s="370"/>
      <c r="AG4" s="370"/>
      <c r="AH4" s="370"/>
      <c r="AI4" s="370"/>
      <c r="AJ4" s="370"/>
      <c r="AK4" s="370"/>
      <c r="AL4" s="370"/>
      <c r="AM4" s="370"/>
      <c r="AN4" s="370"/>
      <c r="AO4" s="370"/>
      <c r="AP4" s="370"/>
      <c r="BS4" s="635"/>
    </row>
    <row r="5" spans="1:72" s="4" customFormat="1" ht="11" customHeight="1" x14ac:dyDescent="0.35">
      <c r="A5" s="87"/>
      <c r="B5" s="87"/>
      <c r="C5" s="86"/>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153"/>
      <c r="AD5" s="153"/>
      <c r="AE5" s="153"/>
      <c r="AF5" s="153"/>
      <c r="AG5" s="153"/>
      <c r="AH5" s="153"/>
      <c r="AI5" s="153"/>
      <c r="AJ5" s="153"/>
      <c r="AK5" s="153"/>
      <c r="AL5" s="153"/>
      <c r="AM5" s="153"/>
      <c r="AN5" s="153"/>
      <c r="AO5" s="153"/>
      <c r="AP5" s="153"/>
      <c r="AQ5" s="153"/>
      <c r="AR5" s="153"/>
      <c r="AS5" s="153"/>
      <c r="AT5" s="153"/>
    </row>
    <row r="6" spans="1:72" x14ac:dyDescent="0.35">
      <c r="A6" s="87">
        <v>4</v>
      </c>
      <c r="B6" s="87" t="s">
        <v>6</v>
      </c>
      <c r="C6" s="631"/>
      <c r="D6" s="638"/>
      <c r="E6" s="638" t="s">
        <v>270</v>
      </c>
      <c r="F6" s="639"/>
      <c r="G6" s="640"/>
      <c r="H6" s="640"/>
      <c r="I6" s="640"/>
      <c r="J6" s="640"/>
      <c r="K6" s="640"/>
      <c r="L6" s="640"/>
      <c r="M6" s="640"/>
      <c r="N6" s="640"/>
      <c r="O6" s="640"/>
      <c r="P6" s="640"/>
      <c r="Q6" s="641"/>
      <c r="R6" s="641"/>
      <c r="S6" s="642"/>
      <c r="T6" s="642"/>
      <c r="U6" s="642"/>
      <c r="V6" s="642"/>
      <c r="BS6" s="635"/>
    </row>
    <row r="7" spans="1:72" x14ac:dyDescent="0.35">
      <c r="A7" s="87"/>
      <c r="B7" s="100"/>
      <c r="C7" s="631"/>
      <c r="D7" s="643" t="s">
        <v>184</v>
      </c>
      <c r="E7" s="644">
        <v>34699</v>
      </c>
      <c r="F7" s="644">
        <v>35064</v>
      </c>
      <c r="G7" s="644">
        <v>35430</v>
      </c>
      <c r="H7" s="644">
        <v>35795</v>
      </c>
      <c r="I7" s="644">
        <v>36160</v>
      </c>
      <c r="J7" s="644">
        <v>36525</v>
      </c>
      <c r="K7" s="645">
        <v>36891</v>
      </c>
      <c r="L7" s="645">
        <v>37256</v>
      </c>
      <c r="M7" s="645">
        <v>37621</v>
      </c>
      <c r="N7" s="645">
        <v>37986</v>
      </c>
      <c r="O7" s="645">
        <v>38352</v>
      </c>
      <c r="P7" s="646">
        <v>38717</v>
      </c>
      <c r="Q7" s="646">
        <v>39082</v>
      </c>
      <c r="R7" s="646">
        <v>39083</v>
      </c>
      <c r="S7" s="646">
        <v>39448</v>
      </c>
      <c r="T7" s="647">
        <v>2009</v>
      </c>
      <c r="U7" s="647" t="s">
        <v>24</v>
      </c>
      <c r="V7" s="647" t="s">
        <v>25</v>
      </c>
      <c r="W7" s="647">
        <v>2012</v>
      </c>
      <c r="X7" s="647" t="s">
        <v>27</v>
      </c>
      <c r="Y7" s="647" t="s">
        <v>28</v>
      </c>
      <c r="Z7" s="647" t="s">
        <v>29</v>
      </c>
      <c r="AA7" s="647" t="s">
        <v>30</v>
      </c>
      <c r="AB7" s="648" t="s">
        <v>31</v>
      </c>
      <c r="AC7" s="648" t="s">
        <v>32</v>
      </c>
      <c r="AD7" s="649" t="s">
        <v>33</v>
      </c>
      <c r="AO7" s="635">
        <v>2013</v>
      </c>
      <c r="BS7" s="635"/>
      <c r="BT7" s="635"/>
    </row>
    <row r="8" spans="1:72" ht="15.75" customHeight="1" x14ac:dyDescent="0.35">
      <c r="A8" s="87"/>
      <c r="B8" s="100"/>
      <c r="C8" s="631"/>
      <c r="D8" s="650" t="s">
        <v>271</v>
      </c>
      <c r="E8" s="651">
        <v>15.652929168354381</v>
      </c>
      <c r="F8" s="652">
        <v>17.632610353450261</v>
      </c>
      <c r="G8" s="652">
        <v>18.697753426902462</v>
      </c>
      <c r="H8" s="652">
        <v>18.924446429257149</v>
      </c>
      <c r="I8" s="652">
        <v>19.786439583119982</v>
      </c>
      <c r="J8" s="652">
        <v>17.951897148018638</v>
      </c>
      <c r="K8" s="652">
        <v>20.015449254166647</v>
      </c>
      <c r="L8" s="652">
        <v>21.147662272115504</v>
      </c>
      <c r="M8" s="653">
        <v>23.249169244166225</v>
      </c>
      <c r="N8" s="653">
        <v>19.969738249434666</v>
      </c>
      <c r="O8" s="653">
        <v>21.112971963730757</v>
      </c>
      <c r="P8" s="653">
        <v>21.983292400079549</v>
      </c>
      <c r="Q8" s="653">
        <v>25.786723931716864</v>
      </c>
      <c r="R8" s="653">
        <v>27.092271066820512</v>
      </c>
      <c r="S8" s="653">
        <v>31.376328953683373</v>
      </c>
      <c r="T8" s="653">
        <v>22.377802244866466</v>
      </c>
      <c r="U8" s="653">
        <v>22.165583215187144</v>
      </c>
      <c r="V8" s="653">
        <v>24.660088984902067</v>
      </c>
      <c r="W8" s="653">
        <v>26.404773912511665</v>
      </c>
      <c r="X8" s="654">
        <v>28.350551430136413</v>
      </c>
      <c r="Y8" s="654">
        <v>28.108794197642794</v>
      </c>
      <c r="Z8" s="655">
        <v>26.583971293992619</v>
      </c>
      <c r="AA8" s="655">
        <v>25.037135291293239</v>
      </c>
      <c r="AB8" s="655">
        <v>23.71443570636708</v>
      </c>
      <c r="AC8" s="655">
        <v>25.09169763263457</v>
      </c>
      <c r="AD8" s="656">
        <v>24.9</v>
      </c>
      <c r="BS8" s="635"/>
      <c r="BT8" s="635"/>
    </row>
    <row r="9" spans="1:72" x14ac:dyDescent="0.35">
      <c r="A9" s="87"/>
      <c r="B9" s="100"/>
      <c r="C9" s="631"/>
      <c r="D9" s="657" t="s">
        <v>272</v>
      </c>
      <c r="E9" s="658">
        <v>18.8</v>
      </c>
      <c r="F9" s="651">
        <v>19.2</v>
      </c>
      <c r="G9" s="651">
        <v>20.7</v>
      </c>
      <c r="H9" s="651">
        <v>20.5</v>
      </c>
      <c r="I9" s="651">
        <v>21.1</v>
      </c>
      <c r="J9" s="651">
        <v>20.9</v>
      </c>
      <c r="K9" s="659">
        <v>23.5</v>
      </c>
      <c r="L9" s="659">
        <v>25.4</v>
      </c>
      <c r="M9" s="659">
        <v>27.4</v>
      </c>
      <c r="N9" s="659">
        <v>22</v>
      </c>
      <c r="O9" s="659">
        <v>21</v>
      </c>
      <c r="P9" s="659">
        <v>21.9</v>
      </c>
      <c r="Q9" s="659">
        <v>24.5</v>
      </c>
      <c r="R9" s="659">
        <v>26.2</v>
      </c>
      <c r="S9" s="659">
        <v>30.8</v>
      </c>
      <c r="T9" s="659">
        <v>23.5</v>
      </c>
      <c r="U9" s="659">
        <v>24.3</v>
      </c>
      <c r="V9" s="659">
        <v>26.3</v>
      </c>
      <c r="W9" s="659">
        <v>25.3</v>
      </c>
      <c r="X9" s="660">
        <v>26.4</v>
      </c>
      <c r="Y9" s="660">
        <v>26.7</v>
      </c>
      <c r="Z9" s="660">
        <v>25.4</v>
      </c>
      <c r="AA9" s="660">
        <v>25.7</v>
      </c>
      <c r="AB9" s="660">
        <v>25.1</v>
      </c>
      <c r="AC9" s="660">
        <v>25.6</v>
      </c>
      <c r="AD9" s="661">
        <v>25.7</v>
      </c>
      <c r="BS9" s="635"/>
      <c r="BT9" s="635"/>
    </row>
    <row r="10" spans="1:72" x14ac:dyDescent="0.35">
      <c r="A10" s="87"/>
      <c r="B10" s="100"/>
      <c r="D10" s="657" t="s">
        <v>273</v>
      </c>
      <c r="E10" s="662">
        <v>3.1</v>
      </c>
      <c r="F10" s="662">
        <v>1.5</v>
      </c>
      <c r="G10" s="662">
        <v>2</v>
      </c>
      <c r="H10" s="662">
        <v>1.5</v>
      </c>
      <c r="I10" s="662">
        <v>1.3</v>
      </c>
      <c r="J10" s="662">
        <v>2.9</v>
      </c>
      <c r="K10" s="663">
        <v>3.5</v>
      </c>
      <c r="L10" s="663">
        <v>4.3</v>
      </c>
      <c r="M10" s="663">
        <v>4.0999999999999996</v>
      </c>
      <c r="N10" s="663">
        <v>2</v>
      </c>
      <c r="O10" s="663">
        <v>-0.1</v>
      </c>
      <c r="P10" s="663">
        <v>-0.1</v>
      </c>
      <c r="Q10" s="663">
        <v>-1.3</v>
      </c>
      <c r="R10" s="663">
        <v>-0.9</v>
      </c>
      <c r="S10" s="663">
        <v>-0.6</v>
      </c>
      <c r="T10" s="663">
        <v>1.1000000000000001</v>
      </c>
      <c r="U10" s="663">
        <v>2.2000000000000002</v>
      </c>
      <c r="V10" s="663">
        <v>1.6</v>
      </c>
      <c r="W10" s="663">
        <v>-1.1000000000000001</v>
      </c>
      <c r="X10" s="663">
        <v>-2</v>
      </c>
      <c r="Y10" s="663">
        <v>-1.4</v>
      </c>
      <c r="Z10" s="663">
        <v>-1.2</v>
      </c>
      <c r="AA10" s="663">
        <v>0.7</v>
      </c>
      <c r="AB10" s="663">
        <v>1.4</v>
      </c>
      <c r="AC10" s="663">
        <v>0.5</v>
      </c>
      <c r="AD10" s="664">
        <v>0.8</v>
      </c>
      <c r="BS10" s="635"/>
      <c r="BT10" s="635"/>
    </row>
    <row r="11" spans="1:72" x14ac:dyDescent="0.35">
      <c r="A11" s="87"/>
      <c r="B11" s="100"/>
      <c r="D11" s="665" t="s">
        <v>274</v>
      </c>
      <c r="E11" s="666">
        <v>0</v>
      </c>
      <c r="F11" s="667">
        <v>-1.6</v>
      </c>
      <c r="G11" s="667">
        <v>-1.1000000000000001</v>
      </c>
      <c r="H11" s="667">
        <v>-1.5</v>
      </c>
      <c r="I11" s="667">
        <v>-1.7</v>
      </c>
      <c r="J11" s="667">
        <v>-0.5</v>
      </c>
      <c r="K11" s="668">
        <v>-0.1</v>
      </c>
      <c r="L11" s="668">
        <v>0.3</v>
      </c>
      <c r="M11" s="668">
        <v>0.9</v>
      </c>
      <c r="N11" s="668">
        <v>-0.8</v>
      </c>
      <c r="O11" s="668">
        <v>-2.8</v>
      </c>
      <c r="P11" s="668">
        <v>-3.1</v>
      </c>
      <c r="Q11" s="668">
        <v>-4.5</v>
      </c>
      <c r="R11" s="668">
        <v>-5.4</v>
      </c>
      <c r="S11" s="668">
        <v>-5.5</v>
      </c>
      <c r="T11" s="668">
        <v>-2.7</v>
      </c>
      <c r="U11" s="668">
        <v>-1.5</v>
      </c>
      <c r="V11" s="668">
        <v>-2.2000000000000002</v>
      </c>
      <c r="W11" s="668">
        <v>-5.0999999999999996</v>
      </c>
      <c r="X11" s="669">
        <v>-5.8</v>
      </c>
      <c r="Y11" s="670">
        <v>-5.0999999999999996</v>
      </c>
      <c r="Z11" s="670">
        <v>-4.5999999999999996</v>
      </c>
      <c r="AA11" s="670">
        <v>-2.9</v>
      </c>
      <c r="AB11" s="670">
        <v>-2.5</v>
      </c>
      <c r="AC11" s="670">
        <v>-3.5</v>
      </c>
      <c r="AD11" s="671">
        <v>-3</v>
      </c>
      <c r="BS11" s="635"/>
    </row>
    <row r="12" spans="1:72" x14ac:dyDescent="0.35">
      <c r="A12" s="87"/>
      <c r="B12" s="100"/>
      <c r="F12" s="672"/>
      <c r="G12" s="672"/>
      <c r="H12" s="672"/>
      <c r="I12" s="672"/>
      <c r="J12" s="672"/>
      <c r="K12" s="672"/>
      <c r="L12" s="672"/>
      <c r="M12" s="672"/>
      <c r="N12" s="672"/>
      <c r="O12" s="672"/>
      <c r="P12" s="672"/>
      <c r="Q12" s="672"/>
      <c r="R12" s="672"/>
      <c r="S12" s="672"/>
      <c r="T12" s="672"/>
      <c r="U12" s="672"/>
      <c r="V12" s="672"/>
      <c r="W12" s="672"/>
      <c r="X12" s="672"/>
      <c r="Y12" s="672"/>
      <c r="Z12" s="672"/>
    </row>
    <row r="13" spans="1:72" x14ac:dyDescent="0.35">
      <c r="A13" s="87"/>
      <c r="B13" s="100"/>
      <c r="D13" s="673"/>
      <c r="E13" s="673"/>
      <c r="F13" s="651"/>
      <c r="G13" s="651"/>
      <c r="H13" s="651"/>
      <c r="I13" s="651"/>
      <c r="J13" s="651"/>
      <c r="K13" s="651"/>
      <c r="L13" s="651"/>
      <c r="M13" s="651"/>
      <c r="N13" s="651"/>
      <c r="O13" s="651"/>
      <c r="P13" s="651"/>
      <c r="Q13" s="651"/>
      <c r="R13" s="651"/>
      <c r="S13" s="651"/>
      <c r="T13" s="651"/>
      <c r="U13" s="651"/>
      <c r="V13" s="651"/>
      <c r="W13" s="651"/>
      <c r="X13" s="651"/>
      <c r="Y13" s="651"/>
      <c r="Z13" s="674"/>
    </row>
    <row r="14" spans="1:72" x14ac:dyDescent="0.35">
      <c r="A14" s="87">
        <v>5</v>
      </c>
      <c r="B14" s="87" t="s">
        <v>56</v>
      </c>
      <c r="D14" s="634"/>
      <c r="E14" s="634"/>
      <c r="F14" s="675"/>
      <c r="G14" s="675"/>
      <c r="H14" s="675"/>
      <c r="I14" s="675"/>
      <c r="J14" s="675"/>
      <c r="K14" s="675"/>
      <c r="L14" s="675"/>
      <c r="M14" s="675"/>
      <c r="N14" s="675"/>
      <c r="O14" s="675"/>
      <c r="P14" s="675"/>
      <c r="Q14" s="675"/>
      <c r="R14" s="675"/>
      <c r="S14" s="633"/>
      <c r="T14" s="633"/>
      <c r="U14" s="633"/>
      <c r="V14" s="633"/>
      <c r="W14" s="676"/>
      <c r="Y14" s="677"/>
      <c r="Z14" s="674"/>
      <c r="BS14" s="635"/>
    </row>
    <row r="15" spans="1:72" x14ac:dyDescent="0.35">
      <c r="A15" s="87"/>
      <c r="B15" s="100"/>
      <c r="C15" s="631"/>
      <c r="D15" s="634"/>
      <c r="E15" s="634"/>
      <c r="F15" s="675"/>
      <c r="G15" s="675"/>
      <c r="H15" s="675"/>
      <c r="I15" s="675"/>
      <c r="J15" s="675"/>
      <c r="K15" s="675"/>
      <c r="L15" s="675"/>
      <c r="M15" s="675"/>
      <c r="N15" s="675"/>
      <c r="O15" s="675"/>
      <c r="P15" s="678"/>
      <c r="Q15" s="675"/>
      <c r="R15" s="675"/>
      <c r="S15" s="633"/>
      <c r="T15" s="633"/>
      <c r="U15" s="633"/>
      <c r="V15" s="633"/>
      <c r="W15" s="676"/>
      <c r="Y15" s="677"/>
      <c r="BS15" s="635"/>
    </row>
    <row r="16" spans="1:72" x14ac:dyDescent="0.35">
      <c r="A16" s="87"/>
      <c r="B16" s="100"/>
      <c r="D16" s="634"/>
      <c r="E16" s="634"/>
      <c r="F16" s="675"/>
      <c r="G16" s="675"/>
      <c r="H16" s="675"/>
      <c r="I16" s="675"/>
      <c r="J16" s="675"/>
      <c r="K16" s="675"/>
      <c r="L16" s="675"/>
      <c r="M16" s="675"/>
      <c r="N16" s="675"/>
      <c r="O16" s="675"/>
      <c r="P16" s="678"/>
      <c r="Q16" s="675"/>
      <c r="R16" s="675"/>
      <c r="S16" s="633"/>
      <c r="T16" s="633"/>
      <c r="U16" s="633"/>
      <c r="V16" s="633"/>
      <c r="W16" s="676"/>
      <c r="BS16" s="635"/>
    </row>
    <row r="17" spans="1:71" x14ac:dyDescent="0.35">
      <c r="A17" s="87"/>
      <c r="B17" s="100"/>
      <c r="D17" s="634"/>
      <c r="E17" s="634"/>
      <c r="F17" s="675"/>
      <c r="G17" s="675"/>
      <c r="H17" s="675"/>
      <c r="I17" s="675"/>
      <c r="J17" s="675"/>
      <c r="K17" s="675"/>
      <c r="L17" s="675"/>
      <c r="M17" s="675"/>
      <c r="N17" s="675"/>
      <c r="O17" s="675"/>
      <c r="P17" s="678"/>
      <c r="Q17" s="675"/>
      <c r="R17" s="675"/>
      <c r="S17" s="633"/>
      <c r="T17" s="633"/>
      <c r="U17" s="633"/>
      <c r="V17" s="633"/>
      <c r="W17" s="676"/>
      <c r="BS17" s="635"/>
    </row>
    <row r="18" spans="1:71" x14ac:dyDescent="0.35">
      <c r="A18" s="87"/>
      <c r="B18" s="100"/>
      <c r="D18" s="634"/>
      <c r="E18" s="634"/>
      <c r="F18" s="675"/>
      <c r="G18" s="675"/>
      <c r="H18" s="675"/>
      <c r="I18" s="675"/>
      <c r="J18" s="675"/>
      <c r="K18" s="675"/>
      <c r="L18" s="675"/>
      <c r="M18" s="675"/>
      <c r="N18" s="675"/>
      <c r="O18" s="675"/>
      <c r="P18" s="678"/>
      <c r="Q18" s="675"/>
      <c r="R18" s="675"/>
      <c r="S18" s="633"/>
      <c r="T18" s="633"/>
      <c r="U18" s="633"/>
      <c r="V18" s="633"/>
      <c r="W18" s="676"/>
      <c r="BS18" s="635"/>
    </row>
    <row r="19" spans="1:71" x14ac:dyDescent="0.35">
      <c r="A19" s="87"/>
      <c r="B19" s="100"/>
      <c r="D19" s="634"/>
      <c r="E19" s="634"/>
      <c r="F19" s="675"/>
      <c r="G19" s="675"/>
      <c r="H19" s="675"/>
      <c r="I19" s="675"/>
      <c r="J19" s="675"/>
      <c r="K19" s="675"/>
      <c r="L19" s="675"/>
      <c r="M19" s="675"/>
      <c r="N19" s="675"/>
      <c r="O19" s="675"/>
      <c r="P19" s="678"/>
      <c r="Q19" s="675"/>
      <c r="R19" s="675"/>
      <c r="S19" s="633"/>
      <c r="T19" s="633"/>
      <c r="U19" s="633"/>
      <c r="V19" s="633"/>
      <c r="W19" s="676"/>
      <c r="BS19" s="635"/>
    </row>
    <row r="20" spans="1:71" x14ac:dyDescent="0.35">
      <c r="A20" s="87"/>
      <c r="B20" s="100"/>
      <c r="D20" s="634"/>
      <c r="E20" s="634"/>
      <c r="F20" s="675"/>
      <c r="G20" s="675"/>
      <c r="H20" s="675"/>
      <c r="I20" s="675"/>
      <c r="J20" s="675"/>
      <c r="K20" s="675"/>
      <c r="L20" s="675"/>
      <c r="M20" s="675"/>
      <c r="N20" s="675"/>
      <c r="O20" s="675"/>
      <c r="P20" s="675"/>
      <c r="Q20" s="675"/>
      <c r="R20" s="675"/>
      <c r="S20" s="633"/>
      <c r="T20" s="633"/>
      <c r="U20" s="633"/>
      <c r="V20" s="633"/>
      <c r="W20" s="679"/>
      <c r="BS20" s="635"/>
    </row>
    <row r="21" spans="1:71" x14ac:dyDescent="0.35">
      <c r="A21" s="87"/>
      <c r="B21" s="100"/>
      <c r="D21" s="634"/>
      <c r="E21" s="634"/>
      <c r="F21" s="675"/>
      <c r="G21" s="675"/>
      <c r="H21" s="675"/>
      <c r="I21" s="675"/>
      <c r="J21" s="675"/>
      <c r="K21" s="675"/>
      <c r="L21" s="675"/>
      <c r="M21" s="675"/>
      <c r="N21" s="675"/>
      <c r="O21" s="675"/>
      <c r="P21" s="675"/>
      <c r="Q21" s="675"/>
      <c r="R21" s="675"/>
      <c r="S21" s="633"/>
      <c r="T21" s="633"/>
      <c r="U21" s="633"/>
      <c r="V21" s="633"/>
      <c r="W21" s="679"/>
      <c r="BS21" s="635"/>
    </row>
    <row r="22" spans="1:71" x14ac:dyDescent="0.35">
      <c r="A22" s="87"/>
      <c r="B22" s="100"/>
      <c r="D22" s="634"/>
      <c r="E22" s="634"/>
      <c r="F22" s="675"/>
      <c r="G22" s="675"/>
      <c r="H22" s="675"/>
      <c r="I22" s="675"/>
      <c r="J22" s="675"/>
      <c r="K22" s="675"/>
      <c r="L22" s="675"/>
      <c r="M22" s="675"/>
      <c r="N22" s="675"/>
      <c r="O22" s="675"/>
      <c r="P22" s="675"/>
      <c r="Q22" s="675"/>
      <c r="R22" s="675"/>
      <c r="S22" s="633"/>
      <c r="T22" s="633"/>
      <c r="U22" s="633"/>
      <c r="V22" s="633"/>
      <c r="W22" s="676"/>
      <c r="BS22" s="635"/>
    </row>
    <row r="23" spans="1:71" x14ac:dyDescent="0.35">
      <c r="A23" s="87"/>
      <c r="B23" s="100"/>
      <c r="D23" s="634"/>
      <c r="E23" s="634"/>
      <c r="F23" s="675"/>
      <c r="G23" s="675"/>
      <c r="H23" s="675"/>
      <c r="I23" s="675"/>
      <c r="J23" s="675"/>
      <c r="K23" s="675"/>
      <c r="L23" s="675"/>
      <c r="M23" s="675"/>
      <c r="N23" s="675"/>
      <c r="O23" s="675"/>
      <c r="P23" s="675"/>
      <c r="Q23" s="675"/>
      <c r="R23" s="675"/>
      <c r="S23" s="633"/>
      <c r="T23" s="633"/>
      <c r="U23" s="633"/>
      <c r="V23" s="633"/>
      <c r="W23" s="676"/>
      <c r="BS23" s="635"/>
    </row>
    <row r="24" spans="1:71" x14ac:dyDescent="0.35">
      <c r="A24" s="87"/>
      <c r="B24" s="100"/>
      <c r="D24" s="634"/>
      <c r="E24" s="634"/>
      <c r="F24" s="675"/>
      <c r="G24" s="675"/>
      <c r="H24" s="675"/>
      <c r="I24" s="675"/>
      <c r="J24" s="675"/>
      <c r="K24" s="675"/>
      <c r="L24" s="675"/>
      <c r="M24" s="675"/>
      <c r="N24" s="675"/>
      <c r="O24" s="675"/>
      <c r="P24" s="675"/>
      <c r="Q24" s="675"/>
      <c r="R24" s="675"/>
      <c r="S24" s="633"/>
      <c r="T24" s="633"/>
      <c r="U24" s="633"/>
      <c r="V24" s="633"/>
      <c r="W24" s="676"/>
      <c r="BS24" s="635"/>
    </row>
    <row r="25" spans="1:71" x14ac:dyDescent="0.35">
      <c r="A25" s="87"/>
      <c r="B25" s="100"/>
      <c r="D25" s="634"/>
      <c r="E25" s="634"/>
      <c r="F25" s="675"/>
      <c r="G25" s="675"/>
      <c r="H25" s="675"/>
      <c r="I25" s="675"/>
      <c r="J25" s="675"/>
      <c r="K25" s="675"/>
      <c r="L25" s="675"/>
      <c r="M25" s="675"/>
      <c r="N25" s="675"/>
      <c r="O25" s="675"/>
      <c r="P25" s="675"/>
      <c r="Q25" s="675"/>
      <c r="R25" s="675"/>
      <c r="S25" s="633"/>
      <c r="T25" s="633"/>
      <c r="U25" s="633"/>
      <c r="V25" s="633"/>
      <c r="W25" s="676"/>
      <c r="BS25" s="635"/>
    </row>
    <row r="26" spans="1:71" x14ac:dyDescent="0.35">
      <c r="A26" s="87"/>
      <c r="B26" s="100"/>
      <c r="D26" s="634"/>
      <c r="E26" s="634"/>
      <c r="F26" s="675"/>
      <c r="G26" s="675"/>
      <c r="H26" s="675"/>
      <c r="I26" s="675"/>
      <c r="J26" s="675"/>
      <c r="K26" s="675"/>
      <c r="L26" s="675"/>
      <c r="M26" s="675"/>
      <c r="N26" s="675"/>
      <c r="O26" s="675"/>
      <c r="P26" s="675"/>
      <c r="Q26" s="675"/>
      <c r="R26" s="675"/>
      <c r="S26" s="633"/>
      <c r="T26" s="633"/>
      <c r="U26" s="633"/>
      <c r="V26" s="633"/>
      <c r="W26" s="676" t="s">
        <v>143</v>
      </c>
      <c r="BS26" s="635"/>
    </row>
    <row r="27" spans="1:71" x14ac:dyDescent="0.35">
      <c r="A27" s="87"/>
      <c r="B27" s="100"/>
      <c r="D27" s="634"/>
      <c r="E27" s="634"/>
      <c r="F27" s="675"/>
      <c r="G27" s="675"/>
      <c r="H27" s="675"/>
      <c r="I27" s="675"/>
      <c r="J27" s="675"/>
      <c r="K27" s="675"/>
      <c r="L27" s="675"/>
      <c r="M27" s="675"/>
      <c r="N27" s="675"/>
      <c r="O27" s="675"/>
      <c r="P27" s="675"/>
      <c r="Q27" s="675"/>
      <c r="R27" s="675"/>
      <c r="S27" s="633"/>
      <c r="T27" s="633"/>
      <c r="U27" s="633"/>
      <c r="V27" s="633"/>
      <c r="W27" s="676"/>
      <c r="BS27" s="635"/>
    </row>
    <row r="28" spans="1:71" x14ac:dyDescent="0.35">
      <c r="A28" s="87"/>
      <c r="B28" s="100"/>
      <c r="D28" s="634"/>
      <c r="E28" s="634"/>
      <c r="F28" s="634"/>
      <c r="G28" s="634"/>
      <c r="H28" s="634"/>
      <c r="I28" s="634"/>
      <c r="J28" s="634"/>
      <c r="K28" s="634"/>
      <c r="L28" s="634"/>
      <c r="M28" s="634"/>
      <c r="N28" s="634"/>
      <c r="O28" s="634"/>
      <c r="P28" s="634"/>
      <c r="Q28" s="634"/>
      <c r="R28" s="634"/>
      <c r="S28" s="633"/>
      <c r="T28" s="633"/>
      <c r="U28" s="633"/>
      <c r="V28" s="633"/>
      <c r="W28" s="676"/>
      <c r="BS28" s="635"/>
    </row>
    <row r="29" spans="1:71" x14ac:dyDescent="0.35">
      <c r="A29" s="87"/>
      <c r="B29" s="100"/>
      <c r="D29" s="634"/>
      <c r="E29" s="634"/>
      <c r="F29" s="634"/>
      <c r="G29" s="634"/>
      <c r="H29" s="634"/>
      <c r="I29" s="634"/>
      <c r="J29" s="634"/>
      <c r="K29" s="634"/>
      <c r="L29" s="634"/>
      <c r="M29" s="634"/>
      <c r="N29" s="634"/>
      <c r="O29" s="634"/>
      <c r="P29" s="634"/>
      <c r="Q29" s="634"/>
      <c r="R29" s="634"/>
      <c r="S29" s="633"/>
      <c r="T29" s="633"/>
      <c r="U29" s="633"/>
      <c r="V29" s="633"/>
      <c r="W29" s="676"/>
      <c r="BS29" s="635"/>
    </row>
    <row r="30" spans="1:71" x14ac:dyDescent="0.35">
      <c r="A30" s="87"/>
      <c r="B30" s="100"/>
      <c r="D30" s="634"/>
      <c r="E30" s="634"/>
      <c r="F30" s="634"/>
      <c r="G30" s="634"/>
      <c r="H30" s="634"/>
      <c r="I30" s="634"/>
      <c r="J30" s="634"/>
      <c r="K30" s="634"/>
      <c r="L30" s="634"/>
      <c r="M30" s="634"/>
      <c r="N30" s="634"/>
      <c r="O30" s="634"/>
      <c r="P30" s="634"/>
      <c r="Q30" s="634"/>
      <c r="R30" s="634"/>
      <c r="S30" s="633"/>
      <c r="T30" s="633"/>
      <c r="U30" s="633"/>
      <c r="V30" s="633"/>
      <c r="W30" s="676"/>
      <c r="BS30" s="635"/>
    </row>
    <row r="31" spans="1:71" x14ac:dyDescent="0.35">
      <c r="A31" s="87"/>
      <c r="B31" s="87"/>
      <c r="D31" s="634"/>
      <c r="E31" s="634"/>
      <c r="F31" s="634"/>
      <c r="G31" s="634"/>
      <c r="H31" s="634"/>
      <c r="I31" s="634"/>
      <c r="J31" s="634"/>
      <c r="K31" s="634"/>
      <c r="L31" s="634"/>
      <c r="M31" s="634"/>
      <c r="N31" s="634"/>
      <c r="O31" s="634"/>
      <c r="P31" s="634"/>
      <c r="Q31" s="634"/>
      <c r="R31" s="634"/>
      <c r="S31" s="633"/>
      <c r="T31" s="633"/>
      <c r="U31" s="633"/>
      <c r="V31" s="633"/>
      <c r="W31" s="676"/>
      <c r="BS31" s="635"/>
    </row>
    <row r="32" spans="1:71" x14ac:dyDescent="0.35">
      <c r="A32" s="87"/>
      <c r="B32" s="87"/>
      <c r="D32" s="634"/>
      <c r="E32" s="634"/>
      <c r="F32" s="634"/>
      <c r="G32" s="634"/>
      <c r="H32" s="634"/>
      <c r="I32" s="634"/>
      <c r="J32" s="634"/>
      <c r="K32" s="634"/>
      <c r="L32" s="634"/>
      <c r="M32" s="634"/>
      <c r="N32" s="634"/>
      <c r="O32" s="634"/>
      <c r="P32" s="634"/>
      <c r="Q32" s="634"/>
      <c r="R32" s="634"/>
      <c r="S32" s="633"/>
      <c r="T32" s="633"/>
      <c r="U32" s="633"/>
      <c r="V32" s="633"/>
      <c r="W32" s="676"/>
      <c r="BS32" s="635"/>
    </row>
    <row r="33" spans="1:71" ht="19.5" customHeight="1" x14ac:dyDescent="0.35">
      <c r="A33" s="87"/>
      <c r="B33" s="100"/>
      <c r="D33" s="634"/>
      <c r="E33" s="634"/>
      <c r="F33" s="634"/>
      <c r="G33" s="634"/>
      <c r="H33" s="634"/>
      <c r="I33" s="634"/>
      <c r="J33" s="634"/>
      <c r="K33" s="634"/>
      <c r="L33" s="634"/>
      <c r="M33" s="634"/>
      <c r="N33" s="634"/>
      <c r="O33" s="634"/>
      <c r="P33" s="634"/>
      <c r="Q33" s="634"/>
      <c r="R33" s="634"/>
      <c r="S33" s="633"/>
      <c r="T33" s="633"/>
      <c r="U33" s="633"/>
      <c r="V33" s="633"/>
      <c r="W33" s="676"/>
      <c r="BS33" s="635"/>
    </row>
    <row r="34" spans="1:71" ht="19.5" customHeight="1" x14ac:dyDescent="0.35">
      <c r="A34" s="87"/>
      <c r="B34" s="100"/>
      <c r="D34" s="634"/>
      <c r="E34" s="634"/>
      <c r="F34" s="634"/>
      <c r="G34" s="634"/>
      <c r="H34" s="634"/>
      <c r="I34" s="634"/>
      <c r="J34" s="634"/>
      <c r="K34" s="634"/>
      <c r="L34" s="634"/>
      <c r="M34" s="634"/>
      <c r="N34" s="634"/>
      <c r="O34" s="634"/>
      <c r="P34" s="634"/>
      <c r="Q34" s="634"/>
      <c r="R34" s="634"/>
      <c r="S34" s="633"/>
      <c r="T34" s="633"/>
      <c r="U34" s="633"/>
      <c r="V34" s="633"/>
      <c r="W34" s="676"/>
      <c r="BS34" s="635"/>
    </row>
    <row r="35" spans="1:71" ht="15" customHeight="1" x14ac:dyDescent="0.35">
      <c r="A35" s="87">
        <v>6</v>
      </c>
      <c r="B35" s="87" t="s">
        <v>58</v>
      </c>
      <c r="C35" s="631"/>
      <c r="D35" s="4712" t="s">
        <v>275</v>
      </c>
      <c r="E35" s="4713"/>
      <c r="F35" s="4713"/>
      <c r="G35" s="4713"/>
      <c r="H35" s="4713"/>
      <c r="I35" s="4713"/>
      <c r="J35" s="4713"/>
      <c r="K35" s="4713"/>
      <c r="L35" s="4713"/>
      <c r="M35" s="4713"/>
      <c r="N35" s="4713"/>
      <c r="O35" s="4713"/>
      <c r="P35" s="4713"/>
      <c r="Q35" s="4713"/>
      <c r="R35" s="4713"/>
      <c r="S35" s="4713"/>
      <c r="T35" s="4713"/>
      <c r="U35" s="4713"/>
      <c r="V35" s="4713"/>
      <c r="W35" s="4713"/>
      <c r="X35" s="4713"/>
      <c r="Y35" s="4713"/>
      <c r="Z35" s="4713"/>
      <c r="AA35" s="4713"/>
      <c r="AB35" s="4713"/>
      <c r="AC35" s="4714"/>
      <c r="AD35" s="680"/>
      <c r="AE35" s="680"/>
      <c r="AF35" s="680"/>
      <c r="AG35" s="680"/>
      <c r="AH35" s="680"/>
      <c r="AI35" s="680"/>
      <c r="AJ35" s="680"/>
      <c r="AK35" s="680"/>
      <c r="AL35" s="680"/>
      <c r="AM35" s="680"/>
      <c r="AN35" s="680"/>
      <c r="AO35" s="680"/>
      <c r="AP35" s="680"/>
      <c r="AQ35" s="680"/>
      <c r="AR35" s="680"/>
      <c r="AS35" s="680"/>
      <c r="AT35" s="680"/>
      <c r="BS35" s="635"/>
    </row>
    <row r="36" spans="1:71" ht="17.5" customHeight="1" x14ac:dyDescent="0.35">
      <c r="A36" s="87">
        <v>7</v>
      </c>
      <c r="B36" s="87" t="s">
        <v>60</v>
      </c>
      <c r="C36" s="681"/>
      <c r="D36" s="4712" t="s">
        <v>276</v>
      </c>
      <c r="E36" s="4713"/>
      <c r="F36" s="4713"/>
      <c r="G36" s="4713"/>
      <c r="H36" s="4713"/>
      <c r="I36" s="4713"/>
      <c r="J36" s="4713"/>
      <c r="K36" s="4713"/>
      <c r="L36" s="4713"/>
      <c r="M36" s="4713"/>
      <c r="N36" s="4713"/>
      <c r="O36" s="4713"/>
      <c r="P36" s="4713"/>
      <c r="Q36" s="4713"/>
      <c r="R36" s="4713"/>
      <c r="S36" s="4713"/>
      <c r="T36" s="4713"/>
      <c r="U36" s="4713"/>
      <c r="V36" s="4713"/>
      <c r="W36" s="4713"/>
      <c r="X36" s="4713"/>
      <c r="Y36" s="4713"/>
      <c r="Z36" s="4713"/>
      <c r="AA36" s="4713"/>
      <c r="AB36" s="4713"/>
      <c r="AC36" s="4714"/>
      <c r="AD36" s="682"/>
      <c r="AE36" s="682"/>
      <c r="AF36" s="682"/>
      <c r="AG36" s="682"/>
      <c r="AH36" s="682"/>
      <c r="AI36" s="683"/>
      <c r="AJ36" s="683"/>
      <c r="AK36" s="683"/>
      <c r="AL36" s="683"/>
      <c r="AM36" s="683"/>
      <c r="AN36" s="683"/>
      <c r="AO36" s="683"/>
      <c r="AP36" s="683"/>
      <c r="AQ36" s="683"/>
      <c r="AR36" s="683"/>
      <c r="AS36" s="683"/>
      <c r="AT36" s="683"/>
      <c r="BS36" s="635"/>
    </row>
    <row r="37" spans="1:71" ht="15" customHeight="1" x14ac:dyDescent="0.35">
      <c r="A37" s="87">
        <v>8</v>
      </c>
      <c r="B37" s="87" t="s">
        <v>62</v>
      </c>
      <c r="C37" s="631"/>
      <c r="D37" s="4712" t="s">
        <v>277</v>
      </c>
      <c r="E37" s="4713"/>
      <c r="F37" s="4713"/>
      <c r="G37" s="4713"/>
      <c r="H37" s="4713"/>
      <c r="I37" s="4713"/>
      <c r="J37" s="4713"/>
      <c r="K37" s="4713"/>
      <c r="L37" s="4713"/>
      <c r="M37" s="4713"/>
      <c r="N37" s="4713"/>
      <c r="O37" s="4713"/>
      <c r="P37" s="4713"/>
      <c r="Q37" s="4713"/>
      <c r="R37" s="4713"/>
      <c r="S37" s="4713"/>
      <c r="T37" s="4713"/>
      <c r="U37" s="4713"/>
      <c r="V37" s="4713"/>
      <c r="W37" s="4713"/>
      <c r="X37" s="4713"/>
      <c r="Y37" s="4713"/>
      <c r="Z37" s="4713"/>
      <c r="AA37" s="4713"/>
      <c r="AB37" s="4713"/>
      <c r="AC37" s="4714"/>
      <c r="AD37" s="680"/>
      <c r="AE37" s="680"/>
      <c r="AF37" s="680"/>
      <c r="AG37" s="680"/>
      <c r="AH37" s="680"/>
      <c r="AI37" s="683"/>
      <c r="AJ37" s="683"/>
      <c r="AK37" s="683"/>
      <c r="AL37" s="683"/>
      <c r="AM37" s="683"/>
      <c r="AN37" s="683"/>
      <c r="AO37" s="683"/>
      <c r="AP37" s="683"/>
      <c r="AQ37" s="683"/>
      <c r="AR37" s="683"/>
      <c r="AS37" s="683"/>
      <c r="AT37" s="683"/>
      <c r="BS37" s="635"/>
    </row>
    <row r="38" spans="1:71" ht="67.5" customHeight="1" x14ac:dyDescent="0.35">
      <c r="A38" s="87">
        <v>9</v>
      </c>
      <c r="B38" s="87" t="s">
        <v>278</v>
      </c>
      <c r="C38" s="684"/>
      <c r="D38" s="4712" t="s">
        <v>385</v>
      </c>
      <c r="E38" s="4713"/>
      <c r="F38" s="4713"/>
      <c r="G38" s="4713"/>
      <c r="H38" s="4713"/>
      <c r="I38" s="4713"/>
      <c r="J38" s="4713"/>
      <c r="K38" s="4713"/>
      <c r="L38" s="4713"/>
      <c r="M38" s="4713"/>
      <c r="N38" s="4713"/>
      <c r="O38" s="4713"/>
      <c r="P38" s="4713"/>
      <c r="Q38" s="4713"/>
      <c r="R38" s="4713"/>
      <c r="S38" s="4713"/>
      <c r="T38" s="4713"/>
      <c r="U38" s="4713"/>
      <c r="V38" s="4713"/>
      <c r="W38" s="4713"/>
      <c r="X38" s="4713"/>
      <c r="Y38" s="4713"/>
      <c r="Z38" s="4713"/>
      <c r="AA38" s="4713"/>
      <c r="AB38" s="4713"/>
      <c r="AC38" s="4714"/>
      <c r="AD38" s="683"/>
      <c r="AE38" s="683"/>
      <c r="AF38" s="683"/>
      <c r="AG38" s="683"/>
      <c r="AH38" s="683"/>
      <c r="AI38" s="683"/>
      <c r="AJ38" s="683"/>
      <c r="AK38" s="683"/>
      <c r="AL38" s="683"/>
      <c r="AM38" s="683"/>
      <c r="AN38" s="683"/>
      <c r="AO38" s="683"/>
      <c r="AP38" s="683"/>
      <c r="AQ38" s="683"/>
      <c r="AR38" s="683"/>
      <c r="AS38" s="683"/>
      <c r="AT38" s="683"/>
      <c r="BS38" s="635"/>
    </row>
    <row r="39" spans="1:71" ht="13.5" customHeight="1" x14ac:dyDescent="0.35">
      <c r="A39" s="87"/>
      <c r="B39" s="87"/>
      <c r="C39" s="684"/>
      <c r="D39" s="685"/>
      <c r="E39" s="685"/>
      <c r="F39" s="685"/>
      <c r="G39" s="685"/>
      <c r="H39" s="685"/>
      <c r="I39" s="685"/>
      <c r="J39" s="685"/>
      <c r="K39" s="685"/>
      <c r="L39" s="685"/>
      <c r="M39" s="685"/>
      <c r="N39" s="685"/>
      <c r="O39" s="685"/>
      <c r="P39" s="685"/>
      <c r="Q39" s="685"/>
      <c r="R39" s="685"/>
      <c r="S39" s="685"/>
      <c r="T39" s="685"/>
      <c r="U39" s="685"/>
      <c r="V39" s="685"/>
      <c r="W39" s="685"/>
      <c r="X39" s="685"/>
      <c r="Y39" s="685"/>
      <c r="Z39" s="685"/>
      <c r="AA39" s="685"/>
      <c r="AB39" s="685"/>
      <c r="AC39" s="685"/>
      <c r="AD39" s="683"/>
      <c r="AE39" s="683"/>
      <c r="AF39" s="683"/>
      <c r="AG39" s="683"/>
      <c r="AH39" s="683"/>
      <c r="AI39" s="683"/>
      <c r="AJ39" s="683"/>
      <c r="AK39" s="683"/>
      <c r="AL39" s="683"/>
      <c r="AM39" s="683"/>
      <c r="AN39" s="683"/>
      <c r="AO39" s="683"/>
      <c r="AP39" s="683"/>
      <c r="AQ39" s="683"/>
      <c r="AR39" s="683"/>
      <c r="AS39" s="683"/>
      <c r="AT39" s="683"/>
      <c r="BS39" s="635"/>
    </row>
    <row r="40" spans="1:71" x14ac:dyDescent="0.35">
      <c r="B40" s="100"/>
      <c r="W40" s="676"/>
      <c r="BS40" s="635"/>
    </row>
    <row r="41" spans="1:71" hidden="1" x14ac:dyDescent="0.35">
      <c r="B41" s="100"/>
      <c r="C41" s="686"/>
      <c r="D41" s="687">
        <v>34424</v>
      </c>
      <c r="E41" s="687"/>
      <c r="F41" s="687">
        <v>34515</v>
      </c>
      <c r="G41" s="687">
        <v>34607</v>
      </c>
      <c r="H41" s="687">
        <v>34699</v>
      </c>
      <c r="I41" s="687">
        <v>34789</v>
      </c>
      <c r="J41" s="687">
        <v>34880</v>
      </c>
      <c r="K41" s="687">
        <v>34972</v>
      </c>
      <c r="L41" s="687">
        <v>35064</v>
      </c>
      <c r="M41" s="687">
        <v>35155</v>
      </c>
      <c r="N41" s="687">
        <v>35246</v>
      </c>
      <c r="O41" s="687">
        <v>35338</v>
      </c>
      <c r="P41" s="687">
        <v>35430</v>
      </c>
      <c r="Q41" s="687">
        <v>35520</v>
      </c>
      <c r="R41" s="687">
        <v>35611</v>
      </c>
      <c r="S41" s="688">
        <v>35703</v>
      </c>
      <c r="T41" s="688">
        <v>35795</v>
      </c>
      <c r="U41" s="688"/>
      <c r="V41" s="688"/>
      <c r="W41" s="688">
        <v>35885</v>
      </c>
      <c r="X41" s="688">
        <v>35976</v>
      </c>
      <c r="Y41" s="688">
        <v>36068</v>
      </c>
      <c r="Z41" s="688">
        <v>36250</v>
      </c>
      <c r="AA41" s="688"/>
      <c r="AB41" s="688">
        <v>36341</v>
      </c>
      <c r="AC41" s="688">
        <v>36433</v>
      </c>
      <c r="AD41" s="688">
        <v>36525</v>
      </c>
      <c r="AE41" s="688">
        <v>36616</v>
      </c>
      <c r="AF41" s="688">
        <v>36707</v>
      </c>
      <c r="AG41" s="688">
        <v>36799</v>
      </c>
      <c r="AH41" s="688">
        <v>36891</v>
      </c>
      <c r="AI41" s="689">
        <v>36981</v>
      </c>
      <c r="AJ41" s="689">
        <v>37072</v>
      </c>
      <c r="AK41" s="689">
        <v>37164</v>
      </c>
      <c r="AL41" s="689">
        <v>37256</v>
      </c>
      <c r="AM41" s="688">
        <v>37346</v>
      </c>
      <c r="AN41" s="688">
        <v>37437</v>
      </c>
      <c r="AO41" s="688">
        <v>37529</v>
      </c>
      <c r="AP41" s="688">
        <v>37621</v>
      </c>
      <c r="AQ41" s="688">
        <v>37711</v>
      </c>
      <c r="AR41" s="688">
        <v>37802</v>
      </c>
      <c r="AS41" s="688">
        <v>37894</v>
      </c>
      <c r="AT41" s="688">
        <v>37986</v>
      </c>
      <c r="AU41" s="688">
        <v>38077</v>
      </c>
      <c r="AV41" s="688">
        <v>38168</v>
      </c>
      <c r="AW41" s="688">
        <v>38260</v>
      </c>
      <c r="AX41" s="688">
        <v>38352</v>
      </c>
      <c r="AY41" s="688">
        <v>38442</v>
      </c>
      <c r="AZ41" s="688">
        <v>38533</v>
      </c>
      <c r="BA41" s="688">
        <v>38625</v>
      </c>
      <c r="BB41" s="688">
        <v>38717</v>
      </c>
      <c r="BC41" s="688">
        <v>38807</v>
      </c>
      <c r="BD41" s="688">
        <v>38898</v>
      </c>
      <c r="BE41" s="688">
        <v>38990</v>
      </c>
      <c r="BF41" s="688">
        <v>39082</v>
      </c>
      <c r="BG41" s="688">
        <v>39172</v>
      </c>
      <c r="BH41" s="688">
        <v>39263</v>
      </c>
      <c r="BI41" s="688">
        <v>39355</v>
      </c>
      <c r="BJ41" s="688">
        <v>39447</v>
      </c>
    </row>
    <row r="42" spans="1:71" hidden="1" x14ac:dyDescent="0.35">
      <c r="B42" s="100" t="str">
        <f>D2</f>
        <v>Balance of Payments</v>
      </c>
      <c r="C42" s="690"/>
      <c r="D42" s="691">
        <v>21.762213666649085</v>
      </c>
      <c r="E42" s="691"/>
      <c r="F42" s="691">
        <v>22.090779639881028</v>
      </c>
      <c r="G42" s="691">
        <v>23.307022207680667</v>
      </c>
      <c r="H42" s="691">
        <v>21.262635775726753</v>
      </c>
      <c r="I42" s="691">
        <v>22.735529747857409</v>
      </c>
      <c r="J42" s="691">
        <v>21.723759872910748</v>
      </c>
      <c r="K42" s="691">
        <v>23.324918146395966</v>
      </c>
      <c r="L42" s="691">
        <v>23.240190828546393</v>
      </c>
      <c r="M42" s="691">
        <v>22.575924903368303</v>
      </c>
      <c r="N42" s="691">
        <v>23.626916082099246</v>
      </c>
      <c r="O42" s="691">
        <v>26.79138722202612</v>
      </c>
      <c r="P42" s="691">
        <v>25.692670098338589</v>
      </c>
      <c r="Q42" s="691">
        <v>23.099889580467465</v>
      </c>
      <c r="R42" s="691">
        <v>23.581279806892351</v>
      </c>
      <c r="S42" s="26">
        <v>25.873345031105437</v>
      </c>
      <c r="T42" s="26">
        <v>25.673733279972044</v>
      </c>
      <c r="U42" s="26"/>
      <c r="V42" s="26"/>
      <c r="W42" s="26">
        <v>26.060011010153179</v>
      </c>
      <c r="X42" s="26">
        <v>24.478131479710783</v>
      </c>
      <c r="Y42" s="26">
        <v>27.048504266725882</v>
      </c>
      <c r="Z42" s="26">
        <v>27.031190237921837</v>
      </c>
      <c r="AA42" s="26"/>
      <c r="AB42" s="26">
        <v>23.588547530963488</v>
      </c>
      <c r="AC42" s="26">
        <v>25.194968433682163</v>
      </c>
      <c r="AD42" s="26">
        <v>25.582200108490298</v>
      </c>
      <c r="AE42" s="26">
        <v>27.348450223395425</v>
      </c>
      <c r="AF42" s="26">
        <v>26.789343416677369</v>
      </c>
      <c r="AG42" s="26">
        <v>26.96931807252092</v>
      </c>
      <c r="AH42" s="26">
        <v>30.226819582447639</v>
      </c>
      <c r="AI42" s="26">
        <v>29.555814258542661</v>
      </c>
      <c r="AJ42" s="26">
        <v>30.773899246330821</v>
      </c>
      <c r="AK42" s="26">
        <v>28.736241621127917</v>
      </c>
      <c r="AL42" s="26">
        <v>31.392831187609904</v>
      </c>
      <c r="AM42" s="26">
        <v>34.340300696736342</v>
      </c>
      <c r="AN42" s="26">
        <v>33.1040309369344</v>
      </c>
      <c r="AO42" s="26">
        <v>31.880325077554122</v>
      </c>
      <c r="AP42" s="26">
        <v>32.767555043598399</v>
      </c>
      <c r="AQ42" s="26">
        <v>30.200556771518688</v>
      </c>
      <c r="AR42" s="26">
        <v>27.681508120352717</v>
      </c>
      <c r="AS42" s="26">
        <v>27.543296945337119</v>
      </c>
      <c r="AT42" s="26">
        <v>26.932803691047486</v>
      </c>
      <c r="AU42" s="26">
        <v>26.417752942848416</v>
      </c>
      <c r="AV42" s="26">
        <v>26.829758361822449</v>
      </c>
      <c r="AW42" s="26">
        <v>26.261854076630552</v>
      </c>
      <c r="AX42" s="26">
        <v>27.102701490373697</v>
      </c>
      <c r="AY42" s="26">
        <v>25.780972543794206</v>
      </c>
      <c r="AZ42" s="26">
        <v>28.26753310446297</v>
      </c>
      <c r="BA42" s="26">
        <v>27.854661657556896</v>
      </c>
      <c r="BB42" s="26">
        <v>27.916742742377217</v>
      </c>
      <c r="BC42" s="26">
        <v>26.1</v>
      </c>
      <c r="BD42" s="26">
        <v>28.7</v>
      </c>
      <c r="BE42" s="26">
        <v>30.7</v>
      </c>
      <c r="BF42" s="26">
        <v>32.700000000000003</v>
      </c>
      <c r="BG42" s="26">
        <v>31</v>
      </c>
      <c r="BH42" s="26">
        <v>32.200000000000003</v>
      </c>
      <c r="BI42" s="26">
        <v>31.3</v>
      </c>
      <c r="BJ42" s="26">
        <v>32.1</v>
      </c>
    </row>
    <row r="43" spans="1:71" hidden="1" x14ac:dyDescent="0.35">
      <c r="B43" s="100"/>
      <c r="G43" s="590"/>
      <c r="H43" s="590"/>
      <c r="I43" s="590"/>
      <c r="J43" s="590"/>
      <c r="K43" s="590"/>
      <c r="L43" s="590"/>
      <c r="M43" s="590"/>
      <c r="N43" s="590"/>
      <c r="O43" s="590"/>
    </row>
    <row r="44" spans="1:71" hidden="1" x14ac:dyDescent="0.35">
      <c r="B44" s="100"/>
      <c r="G44" s="590"/>
      <c r="H44" s="590"/>
      <c r="I44" s="590"/>
      <c r="J44" s="590"/>
      <c r="K44" s="590"/>
      <c r="L44" s="590"/>
      <c r="M44" s="590"/>
      <c r="N44" s="590"/>
      <c r="O44" s="590"/>
    </row>
    <row r="45" spans="1:71" hidden="1" x14ac:dyDescent="0.35">
      <c r="B45" s="100"/>
      <c r="D45" s="692"/>
      <c r="E45" s="692"/>
      <c r="F45" s="693"/>
      <c r="G45" s="693"/>
      <c r="H45" s="693"/>
      <c r="I45" s="693"/>
      <c r="J45" s="693"/>
      <c r="K45" s="693"/>
      <c r="L45" s="693"/>
      <c r="M45" s="693"/>
      <c r="N45" s="693"/>
      <c r="O45" s="693"/>
      <c r="P45" s="693"/>
      <c r="Q45" s="693"/>
      <c r="R45" s="693"/>
      <c r="S45" s="693"/>
      <c r="T45" s="693"/>
      <c r="U45" s="693"/>
      <c r="V45" s="693"/>
    </row>
    <row r="46" spans="1:71" hidden="1" x14ac:dyDescent="0.35">
      <c r="B46" s="100"/>
      <c r="D46" s="694"/>
      <c r="E46" s="694"/>
      <c r="F46" s="695"/>
      <c r="G46" s="695"/>
      <c r="H46" s="695"/>
      <c r="I46" s="695"/>
      <c r="J46" s="695"/>
      <c r="K46" s="695"/>
      <c r="L46" s="695"/>
      <c r="M46" s="695"/>
      <c r="N46" s="695"/>
      <c r="O46" s="695"/>
      <c r="P46" s="695"/>
      <c r="Q46" s="695"/>
      <c r="R46" s="694"/>
      <c r="S46" s="696"/>
      <c r="T46" s="696"/>
      <c r="U46" s="696"/>
      <c r="V46" s="696"/>
    </row>
    <row r="47" spans="1:71" hidden="1" x14ac:dyDescent="0.35">
      <c r="B47" s="100"/>
      <c r="D47" s="697"/>
      <c r="E47" s="697"/>
      <c r="F47" s="698"/>
      <c r="G47" s="698"/>
      <c r="H47" s="698"/>
      <c r="I47" s="698"/>
      <c r="J47" s="698"/>
      <c r="K47" s="698"/>
      <c r="L47" s="698"/>
      <c r="M47" s="698"/>
      <c r="N47" s="698"/>
      <c r="O47" s="698"/>
      <c r="P47" s="698"/>
      <c r="Q47" s="698"/>
      <c r="R47" s="698"/>
      <c r="S47" s="698"/>
      <c r="T47" s="698"/>
      <c r="U47" s="698"/>
      <c r="V47" s="698"/>
    </row>
    <row r="48" spans="1:71" hidden="1" x14ac:dyDescent="0.35">
      <c r="B48" s="100"/>
      <c r="D48" s="697"/>
      <c r="E48" s="697"/>
      <c r="F48" s="699"/>
      <c r="G48" s="699"/>
      <c r="H48" s="699"/>
      <c r="I48" s="699"/>
      <c r="J48" s="699"/>
      <c r="K48" s="699"/>
      <c r="L48" s="699"/>
      <c r="M48" s="699"/>
      <c r="N48" s="699"/>
      <c r="O48" s="699"/>
      <c r="P48" s="699"/>
      <c r="Q48" s="699"/>
      <c r="R48" s="697"/>
      <c r="S48" s="700"/>
      <c r="T48" s="700"/>
      <c r="U48" s="700"/>
      <c r="V48" s="700"/>
    </row>
    <row r="49" spans="1:30" hidden="1" x14ac:dyDescent="0.35">
      <c r="B49" s="100"/>
      <c r="D49" s="697"/>
      <c r="E49" s="697"/>
      <c r="F49" s="698"/>
      <c r="G49" s="698"/>
      <c r="H49" s="698"/>
      <c r="I49" s="698"/>
      <c r="J49" s="698"/>
      <c r="K49" s="698"/>
      <c r="L49" s="698"/>
      <c r="M49" s="698"/>
      <c r="N49" s="698"/>
      <c r="O49" s="698"/>
      <c r="P49" s="698"/>
      <c r="Q49" s="698"/>
      <c r="R49" s="698"/>
      <c r="S49" s="698"/>
      <c r="T49" s="698"/>
      <c r="U49" s="698"/>
      <c r="V49" s="698"/>
    </row>
    <row r="50" spans="1:30" hidden="1" x14ac:dyDescent="0.35">
      <c r="B50" s="100"/>
      <c r="G50" s="590"/>
      <c r="H50" s="590"/>
      <c r="I50" s="590"/>
      <c r="J50" s="590"/>
      <c r="K50" s="590"/>
      <c r="L50" s="590"/>
      <c r="M50" s="590"/>
      <c r="N50" s="590"/>
      <c r="O50" s="590"/>
    </row>
    <row r="51" spans="1:30" hidden="1" x14ac:dyDescent="0.35">
      <c r="B51" s="605"/>
      <c r="G51" s="590"/>
      <c r="H51" s="590"/>
      <c r="I51" s="590"/>
      <c r="J51" s="590"/>
      <c r="K51" s="590"/>
      <c r="L51" s="590"/>
      <c r="M51" s="590"/>
      <c r="N51" s="590"/>
      <c r="O51" s="590"/>
    </row>
    <row r="52" spans="1:30" hidden="1" x14ac:dyDescent="0.35">
      <c r="B52" s="100"/>
      <c r="G52" s="590"/>
      <c r="H52" s="590"/>
      <c r="I52" s="590"/>
      <c r="J52" s="590"/>
      <c r="K52" s="590"/>
      <c r="L52" s="590"/>
      <c r="M52" s="590"/>
      <c r="N52" s="590"/>
      <c r="O52" s="590"/>
    </row>
    <row r="53" spans="1:30" hidden="1" x14ac:dyDescent="0.35">
      <c r="A53" s="701"/>
      <c r="B53" s="605">
        <v>1992</v>
      </c>
      <c r="C53" s="701">
        <v>1993</v>
      </c>
      <c r="D53" s="677">
        <v>1994</v>
      </c>
      <c r="E53" s="677"/>
      <c r="F53" s="677">
        <v>1995</v>
      </c>
      <c r="G53" s="677">
        <v>1996</v>
      </c>
      <c r="H53" s="677">
        <v>1997</v>
      </c>
      <c r="I53" s="677">
        <v>1998</v>
      </c>
      <c r="J53" s="677">
        <v>1999</v>
      </c>
      <c r="K53" s="677">
        <v>2000</v>
      </c>
      <c r="L53" s="677">
        <v>2001</v>
      </c>
      <c r="M53" s="677">
        <v>2002</v>
      </c>
      <c r="N53" s="677">
        <v>2003</v>
      </c>
      <c r="O53" s="677">
        <v>2004</v>
      </c>
      <c r="P53" s="677">
        <v>2005</v>
      </c>
      <c r="Q53" s="677">
        <v>2006</v>
      </c>
    </row>
    <row r="54" spans="1:30" hidden="1" x14ac:dyDescent="0.35">
      <c r="A54" s="701" t="s">
        <v>279</v>
      </c>
      <c r="B54" s="100">
        <v>160.21498</v>
      </c>
      <c r="C54" s="701">
        <v>176.84388000000001</v>
      </c>
      <c r="D54" s="677">
        <v>181.23876999999999</v>
      </c>
      <c r="E54" s="677"/>
      <c r="F54" s="677">
        <v>201.06291000000002</v>
      </c>
      <c r="G54" s="677">
        <v>215.54748000000001</v>
      </c>
      <c r="H54" s="677">
        <v>226.96107999999998</v>
      </c>
      <c r="I54" s="677">
        <v>234.32900000000001</v>
      </c>
      <c r="J54" s="677">
        <v>237.28399999999999</v>
      </c>
      <c r="K54" s="677">
        <v>257.01100000000002</v>
      </c>
      <c r="L54" s="677">
        <v>263.161</v>
      </c>
      <c r="M54" s="677">
        <v>265.76400000000001</v>
      </c>
      <c r="N54" s="677">
        <v>266.05500000000001</v>
      </c>
      <c r="O54" s="677">
        <v>273.69400000000002</v>
      </c>
      <c r="P54" s="677">
        <v>295.58</v>
      </c>
      <c r="Q54" s="677">
        <v>312.173</v>
      </c>
    </row>
    <row r="55" spans="1:30" hidden="1" x14ac:dyDescent="0.35">
      <c r="A55" s="701" t="s">
        <v>280</v>
      </c>
      <c r="B55" s="605">
        <v>21.34</v>
      </c>
      <c r="C55" s="701">
        <v>22.48</v>
      </c>
      <c r="D55" s="677">
        <v>22.1</v>
      </c>
      <c r="E55" s="677"/>
      <c r="F55" s="677">
        <v>22.77</v>
      </c>
      <c r="G55" s="677">
        <v>24.73</v>
      </c>
      <c r="H55" s="677">
        <v>24.6</v>
      </c>
      <c r="I55" s="677">
        <v>25.65</v>
      </c>
      <c r="J55" s="677">
        <v>25.33</v>
      </c>
      <c r="K55" s="677">
        <v>27.87</v>
      </c>
      <c r="L55" s="677">
        <v>30.13</v>
      </c>
      <c r="M55" s="677">
        <v>32.99</v>
      </c>
      <c r="N55" s="677">
        <v>28.06</v>
      </c>
      <c r="O55" s="677">
        <v>26.71</v>
      </c>
      <c r="P55" s="677">
        <v>27.45</v>
      </c>
      <c r="Q55" s="677">
        <v>29.63</v>
      </c>
    </row>
    <row r="56" spans="1:30" hidden="1" x14ac:dyDescent="0.35">
      <c r="A56" s="701" t="s">
        <v>281</v>
      </c>
      <c r="B56" s="605">
        <v>62.34</v>
      </c>
      <c r="C56" s="701">
        <v>68.81</v>
      </c>
      <c r="D56" s="677">
        <v>70.52</v>
      </c>
      <c r="E56" s="677"/>
      <c r="F56" s="677">
        <v>78.23</v>
      </c>
      <c r="G56" s="677">
        <v>83.87</v>
      </c>
      <c r="H56" s="677">
        <v>87.14</v>
      </c>
      <c r="I56" s="677">
        <v>91.17</v>
      </c>
      <c r="J56" s="677">
        <v>85.65</v>
      </c>
      <c r="K56" s="677">
        <v>100</v>
      </c>
      <c r="L56" s="677">
        <v>102.31</v>
      </c>
      <c r="M56" s="677">
        <v>103.41</v>
      </c>
      <c r="N56" s="677">
        <v>103.52</v>
      </c>
      <c r="O56" s="677">
        <v>106.49</v>
      </c>
      <c r="P56" s="677">
        <v>115.01</v>
      </c>
      <c r="Q56" s="677">
        <v>121.46</v>
      </c>
    </row>
    <row r="57" spans="1:30" hidden="1" x14ac:dyDescent="0.35">
      <c r="B57" s="87"/>
    </row>
    <row r="58" spans="1:30" hidden="1" x14ac:dyDescent="0.35">
      <c r="B58" s="114"/>
    </row>
    <row r="59" spans="1:30" hidden="1" x14ac:dyDescent="0.35">
      <c r="B59" s="87"/>
      <c r="D59" s="678" t="s">
        <v>74</v>
      </c>
      <c r="E59" s="678"/>
      <c r="F59" s="678" t="s">
        <v>267</v>
      </c>
      <c r="G59" s="678"/>
      <c r="H59" s="678"/>
      <c r="I59" s="678"/>
      <c r="J59" s="675"/>
      <c r="K59" s="678"/>
      <c r="L59" s="675"/>
      <c r="M59" s="675"/>
      <c r="N59" s="241"/>
      <c r="O59" s="241"/>
      <c r="P59" s="241"/>
      <c r="Q59" s="241"/>
      <c r="R59" s="241"/>
      <c r="S59" s="241"/>
      <c r="T59" s="241"/>
      <c r="U59" s="241"/>
      <c r="V59" s="241"/>
    </row>
    <row r="60" spans="1:30" hidden="1" x14ac:dyDescent="0.35">
      <c r="B60" s="87"/>
      <c r="D60" s="702"/>
      <c r="E60" s="702"/>
      <c r="F60" s="703">
        <v>2000</v>
      </c>
      <c r="G60" s="703">
        <v>2001</v>
      </c>
      <c r="H60" s="703">
        <v>2002</v>
      </c>
      <c r="I60" s="703">
        <v>2003</v>
      </c>
      <c r="J60" s="703">
        <v>2004</v>
      </c>
      <c r="K60" s="703">
        <v>2005</v>
      </c>
      <c r="L60" s="703">
        <v>2006</v>
      </c>
      <c r="M60" s="703">
        <v>2007</v>
      </c>
      <c r="N60" s="241"/>
      <c r="O60" s="241"/>
      <c r="P60" s="241"/>
      <c r="Q60" s="241"/>
      <c r="R60" s="241"/>
      <c r="S60" s="241"/>
      <c r="T60" s="241"/>
      <c r="U60" s="241"/>
      <c r="V60" s="241"/>
    </row>
    <row r="61" spans="1:30" hidden="1" x14ac:dyDescent="0.35">
      <c r="D61" s="704" t="s">
        <v>282</v>
      </c>
      <c r="E61" s="704"/>
      <c r="F61" s="705">
        <v>21.062020413209158</v>
      </c>
      <c r="G61" s="705">
        <v>23.191605547805064</v>
      </c>
      <c r="H61" s="705">
        <v>24.780375443120942</v>
      </c>
      <c r="I61" s="705">
        <v>20.570273651079209</v>
      </c>
      <c r="J61" s="705">
        <v>20.197309815539832</v>
      </c>
      <c r="K61" s="705">
        <v>21.097655066262529</v>
      </c>
      <c r="L61" s="705">
        <v>22.918783431482296</v>
      </c>
      <c r="M61" s="705">
        <v>24.867771305796595</v>
      </c>
      <c r="N61" s="241"/>
      <c r="O61" s="241"/>
      <c r="P61" s="241"/>
      <c r="Q61" s="241"/>
      <c r="R61" s="241"/>
      <c r="S61" s="241"/>
      <c r="T61" s="241"/>
      <c r="U61" s="241"/>
      <c r="V61" s="241"/>
    </row>
    <row r="62" spans="1:30" hidden="1" x14ac:dyDescent="0.35">
      <c r="D62" s="704" t="s">
        <v>283</v>
      </c>
      <c r="E62" s="704"/>
      <c r="F62" s="705">
        <v>3.0188212738085425</v>
      </c>
      <c r="G62" s="705">
        <v>2.8701763811424823</v>
      </c>
      <c r="H62" s="705">
        <v>3.7343233801004363</v>
      </c>
      <c r="I62" s="705">
        <v>2.5466945560893888</v>
      </c>
      <c r="J62" s="705">
        <v>2.0566602812589356</v>
      </c>
      <c r="K62" s="705">
        <v>1.7535253171990575</v>
      </c>
      <c r="L62" s="705">
        <v>2.0372634847371804</v>
      </c>
      <c r="M62" s="705">
        <v>2.0010090807234486</v>
      </c>
      <c r="N62" s="241"/>
      <c r="O62" s="241"/>
      <c r="P62" s="241"/>
      <c r="Q62" s="241"/>
      <c r="R62" s="241"/>
      <c r="S62" s="241"/>
      <c r="T62" s="241"/>
      <c r="U62" s="241"/>
      <c r="V62" s="241"/>
      <c r="AD62" s="635" t="s">
        <v>67</v>
      </c>
    </row>
    <row r="63" spans="1:30" hidden="1" x14ac:dyDescent="0.35">
      <c r="D63" s="704" t="s">
        <v>284</v>
      </c>
      <c r="E63" s="704"/>
      <c r="F63" s="705">
        <v>24.080841687017699</v>
      </c>
      <c r="G63" s="705">
        <v>26.061781928947546</v>
      </c>
      <c r="H63" s="705">
        <v>28.51469882322138</v>
      </c>
      <c r="I63" s="705">
        <v>23.116968207168597</v>
      </c>
      <c r="J63" s="705">
        <v>22.253970096798767</v>
      </c>
      <c r="K63" s="705">
        <v>22.851180383461585</v>
      </c>
      <c r="L63" s="705">
        <v>24.956046916219478</v>
      </c>
      <c r="M63" s="705">
        <v>26.868780386520044</v>
      </c>
      <c r="N63" s="241"/>
      <c r="O63" s="241"/>
      <c r="P63" s="241"/>
      <c r="Q63" s="241"/>
      <c r="R63" s="241"/>
      <c r="S63" s="241"/>
      <c r="T63" s="241"/>
      <c r="U63" s="241"/>
      <c r="V63" s="241"/>
    </row>
    <row r="64" spans="1:30" hidden="1" x14ac:dyDescent="0.35">
      <c r="D64" s="704" t="s">
        <v>285</v>
      </c>
      <c r="E64" s="704"/>
      <c r="F64" s="705">
        <v>20.540195283186648</v>
      </c>
      <c r="G64" s="705">
        <v>21.689557032451738</v>
      </c>
      <c r="H64" s="705">
        <v>24.215302657057119</v>
      </c>
      <c r="I64" s="705">
        <v>21.000513209798104</v>
      </c>
      <c r="J64" s="705">
        <v>22.342405485574066</v>
      </c>
      <c r="K64" s="705">
        <v>23.264335684301852</v>
      </c>
      <c r="L64" s="705">
        <v>27.370953688584144</v>
      </c>
      <c r="M64" s="705">
        <v>28.88598892418554</v>
      </c>
      <c r="N64" s="241"/>
      <c r="O64" s="241"/>
      <c r="P64" s="241"/>
      <c r="Q64" s="241"/>
      <c r="R64" s="241"/>
      <c r="S64" s="241"/>
      <c r="T64" s="241"/>
      <c r="U64" s="241"/>
      <c r="V64" s="241"/>
    </row>
    <row r="65" spans="2:22" hidden="1" x14ac:dyDescent="0.35">
      <c r="D65" s="704" t="s">
        <v>273</v>
      </c>
      <c r="E65" s="704"/>
      <c r="F65" s="705">
        <v>3.540646403831051</v>
      </c>
      <c r="G65" s="705">
        <v>4.3722248964958084</v>
      </c>
      <c r="H65" s="705">
        <v>4.2993961661642608</v>
      </c>
      <c r="I65" s="705">
        <v>2.1164549973704929</v>
      </c>
      <c r="J65" s="705">
        <v>-8.8435388775298662E-2</v>
      </c>
      <c r="K65" s="705">
        <v>-0.41315530084026619</v>
      </c>
      <c r="L65" s="705">
        <v>-2.4149067723646667</v>
      </c>
      <c r="M65" s="705">
        <v>-2.0172085376654962</v>
      </c>
      <c r="N65" s="241"/>
      <c r="O65" s="241"/>
      <c r="P65" s="241"/>
      <c r="Q65" s="241"/>
      <c r="R65" s="241"/>
      <c r="S65" s="241"/>
      <c r="T65" s="241"/>
      <c r="U65" s="241"/>
      <c r="V65" s="241"/>
    </row>
    <row r="66" spans="2:22" hidden="1" x14ac:dyDescent="0.35">
      <c r="D66" s="704" t="s">
        <v>286</v>
      </c>
      <c r="E66" s="704"/>
      <c r="F66" s="705">
        <v>-0.58515552817985828</v>
      </c>
      <c r="G66" s="705">
        <v>-0.32303699876569475</v>
      </c>
      <c r="H66" s="705">
        <v>-0.45554929027919078</v>
      </c>
      <c r="I66" s="705">
        <v>0.15919815530029913</v>
      </c>
      <c r="J66" s="705">
        <v>-0.30250062886591289</v>
      </c>
      <c r="K66" s="705">
        <v>-0.42100700358907173</v>
      </c>
      <c r="L66" s="705">
        <v>-0.89922179636440092</v>
      </c>
      <c r="M66" s="705">
        <v>-1.0803483033701891</v>
      </c>
      <c r="N66" s="241"/>
      <c r="O66" s="241"/>
      <c r="P66" s="241"/>
      <c r="Q66" s="241"/>
      <c r="R66" s="241"/>
      <c r="S66" s="241"/>
      <c r="T66" s="241"/>
      <c r="U66" s="241"/>
      <c r="V66" s="241"/>
    </row>
    <row r="67" spans="2:22" hidden="1" x14ac:dyDescent="0.35">
      <c r="D67" s="704" t="s">
        <v>287</v>
      </c>
      <c r="E67" s="704"/>
      <c r="F67" s="705">
        <v>-2.3883367962626392</v>
      </c>
      <c r="G67" s="705">
        <v>-3.1544881554734427</v>
      </c>
      <c r="H67" s="705">
        <v>-2.5156177938031949</v>
      </c>
      <c r="I67" s="705">
        <v>-2.7660183724348433</v>
      </c>
      <c r="J67" s="705">
        <v>-1.9958878260875796</v>
      </c>
      <c r="K67" s="705">
        <v>-2.0391715610028638</v>
      </c>
      <c r="L67" s="705">
        <v>-2.0534030685886364</v>
      </c>
      <c r="M67" s="705">
        <v>-3.1325637170280869</v>
      </c>
      <c r="N67" s="241"/>
      <c r="O67" s="241"/>
      <c r="P67" s="241"/>
      <c r="Q67" s="241"/>
      <c r="R67" s="241"/>
      <c r="S67" s="241"/>
      <c r="T67" s="241"/>
      <c r="U67" s="241"/>
      <c r="V67" s="241"/>
    </row>
    <row r="68" spans="2:22" hidden="1" x14ac:dyDescent="0.35">
      <c r="D68" s="704" t="s">
        <v>288</v>
      </c>
      <c r="E68" s="704"/>
      <c r="F68" s="705">
        <v>0.56715407938855344</v>
      </c>
      <c r="G68" s="705">
        <v>0.89469974225667048</v>
      </c>
      <c r="H68" s="705">
        <v>1.328229082081875</v>
      </c>
      <c r="I68" s="705">
        <v>-0.49036521976405112</v>
      </c>
      <c r="J68" s="705">
        <v>-2.3868238437287914</v>
      </c>
      <c r="K68" s="705">
        <v>-2.8733338654322016</v>
      </c>
      <c r="L68" s="705">
        <v>-5.367531637317704</v>
      </c>
      <c r="M68" s="705">
        <v>-6.2301205580637724</v>
      </c>
      <c r="N68" s="241"/>
      <c r="O68" s="241"/>
      <c r="P68" s="241"/>
      <c r="Q68" s="241"/>
      <c r="R68" s="241"/>
      <c r="S68" s="241"/>
      <c r="T68" s="241"/>
      <c r="U68" s="241"/>
      <c r="V68" s="241"/>
    </row>
    <row r="69" spans="2:22" hidden="1" x14ac:dyDescent="0.35">
      <c r="D69" s="704" t="s">
        <v>289</v>
      </c>
      <c r="E69" s="704"/>
      <c r="F69" s="705">
        <v>-0.69641749480560611</v>
      </c>
      <c r="G69" s="705">
        <v>-0.61342716275476539</v>
      </c>
      <c r="H69" s="705">
        <v>-0.50004321044169631</v>
      </c>
      <c r="I69" s="705">
        <v>-0.59316582228980419</v>
      </c>
      <c r="J69" s="705">
        <v>-0.81168493781931506</v>
      </c>
      <c r="K69" s="705">
        <v>-1.1614679958755849</v>
      </c>
      <c r="L69" s="705">
        <v>-1.0852003462256634</v>
      </c>
      <c r="M69" s="705">
        <v>-1.0428839246218706</v>
      </c>
      <c r="N69" s="241"/>
      <c r="O69" s="241"/>
      <c r="P69" s="241"/>
      <c r="Q69" s="241"/>
      <c r="R69" s="241"/>
      <c r="S69" s="241"/>
      <c r="T69" s="241"/>
      <c r="U69" s="241"/>
      <c r="V69" s="241"/>
    </row>
    <row r="70" spans="2:22" hidden="1" x14ac:dyDescent="0.35">
      <c r="D70" s="706" t="s">
        <v>290</v>
      </c>
      <c r="E70" s="706"/>
      <c r="F70" s="707">
        <v>-0.12926341541705266</v>
      </c>
      <c r="G70" s="707">
        <v>0.2812725795019051</v>
      </c>
      <c r="H70" s="707">
        <v>0.82818587164017865</v>
      </c>
      <c r="I70" s="707">
        <v>-1.0835310420538553</v>
      </c>
      <c r="J70" s="707">
        <v>-3.1985087815481066</v>
      </c>
      <c r="K70" s="707">
        <v>-4.0348018613077867</v>
      </c>
      <c r="L70" s="707">
        <v>-6.4527319835433676</v>
      </c>
      <c r="M70" s="707">
        <v>-7.2730044826856428</v>
      </c>
      <c r="N70" s="241"/>
      <c r="O70" s="241"/>
      <c r="P70" s="241"/>
      <c r="Q70" s="241"/>
      <c r="R70" s="241"/>
      <c r="S70" s="241"/>
      <c r="T70" s="241"/>
      <c r="U70" s="241"/>
      <c r="V70" s="241"/>
    </row>
    <row r="71" spans="2:22" hidden="1" x14ac:dyDescent="0.35"/>
    <row r="72" spans="2:22" hidden="1" x14ac:dyDescent="0.35"/>
    <row r="73" spans="2:22" hidden="1" x14ac:dyDescent="0.35"/>
    <row r="74" spans="2:22" hidden="1" x14ac:dyDescent="0.35">
      <c r="C74" s="701">
        <v>1992</v>
      </c>
      <c r="D74" s="677">
        <v>1993</v>
      </c>
      <c r="E74" s="677"/>
      <c r="F74" s="677">
        <v>1994</v>
      </c>
      <c r="G74" s="677">
        <v>1995</v>
      </c>
      <c r="H74" s="677">
        <v>1996</v>
      </c>
      <c r="I74" s="677">
        <v>1997</v>
      </c>
      <c r="J74" s="677">
        <v>1998</v>
      </c>
      <c r="K74" s="677">
        <v>1999</v>
      </c>
      <c r="L74" s="677">
        <v>2000</v>
      </c>
      <c r="M74" s="677">
        <v>2001</v>
      </c>
      <c r="N74" s="677">
        <v>2002</v>
      </c>
      <c r="O74" s="677">
        <v>2003</v>
      </c>
      <c r="P74" s="677">
        <v>2004</v>
      </c>
      <c r="Q74" s="677">
        <v>2005</v>
      </c>
      <c r="R74" s="677">
        <v>2006</v>
      </c>
    </row>
    <row r="75" spans="2:22" hidden="1" x14ac:dyDescent="0.35">
      <c r="B75" s="83" t="s">
        <v>291</v>
      </c>
      <c r="C75" s="701">
        <v>21.34</v>
      </c>
      <c r="D75" s="677">
        <v>22.48</v>
      </c>
      <c r="E75" s="677"/>
      <c r="F75" s="677">
        <v>22.1</v>
      </c>
      <c r="G75" s="677">
        <v>22.77</v>
      </c>
      <c r="H75" s="677">
        <v>24.73</v>
      </c>
      <c r="I75" s="677">
        <v>24.6</v>
      </c>
      <c r="J75" s="677">
        <v>25.65</v>
      </c>
      <c r="K75" s="677">
        <v>25.33</v>
      </c>
      <c r="L75" s="677">
        <v>27.87</v>
      </c>
      <c r="M75" s="677">
        <v>30.13</v>
      </c>
      <c r="N75" s="677">
        <v>32.99</v>
      </c>
      <c r="O75" s="677">
        <v>28.06</v>
      </c>
      <c r="P75" s="677">
        <v>26.71</v>
      </c>
      <c r="Q75" s="677">
        <v>27.45</v>
      </c>
      <c r="R75" s="677">
        <v>29.63</v>
      </c>
    </row>
    <row r="76" spans="2:22" hidden="1" x14ac:dyDescent="0.35">
      <c r="B76" s="83" t="s">
        <v>292</v>
      </c>
      <c r="C76" s="701">
        <v>1.5</v>
      </c>
      <c r="D76" s="677">
        <v>2.13</v>
      </c>
      <c r="E76" s="677"/>
      <c r="F76" s="677">
        <v>0.01</v>
      </c>
      <c r="G76" s="677">
        <v>-1.65</v>
      </c>
      <c r="H76" s="677">
        <v>-1.1499999999999999</v>
      </c>
      <c r="I76" s="677">
        <v>-1.49</v>
      </c>
      <c r="J76" s="677">
        <v>-1.76</v>
      </c>
      <c r="K76" s="677">
        <v>-0.51</v>
      </c>
      <c r="L76" s="677">
        <v>-0.13</v>
      </c>
      <c r="M76" s="677">
        <v>0.28000000000000003</v>
      </c>
      <c r="N76" s="677">
        <v>0.83</v>
      </c>
      <c r="O76" s="677">
        <v>-1.08</v>
      </c>
      <c r="P76" s="677">
        <v>-3.2</v>
      </c>
      <c r="Q76" s="677">
        <v>-4.03</v>
      </c>
      <c r="R76" s="677">
        <v>-6.45</v>
      </c>
    </row>
    <row r="77" spans="2:22" hidden="1" x14ac:dyDescent="0.35">
      <c r="B77" s="83" t="s">
        <v>293</v>
      </c>
      <c r="C77" s="708">
        <v>2.8516000000000004</v>
      </c>
      <c r="D77" s="709">
        <v>3.2667000000000002</v>
      </c>
      <c r="E77" s="709"/>
      <c r="F77" s="709">
        <v>3.5497000000000001</v>
      </c>
      <c r="G77" s="709">
        <v>3.6269999999999998</v>
      </c>
      <c r="H77" s="709">
        <v>4.2964000000000002</v>
      </c>
      <c r="I77" s="709">
        <v>4.6073000000000004</v>
      </c>
      <c r="J77" s="709">
        <v>5.5316000000000001</v>
      </c>
      <c r="K77" s="709">
        <v>6.1130999999999993</v>
      </c>
      <c r="L77" s="709">
        <v>6.9352999999999998</v>
      </c>
      <c r="M77" s="709">
        <v>8.6030999999999995</v>
      </c>
      <c r="N77" s="709">
        <v>10.516500000000001</v>
      </c>
      <c r="O77" s="709">
        <v>7.5647000000000002</v>
      </c>
      <c r="P77" s="709">
        <v>6.4499000000000004</v>
      </c>
      <c r="Q77" s="709">
        <v>6.3623000000000003</v>
      </c>
      <c r="R77" s="709">
        <v>6.7671999999999999</v>
      </c>
    </row>
    <row r="78" spans="2:22" hidden="1" x14ac:dyDescent="0.35"/>
    <row r="79" spans="2:22" hidden="1" x14ac:dyDescent="0.35">
      <c r="B79" s="83" t="s">
        <v>293</v>
      </c>
    </row>
    <row r="80" spans="2:22" hidden="1" x14ac:dyDescent="0.35">
      <c r="B80" s="83">
        <v>2.8516000000000004</v>
      </c>
    </row>
    <row r="81" spans="2:24" hidden="1" x14ac:dyDescent="0.35">
      <c r="B81" s="83">
        <v>3.2667000000000002</v>
      </c>
    </row>
    <row r="82" spans="2:24" hidden="1" x14ac:dyDescent="0.35">
      <c r="B82" s="83">
        <v>3.5497000000000001</v>
      </c>
    </row>
    <row r="83" spans="2:24" hidden="1" x14ac:dyDescent="0.35">
      <c r="B83" s="83">
        <v>3.6269999999999998</v>
      </c>
    </row>
    <row r="84" spans="2:24" hidden="1" x14ac:dyDescent="0.35">
      <c r="B84" s="83">
        <v>4.2964000000000002</v>
      </c>
    </row>
    <row r="85" spans="2:24" hidden="1" x14ac:dyDescent="0.35">
      <c r="B85" s="83">
        <v>4.6073000000000004</v>
      </c>
    </row>
    <row r="86" spans="2:24" hidden="1" x14ac:dyDescent="0.35">
      <c r="B86" s="83">
        <v>5.5316000000000001</v>
      </c>
    </row>
    <row r="87" spans="2:24" hidden="1" x14ac:dyDescent="0.35">
      <c r="B87" s="83">
        <v>6.1130999999999993</v>
      </c>
    </row>
    <row r="88" spans="2:24" hidden="1" x14ac:dyDescent="0.35">
      <c r="B88" s="83">
        <v>6.9352999999999998</v>
      </c>
    </row>
    <row r="89" spans="2:24" hidden="1" x14ac:dyDescent="0.35">
      <c r="B89" s="83">
        <v>8.6030999999999995</v>
      </c>
    </row>
    <row r="90" spans="2:24" hidden="1" x14ac:dyDescent="0.35">
      <c r="B90" s="83">
        <v>10.516500000000001</v>
      </c>
      <c r="X90" s="635" t="s">
        <v>294</v>
      </c>
    </row>
    <row r="91" spans="2:24" hidden="1" x14ac:dyDescent="0.35">
      <c r="B91" s="83">
        <v>7.5647000000000002</v>
      </c>
      <c r="X91" s="635" t="s">
        <v>295</v>
      </c>
    </row>
    <row r="92" spans="2:24" hidden="1" x14ac:dyDescent="0.35">
      <c r="B92" s="83">
        <v>6.4499000000000004</v>
      </c>
    </row>
    <row r="93" spans="2:24" hidden="1" x14ac:dyDescent="0.35">
      <c r="B93" s="83">
        <v>6.3623000000000003</v>
      </c>
    </row>
    <row r="94" spans="2:24" hidden="1" x14ac:dyDescent="0.35">
      <c r="B94" s="83">
        <v>6.7671999999999999</v>
      </c>
    </row>
    <row r="95" spans="2:24" hidden="1" x14ac:dyDescent="0.35"/>
    <row r="96" spans="2:24"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spans="3:109" hidden="1" x14ac:dyDescent="0.35"/>
    <row r="114" spans="3:109" hidden="1" x14ac:dyDescent="0.35"/>
    <row r="115" spans="3:109" hidden="1" x14ac:dyDescent="0.35"/>
    <row r="116" spans="3:109" hidden="1" x14ac:dyDescent="0.35"/>
    <row r="117" spans="3:109" hidden="1" x14ac:dyDescent="0.35"/>
    <row r="118" spans="3:109" hidden="1" x14ac:dyDescent="0.35"/>
    <row r="119" spans="3:109" hidden="1" x14ac:dyDescent="0.35"/>
    <row r="121" spans="3:109" ht="7.5" customHeight="1" x14ac:dyDescent="0.35"/>
    <row r="122" spans="3:109" x14ac:dyDescent="0.35">
      <c r="C122" s="677"/>
      <c r="D122" s="710"/>
      <c r="E122" s="710"/>
      <c r="F122" s="4659">
        <v>1990</v>
      </c>
      <c r="G122" s="4659"/>
      <c r="H122" s="4659"/>
      <c r="I122" s="4659"/>
      <c r="J122" s="4659">
        <v>1991</v>
      </c>
      <c r="K122" s="4659"/>
      <c r="L122" s="4659"/>
      <c r="M122" s="4659"/>
      <c r="N122" s="4659">
        <v>1992</v>
      </c>
      <c r="O122" s="4659"/>
      <c r="P122" s="4659"/>
      <c r="Q122" s="4659"/>
      <c r="R122" s="4659">
        <v>1993</v>
      </c>
      <c r="S122" s="4659"/>
      <c r="T122" s="4659"/>
      <c r="U122" s="4659"/>
      <c r="V122" s="4659">
        <v>1994</v>
      </c>
      <c r="W122" s="4659"/>
      <c r="X122" s="4659"/>
      <c r="Y122" s="4659"/>
      <c r="Z122" s="4659">
        <v>1995</v>
      </c>
      <c r="AA122" s="4659"/>
      <c r="AB122" s="4659"/>
      <c r="AC122" s="4659"/>
      <c r="AD122" s="4659">
        <v>1996</v>
      </c>
      <c r="AE122" s="4659"/>
      <c r="AF122" s="4659"/>
      <c r="AG122" s="4659"/>
      <c r="AH122" s="4659">
        <v>1997</v>
      </c>
      <c r="AI122" s="4659"/>
      <c r="AJ122" s="4659"/>
      <c r="AK122" s="4659"/>
      <c r="AL122" s="4659">
        <v>1998</v>
      </c>
      <c r="AM122" s="4659"/>
      <c r="AN122" s="4659"/>
      <c r="AO122" s="4659"/>
      <c r="AP122" s="4659">
        <v>1999</v>
      </c>
      <c r="AQ122" s="4659"/>
      <c r="AR122" s="4659"/>
      <c r="AS122" s="4659"/>
      <c r="AT122" s="4659">
        <v>2000</v>
      </c>
      <c r="AU122" s="4659"/>
      <c r="AV122" s="4659"/>
      <c r="AW122" s="4659"/>
      <c r="AX122" s="4659">
        <v>2001</v>
      </c>
      <c r="AY122" s="4659"/>
      <c r="AZ122" s="4659"/>
      <c r="BA122" s="4659"/>
      <c r="BB122" s="4659">
        <v>2002</v>
      </c>
      <c r="BC122" s="4659"/>
      <c r="BD122" s="4659"/>
      <c r="BE122" s="4659"/>
      <c r="BF122" s="4659">
        <v>2003</v>
      </c>
      <c r="BG122" s="4659"/>
      <c r="BH122" s="4659"/>
      <c r="BI122" s="4659"/>
      <c r="BJ122" s="4659">
        <v>2004</v>
      </c>
      <c r="BK122" s="4659"/>
      <c r="BL122" s="4659"/>
      <c r="BM122" s="4659"/>
      <c r="BN122" s="4659">
        <v>2005</v>
      </c>
      <c r="BO122" s="4659"/>
      <c r="BP122" s="4659"/>
      <c r="BQ122" s="4659"/>
      <c r="BR122" s="4659">
        <v>2006</v>
      </c>
      <c r="BS122" s="4659"/>
      <c r="BT122" s="4659"/>
      <c r="BU122" s="4659"/>
      <c r="BV122" s="4659">
        <v>2007</v>
      </c>
      <c r="BW122" s="4659"/>
      <c r="BX122" s="4659"/>
      <c r="BY122" s="4659"/>
      <c r="BZ122" s="4659">
        <v>2008</v>
      </c>
      <c r="CA122" s="4659"/>
      <c r="CB122" s="4659"/>
      <c r="CC122" s="4659"/>
      <c r="CD122" s="4659">
        <v>2009</v>
      </c>
      <c r="CE122" s="4659"/>
      <c r="CF122" s="4659"/>
      <c r="CG122" s="4659"/>
      <c r="CH122" s="4659">
        <v>2010</v>
      </c>
      <c r="CI122" s="4659"/>
      <c r="CJ122" s="4659"/>
      <c r="CK122" s="4659"/>
      <c r="CL122" s="4659">
        <v>2011</v>
      </c>
      <c r="CM122" s="4659"/>
      <c r="CN122" s="4659"/>
      <c r="CO122" s="4659"/>
      <c r="CP122" s="4659">
        <v>2012</v>
      </c>
      <c r="CQ122" s="4659"/>
      <c r="CR122" s="4659"/>
      <c r="CS122" s="4659"/>
      <c r="CT122" s="4659">
        <v>2013</v>
      </c>
      <c r="CU122" s="4659"/>
      <c r="CV122" s="4659"/>
      <c r="CW122" s="4659"/>
      <c r="CX122" s="4708">
        <v>2014</v>
      </c>
      <c r="CY122" s="4709"/>
      <c r="CZ122" s="4709"/>
      <c r="DA122" s="711"/>
      <c r="DB122" s="4710">
        <v>2015</v>
      </c>
      <c r="DC122" s="4711"/>
      <c r="DD122" s="4711"/>
      <c r="DE122" s="712"/>
    </row>
    <row r="123" spans="3:109" x14ac:dyDescent="0.35">
      <c r="C123" s="677"/>
      <c r="D123" s="677"/>
      <c r="E123" s="677"/>
      <c r="F123" s="713" t="s">
        <v>66</v>
      </c>
      <c r="G123" s="713" t="s">
        <v>67</v>
      </c>
      <c r="H123" s="713" t="s">
        <v>68</v>
      </c>
      <c r="I123" s="714" t="s">
        <v>69</v>
      </c>
      <c r="J123" s="713" t="s">
        <v>66</v>
      </c>
      <c r="K123" s="713" t="s">
        <v>67</v>
      </c>
      <c r="L123" s="713" t="s">
        <v>68</v>
      </c>
      <c r="M123" s="714" t="s">
        <v>69</v>
      </c>
      <c r="N123" s="713" t="s">
        <v>66</v>
      </c>
      <c r="O123" s="713" t="s">
        <v>67</v>
      </c>
      <c r="P123" s="713" t="s">
        <v>68</v>
      </c>
      <c r="Q123" s="714" t="s">
        <v>69</v>
      </c>
      <c r="R123" s="713" t="s">
        <v>66</v>
      </c>
      <c r="S123" s="713" t="s">
        <v>67</v>
      </c>
      <c r="T123" s="713" t="s">
        <v>68</v>
      </c>
      <c r="U123" s="714" t="s">
        <v>69</v>
      </c>
      <c r="V123" s="713" t="s">
        <v>66</v>
      </c>
      <c r="W123" s="713" t="s">
        <v>67</v>
      </c>
      <c r="X123" s="713" t="s">
        <v>68</v>
      </c>
      <c r="Y123" s="714" t="s">
        <v>69</v>
      </c>
      <c r="Z123" s="713" t="s">
        <v>66</v>
      </c>
      <c r="AA123" s="713" t="s">
        <v>67</v>
      </c>
      <c r="AB123" s="713" t="s">
        <v>68</v>
      </c>
      <c r="AC123" s="714" t="s">
        <v>69</v>
      </c>
      <c r="AD123" s="713" t="s">
        <v>66</v>
      </c>
      <c r="AE123" s="713" t="s">
        <v>67</v>
      </c>
      <c r="AF123" s="713" t="s">
        <v>68</v>
      </c>
      <c r="AG123" s="714" t="s">
        <v>69</v>
      </c>
      <c r="AH123" s="713" t="s">
        <v>66</v>
      </c>
      <c r="AI123" s="713" t="s">
        <v>67</v>
      </c>
      <c r="AJ123" s="713" t="s">
        <v>68</v>
      </c>
      <c r="AK123" s="714" t="s">
        <v>69</v>
      </c>
      <c r="AL123" s="713" t="s">
        <v>66</v>
      </c>
      <c r="AM123" s="713" t="s">
        <v>67</v>
      </c>
      <c r="AN123" s="713" t="s">
        <v>68</v>
      </c>
      <c r="AO123" s="714" t="s">
        <v>69</v>
      </c>
      <c r="AP123" s="713" t="s">
        <v>66</v>
      </c>
      <c r="AQ123" s="713" t="s">
        <v>67</v>
      </c>
      <c r="AR123" s="713" t="s">
        <v>68</v>
      </c>
      <c r="AS123" s="714" t="s">
        <v>69</v>
      </c>
      <c r="AT123" s="713" t="s">
        <v>66</v>
      </c>
      <c r="AU123" s="713" t="s">
        <v>67</v>
      </c>
      <c r="AV123" s="713" t="s">
        <v>68</v>
      </c>
      <c r="AW123" s="714" t="s">
        <v>69</v>
      </c>
      <c r="AX123" s="713" t="s">
        <v>66</v>
      </c>
      <c r="AY123" s="713" t="s">
        <v>67</v>
      </c>
      <c r="AZ123" s="713" t="s">
        <v>68</v>
      </c>
      <c r="BA123" s="714" t="s">
        <v>69</v>
      </c>
      <c r="BB123" s="713" t="s">
        <v>66</v>
      </c>
      <c r="BC123" s="713" t="s">
        <v>67</v>
      </c>
      <c r="BD123" s="713" t="s">
        <v>68</v>
      </c>
      <c r="BE123" s="714" t="s">
        <v>69</v>
      </c>
      <c r="BF123" s="713" t="s">
        <v>66</v>
      </c>
      <c r="BG123" s="713" t="s">
        <v>67</v>
      </c>
      <c r="BH123" s="713" t="s">
        <v>68</v>
      </c>
      <c r="BI123" s="714" t="s">
        <v>69</v>
      </c>
      <c r="BJ123" s="713" t="s">
        <v>66</v>
      </c>
      <c r="BK123" s="713" t="s">
        <v>67</v>
      </c>
      <c r="BL123" s="713" t="s">
        <v>68</v>
      </c>
      <c r="BM123" s="714" t="s">
        <v>69</v>
      </c>
      <c r="BN123" s="713" t="s">
        <v>66</v>
      </c>
      <c r="BO123" s="713" t="s">
        <v>67</v>
      </c>
      <c r="BP123" s="713" t="s">
        <v>68</v>
      </c>
      <c r="BQ123" s="714" t="s">
        <v>69</v>
      </c>
      <c r="BR123" s="713" t="s">
        <v>66</v>
      </c>
      <c r="BS123" s="713" t="s">
        <v>67</v>
      </c>
      <c r="BT123" s="713" t="s">
        <v>68</v>
      </c>
      <c r="BU123" s="714" t="s">
        <v>69</v>
      </c>
      <c r="BV123" s="713" t="s">
        <v>66</v>
      </c>
      <c r="BW123" s="713" t="s">
        <v>67</v>
      </c>
      <c r="BX123" s="713" t="s">
        <v>68</v>
      </c>
      <c r="BY123" s="714" t="s">
        <v>69</v>
      </c>
      <c r="BZ123" s="713" t="s">
        <v>66</v>
      </c>
      <c r="CA123" s="713" t="s">
        <v>67</v>
      </c>
      <c r="CB123" s="713" t="s">
        <v>68</v>
      </c>
      <c r="CC123" s="714" t="s">
        <v>69</v>
      </c>
      <c r="CD123" s="713" t="s">
        <v>66</v>
      </c>
      <c r="CE123" s="713" t="s">
        <v>67</v>
      </c>
      <c r="CF123" s="713" t="s">
        <v>68</v>
      </c>
      <c r="CG123" s="714" t="s">
        <v>69</v>
      </c>
      <c r="CH123" s="713" t="s">
        <v>66</v>
      </c>
      <c r="CI123" s="713" t="s">
        <v>67</v>
      </c>
      <c r="CJ123" s="713" t="s">
        <v>68</v>
      </c>
      <c r="CK123" s="714" t="s">
        <v>69</v>
      </c>
      <c r="CL123" s="713" t="s">
        <v>66</v>
      </c>
      <c r="CM123" s="713" t="s">
        <v>67</v>
      </c>
      <c r="CN123" s="713" t="s">
        <v>68</v>
      </c>
      <c r="CO123" s="714" t="s">
        <v>69</v>
      </c>
      <c r="CP123" s="713" t="s">
        <v>66</v>
      </c>
      <c r="CQ123" s="713" t="s">
        <v>67</v>
      </c>
      <c r="CR123" s="713" t="s">
        <v>68</v>
      </c>
      <c r="CS123" s="714" t="s">
        <v>69</v>
      </c>
      <c r="CT123" s="713" t="s">
        <v>66</v>
      </c>
      <c r="CU123" s="713" t="s">
        <v>67</v>
      </c>
      <c r="CV123" s="713" t="s">
        <v>68</v>
      </c>
      <c r="CW123" s="714" t="s">
        <v>69</v>
      </c>
      <c r="CX123" s="713" t="s">
        <v>66</v>
      </c>
      <c r="CY123" s="713" t="s">
        <v>67</v>
      </c>
      <c r="CZ123" s="713" t="s">
        <v>68</v>
      </c>
      <c r="DA123" s="714" t="s">
        <v>69</v>
      </c>
      <c r="DB123" s="715" t="s">
        <v>66</v>
      </c>
      <c r="DC123" s="715" t="s">
        <v>67</v>
      </c>
      <c r="DD123" s="715" t="s">
        <v>68</v>
      </c>
      <c r="DE123" s="716" t="s">
        <v>69</v>
      </c>
    </row>
    <row r="124" spans="3:109" x14ac:dyDescent="0.35">
      <c r="C124" s="677"/>
      <c r="D124" s="677" t="s">
        <v>296</v>
      </c>
      <c r="E124" s="677"/>
      <c r="F124" s="717">
        <v>15.631122502721112</v>
      </c>
      <c r="G124" s="717">
        <v>15.04714071133523</v>
      </c>
      <c r="H124" s="717">
        <v>15.380606000626784</v>
      </c>
      <c r="I124" s="717">
        <v>13.821185466475505</v>
      </c>
      <c r="J124" s="717">
        <v>14.422118948755871</v>
      </c>
      <c r="K124" s="717">
        <v>14.038318063803754</v>
      </c>
      <c r="L124" s="717">
        <v>14.128463389873042</v>
      </c>
      <c r="M124" s="717">
        <v>12.962155405874592</v>
      </c>
      <c r="N124" s="717">
        <v>13.59534198815466</v>
      </c>
      <c r="O124" s="717">
        <v>12.864359125061553</v>
      </c>
      <c r="P124" s="717">
        <v>14.243341858306161</v>
      </c>
      <c r="Q124" s="717">
        <v>13.467086578046414</v>
      </c>
      <c r="R124" s="717">
        <v>13.581500769520735</v>
      </c>
      <c r="S124" s="717">
        <v>12.987691350515608</v>
      </c>
      <c r="T124" s="717">
        <v>14.152347994044506</v>
      </c>
      <c r="U124" s="717">
        <v>14.367715105722487</v>
      </c>
      <c r="V124" s="717">
        <v>14.263418577950587</v>
      </c>
      <c r="W124" s="717">
        <v>14.746592888615636</v>
      </c>
      <c r="X124" s="717">
        <v>16.801768904562273</v>
      </c>
      <c r="Y124" s="717">
        <v>16.687923743035508</v>
      </c>
      <c r="Z124" s="717">
        <v>17.773807780905592</v>
      </c>
      <c r="AA124" s="717">
        <v>17.944480445430752</v>
      </c>
      <c r="AB124" s="717">
        <v>17.412025636995512</v>
      </c>
      <c r="AC124" s="717">
        <v>17.42581832153321</v>
      </c>
      <c r="AD124" s="717">
        <v>17.510038169830963</v>
      </c>
      <c r="AE124" s="717">
        <v>18.526482283739661</v>
      </c>
      <c r="AF124" s="717">
        <v>19.495465592580853</v>
      </c>
      <c r="AG124" s="717">
        <v>19.172426540772637</v>
      </c>
      <c r="AH124" s="717">
        <v>18.367557299681199</v>
      </c>
      <c r="AI124" s="717">
        <v>18.029394690102716</v>
      </c>
      <c r="AJ124" s="717">
        <v>19.45032277296497</v>
      </c>
      <c r="AK124" s="717">
        <v>19.787848663176707</v>
      </c>
      <c r="AL124" s="717">
        <v>19.124995930592181</v>
      </c>
      <c r="AM124" s="717">
        <v>18.070323288649455</v>
      </c>
      <c r="AN124" s="717">
        <v>21.659955753656195</v>
      </c>
      <c r="AO124" s="717">
        <v>20.246511990970781</v>
      </c>
      <c r="AP124" s="717">
        <v>17.686328829025744</v>
      </c>
      <c r="AQ124" s="717">
        <v>17.433413152045439</v>
      </c>
      <c r="AR124" s="717">
        <v>17.802757751473166</v>
      </c>
      <c r="AS124" s="717">
        <v>18.82459395688727</v>
      </c>
      <c r="AT124" s="717">
        <v>19.771484401200148</v>
      </c>
      <c r="AU124" s="717">
        <v>19.231601789877821</v>
      </c>
      <c r="AV124" s="717">
        <v>19.773784951144034</v>
      </c>
      <c r="AW124" s="717">
        <v>21.203027796394579</v>
      </c>
      <c r="AX124" s="717">
        <v>20.81968067274806</v>
      </c>
      <c r="AY124" s="717">
        <v>21.170367702026951</v>
      </c>
      <c r="AZ124" s="717">
        <v>20.26189913107163</v>
      </c>
      <c r="BA124" s="717">
        <v>22.288528170615713</v>
      </c>
      <c r="BB124" s="717">
        <v>24.01068113408817</v>
      </c>
      <c r="BC124" s="717">
        <v>23.411910835236998</v>
      </c>
      <c r="BD124" s="717">
        <v>22.520406517180191</v>
      </c>
      <c r="BE124" s="717">
        <v>23.113174152928352</v>
      </c>
      <c r="BF124" s="717">
        <v>20.402369813903189</v>
      </c>
      <c r="BG124" s="717">
        <v>19.895686611667003</v>
      </c>
      <c r="BH124" s="717">
        <v>19.884091168022834</v>
      </c>
      <c r="BI124" s="717">
        <v>19.715241543646627</v>
      </c>
      <c r="BJ124" s="717">
        <v>19.392974485578161</v>
      </c>
      <c r="BK124" s="717">
        <v>21.785363403844254</v>
      </c>
      <c r="BL124" s="717">
        <v>21.309168638171375</v>
      </c>
      <c r="BM124" s="717">
        <v>21.873306800862242</v>
      </c>
      <c r="BN124" s="717">
        <v>20.512435908810357</v>
      </c>
      <c r="BO124" s="717">
        <v>22.070297526751688</v>
      </c>
      <c r="BP124" s="674">
        <v>23.121537375261163</v>
      </c>
      <c r="BQ124" s="674">
        <v>22.143450515976081</v>
      </c>
      <c r="BR124" s="674">
        <v>22.548713133512972</v>
      </c>
      <c r="BS124" s="672">
        <v>24.950401574680424</v>
      </c>
      <c r="BT124" s="672">
        <v>25.895490593177129</v>
      </c>
      <c r="BU124" s="672">
        <v>29.344604830950701</v>
      </c>
      <c r="BV124" s="672">
        <v>26.610244958115164</v>
      </c>
      <c r="BW124" s="672">
        <v>27.435914311099413</v>
      </c>
      <c r="BX124" s="672">
        <v>27.660327764843167</v>
      </c>
      <c r="BY124" s="672">
        <v>26.671676073535817</v>
      </c>
      <c r="BZ124" s="672">
        <v>29.462094819336997</v>
      </c>
      <c r="CA124" s="672">
        <v>32.393499552903442</v>
      </c>
      <c r="CB124" s="672">
        <v>33.406501039075373</v>
      </c>
      <c r="CC124" s="672">
        <v>30.180155761551109</v>
      </c>
      <c r="CD124" s="672">
        <v>25.730666879393894</v>
      </c>
      <c r="CE124" s="672">
        <v>21.249792361924232</v>
      </c>
      <c r="CF124" s="672">
        <v>20.564345747643291</v>
      </c>
      <c r="CG124" s="672">
        <v>22.057612090004291</v>
      </c>
      <c r="CH124" s="672">
        <v>22.365665056130794</v>
      </c>
      <c r="CI124" s="672">
        <v>22.338568107761837</v>
      </c>
      <c r="CJ124" s="672">
        <v>22.721010826827513</v>
      </c>
      <c r="CK124" s="672">
        <v>21.275510651469741</v>
      </c>
      <c r="CL124" s="672">
        <v>22.696340529552568</v>
      </c>
      <c r="CM124" s="672">
        <v>23.962228229060571</v>
      </c>
      <c r="CN124" s="672">
        <v>24.997231228055835</v>
      </c>
      <c r="CO124" s="672">
        <v>26.556315358630091</v>
      </c>
      <c r="CP124" s="672">
        <v>26.077037922144452</v>
      </c>
      <c r="CQ124" s="672">
        <v>26.45944407396162</v>
      </c>
      <c r="CR124" s="672">
        <v>26.089156749989932</v>
      </c>
      <c r="CS124" s="672">
        <v>26.386230996191063</v>
      </c>
      <c r="CT124" s="672">
        <v>27.614466132618219</v>
      </c>
      <c r="CU124" s="672">
        <v>28.512244382224711</v>
      </c>
      <c r="CV124" s="672">
        <v>29.448844459996305</v>
      </c>
      <c r="CW124" s="672">
        <v>27.700989440503211</v>
      </c>
      <c r="CX124" s="672">
        <v>29.402143113695427</v>
      </c>
      <c r="CY124" s="672">
        <v>28.494982453254448</v>
      </c>
      <c r="CZ124" s="672">
        <v>28.08707891546387</v>
      </c>
      <c r="DA124" s="672">
        <v>27.067012631793695</v>
      </c>
      <c r="DB124" s="718"/>
      <c r="DC124" s="718"/>
      <c r="DD124" s="718"/>
      <c r="DE124" s="718"/>
    </row>
    <row r="125" spans="3:109" x14ac:dyDescent="0.35">
      <c r="C125" s="677"/>
      <c r="D125" s="677" t="s">
        <v>297</v>
      </c>
      <c r="E125" s="677"/>
      <c r="F125" s="717">
        <v>15.560900249289</v>
      </c>
      <c r="G125" s="717">
        <v>13.906174561450566</v>
      </c>
      <c r="H125" s="717">
        <v>14.598446236825177</v>
      </c>
      <c r="I125" s="717">
        <v>15.794164374007053</v>
      </c>
      <c r="J125" s="717">
        <v>13.352495993168276</v>
      </c>
      <c r="K125" s="717">
        <v>14.462980094899876</v>
      </c>
      <c r="L125" s="717">
        <v>12.29596085185988</v>
      </c>
      <c r="M125" s="717">
        <v>13.846538434830915</v>
      </c>
      <c r="N125" s="717">
        <v>13.704700239288847</v>
      </c>
      <c r="O125" s="717">
        <v>13.337198650845339</v>
      </c>
      <c r="P125" s="717">
        <v>13.427220091697331</v>
      </c>
      <c r="Q125" s="717">
        <v>12.181918376608641</v>
      </c>
      <c r="R125" s="717">
        <v>11.952421769393483</v>
      </c>
      <c r="S125" s="717">
        <v>13.287862678001829</v>
      </c>
      <c r="T125" s="717">
        <v>12.928386516974502</v>
      </c>
      <c r="U125" s="717">
        <v>14.938466844985909</v>
      </c>
      <c r="V125" s="717">
        <v>13.607883095477721</v>
      </c>
      <c r="W125" s="717">
        <v>12.899067527410596</v>
      </c>
      <c r="X125" s="717">
        <v>13.802216779576899</v>
      </c>
      <c r="Y125" s="717">
        <v>15.881049875813922</v>
      </c>
      <c r="Z125" s="717">
        <v>14.932459604561132</v>
      </c>
      <c r="AA125" s="717">
        <v>14.508357256893786</v>
      </c>
      <c r="AB125" s="717">
        <v>16.136812140898694</v>
      </c>
      <c r="AC125" s="717">
        <v>15.773349604697257</v>
      </c>
      <c r="AD125" s="717">
        <v>15.493811860737949</v>
      </c>
      <c r="AE125" s="717">
        <v>15.482671223304918</v>
      </c>
      <c r="AF125" s="717">
        <v>17.301918809554888</v>
      </c>
      <c r="AG125" s="717">
        <v>17.123567859447959</v>
      </c>
      <c r="AH125" s="717">
        <v>15.585218780600938</v>
      </c>
      <c r="AI125" s="717">
        <v>15.949809457571979</v>
      </c>
      <c r="AJ125" s="717">
        <v>17.553196724884383</v>
      </c>
      <c r="AK125" s="717">
        <v>17.951489382794922</v>
      </c>
      <c r="AL125" s="717">
        <v>18.010385128756063</v>
      </c>
      <c r="AM125" s="717">
        <v>17.218389175054739</v>
      </c>
      <c r="AN125" s="717">
        <v>18.757708848616158</v>
      </c>
      <c r="AO125" s="717">
        <v>17.044696933827961</v>
      </c>
      <c r="AP125" s="717">
        <v>18.590479378398058</v>
      </c>
      <c r="AQ125" s="717">
        <v>17.153945380435783</v>
      </c>
      <c r="AR125" s="717">
        <v>17.699295042725396</v>
      </c>
      <c r="AS125" s="717">
        <v>18.70753441916936</v>
      </c>
      <c r="AT125" s="717">
        <v>19.465634348212969</v>
      </c>
      <c r="AU125" s="717">
        <v>19.842658754731815</v>
      </c>
      <c r="AV125" s="717">
        <v>19.767383028088954</v>
      </c>
      <c r="AW125" s="717">
        <v>22.850564441304748</v>
      </c>
      <c r="AX125" s="717">
        <v>22.513446211712338</v>
      </c>
      <c r="AY125" s="717">
        <v>23.7059933145086</v>
      </c>
      <c r="AZ125" s="717">
        <v>21.102791403788498</v>
      </c>
      <c r="BA125" s="717">
        <v>23.122012664323606</v>
      </c>
      <c r="BB125" s="717">
        <v>24.502034048924365</v>
      </c>
      <c r="BC125" s="717">
        <v>24.434811420655482</v>
      </c>
      <c r="BD125" s="717">
        <v>22.654702371350218</v>
      </c>
      <c r="BE125" s="717">
        <v>23.646502451894261</v>
      </c>
      <c r="BF125" s="717">
        <v>20.661631108878133</v>
      </c>
      <c r="BG125" s="717">
        <v>19.570155060030121</v>
      </c>
      <c r="BH125" s="717">
        <v>19.95889523832367</v>
      </c>
      <c r="BI125" s="717">
        <v>18.120406663848922</v>
      </c>
      <c r="BJ125" s="717">
        <v>18.606924115825365</v>
      </c>
      <c r="BK125" s="717">
        <v>19.264561401582927</v>
      </c>
      <c r="BL125" s="717">
        <v>19.410750586080685</v>
      </c>
      <c r="BM125" s="717">
        <v>19.044324299039918</v>
      </c>
      <c r="BN125" s="717">
        <v>18.490176567118546</v>
      </c>
      <c r="BO125" s="717">
        <v>21.156090877841169</v>
      </c>
      <c r="BP125" s="674">
        <v>20.993235606686795</v>
      </c>
      <c r="BQ125" s="674">
        <v>20.141135234946152</v>
      </c>
      <c r="BR125" s="674">
        <v>20.249979236646855</v>
      </c>
      <c r="BS125" s="672">
        <v>21.896953287301244</v>
      </c>
      <c r="BT125" s="672">
        <v>23.563933446840931</v>
      </c>
      <c r="BU125" s="672">
        <v>24.182705746270848</v>
      </c>
      <c r="BV125" s="672">
        <v>25.137606807684783</v>
      </c>
      <c r="BW125" s="672">
        <v>24.00820343274366</v>
      </c>
      <c r="BX125" s="672">
        <v>23.689780904742751</v>
      </c>
      <c r="BY125" s="672">
        <v>24.533929668466847</v>
      </c>
      <c r="BZ125" s="672">
        <v>26.848880723659292</v>
      </c>
      <c r="CA125" s="672">
        <v>29.436180750670221</v>
      </c>
      <c r="CB125" s="672">
        <v>30.115902287955265</v>
      </c>
      <c r="CC125" s="672">
        <v>28.380897936923304</v>
      </c>
      <c r="CD125" s="672">
        <v>23.644835535264651</v>
      </c>
      <c r="CE125" s="672">
        <v>20.923338600943783</v>
      </c>
      <c r="CF125" s="672">
        <v>20.205675869786312</v>
      </c>
      <c r="CG125" s="672">
        <v>20.878455813731161</v>
      </c>
      <c r="CH125" s="672">
        <v>21.574813973234015</v>
      </c>
      <c r="CI125" s="672">
        <v>22.050441492567369</v>
      </c>
      <c r="CJ125" s="672">
        <v>22.624711309301109</v>
      </c>
      <c r="CK125" s="672">
        <v>22.410860693472326</v>
      </c>
      <c r="CL125" s="672">
        <v>23.033237267684026</v>
      </c>
      <c r="CM125" s="672">
        <v>23.697201527931576</v>
      </c>
      <c r="CN125" s="672">
        <v>24.160336946360978</v>
      </c>
      <c r="CO125" s="672">
        <v>24.205805783139581</v>
      </c>
      <c r="CP125" s="672">
        <v>23.510631821240175</v>
      </c>
      <c r="CQ125" s="672">
        <v>23.48515853353048</v>
      </c>
      <c r="CR125" s="672">
        <v>22.613683366704123</v>
      </c>
      <c r="CS125" s="672">
        <v>22.855192060862127</v>
      </c>
      <c r="CT125" s="672">
        <v>23.909977069883119</v>
      </c>
      <c r="CU125" s="672">
        <v>24.273573802618372</v>
      </c>
      <c r="CV125" s="672">
        <v>25.164834424178974</v>
      </c>
      <c r="CW125" s="672">
        <v>24.930303812050443</v>
      </c>
      <c r="CX125" s="672">
        <v>25.845389441256224</v>
      </c>
      <c r="CY125" s="672">
        <v>24.376376536188939</v>
      </c>
      <c r="CZ125" s="672">
        <v>24.419348864928214</v>
      </c>
      <c r="DA125" s="672">
        <v>24.579047000032293</v>
      </c>
      <c r="DB125" s="718"/>
      <c r="DC125" s="718"/>
      <c r="DD125" s="718"/>
      <c r="DE125" s="718"/>
    </row>
    <row r="126" spans="3:109" x14ac:dyDescent="0.35">
      <c r="C126" s="677"/>
      <c r="D126" s="677" t="s">
        <v>298</v>
      </c>
      <c r="E126" s="677"/>
      <c r="F126" s="717">
        <v>1.8</v>
      </c>
      <c r="G126" s="717">
        <v>1.2</v>
      </c>
      <c r="H126" s="717">
        <v>0.4</v>
      </c>
      <c r="I126" s="717">
        <v>2</v>
      </c>
      <c r="J126" s="717">
        <v>-0.5</v>
      </c>
      <c r="K126" s="717">
        <v>1.6</v>
      </c>
      <c r="L126" s="717">
        <v>0.1</v>
      </c>
      <c r="M126" s="717">
        <v>3.2</v>
      </c>
      <c r="N126" s="717">
        <v>2.8</v>
      </c>
      <c r="O126" s="717">
        <v>1.2</v>
      </c>
      <c r="P126" s="717">
        <v>1.7</v>
      </c>
      <c r="Q126" s="717">
        <v>0.2</v>
      </c>
      <c r="R126" s="717">
        <v>2.5</v>
      </c>
      <c r="S126" s="717">
        <v>2.2000000000000002</v>
      </c>
      <c r="T126" s="717">
        <v>0.9</v>
      </c>
      <c r="U126" s="717">
        <v>2.7</v>
      </c>
      <c r="V126" s="717">
        <v>1.2</v>
      </c>
      <c r="W126" s="717">
        <v>0</v>
      </c>
      <c r="X126" s="717">
        <v>-0.8</v>
      </c>
      <c r="Y126" s="717">
        <v>-0.2</v>
      </c>
      <c r="Z126" s="717">
        <v>-1.5</v>
      </c>
      <c r="AA126" s="717">
        <v>-3.3</v>
      </c>
      <c r="AB126" s="717">
        <v>-0.8</v>
      </c>
      <c r="AC126" s="717">
        <v>-0.9</v>
      </c>
      <c r="AD126" s="717">
        <v>-1.2</v>
      </c>
      <c r="AE126" s="717">
        <v>-1.9</v>
      </c>
      <c r="AF126" s="717">
        <v>-0.2</v>
      </c>
      <c r="AG126" s="717">
        <v>-1.1000000000000001</v>
      </c>
      <c r="AH126" s="717">
        <v>-1.6</v>
      </c>
      <c r="AI126" s="717">
        <v>-1.3</v>
      </c>
      <c r="AJ126" s="717">
        <v>-1.2</v>
      </c>
      <c r="AK126" s="717">
        <v>-1.7</v>
      </c>
      <c r="AL126" s="717">
        <v>-0.5</v>
      </c>
      <c r="AM126" s="717">
        <v>-1</v>
      </c>
      <c r="AN126" s="717">
        <v>-2.6</v>
      </c>
      <c r="AO126" s="717">
        <v>-2.7</v>
      </c>
      <c r="AP126" s="717">
        <v>1.3</v>
      </c>
      <c r="AQ126" s="717">
        <v>-0.9</v>
      </c>
      <c r="AR126" s="717">
        <v>-0.8</v>
      </c>
      <c r="AS126" s="717">
        <v>-1.4</v>
      </c>
      <c r="AT126" s="717">
        <v>-0.1</v>
      </c>
      <c r="AU126" s="717">
        <v>-0.1</v>
      </c>
      <c r="AV126" s="717">
        <v>-1</v>
      </c>
      <c r="AW126" s="717">
        <v>0.7</v>
      </c>
      <c r="AX126" s="717">
        <v>0.7</v>
      </c>
      <c r="AY126" s="717">
        <v>0.5</v>
      </c>
      <c r="AZ126" s="717">
        <v>-0.7</v>
      </c>
      <c r="BA126" s="717">
        <v>0.6</v>
      </c>
      <c r="BB126" s="717">
        <v>1.2</v>
      </c>
      <c r="BC126" s="717">
        <v>0.4</v>
      </c>
      <c r="BD126" s="717">
        <v>0.8</v>
      </c>
      <c r="BE126" s="717">
        <v>1.2</v>
      </c>
      <c r="BF126" s="717">
        <v>0.3</v>
      </c>
      <c r="BG126" s="717">
        <v>-2.5</v>
      </c>
      <c r="BH126" s="717">
        <v>0</v>
      </c>
      <c r="BI126" s="717">
        <v>-1.1000000000000001</v>
      </c>
      <c r="BJ126" s="717">
        <v>-1.4</v>
      </c>
      <c r="BK126" s="717">
        <v>-3.1</v>
      </c>
      <c r="BL126" s="717">
        <v>-2.9</v>
      </c>
      <c r="BM126" s="717">
        <v>-3.5</v>
      </c>
      <c r="BN126" s="717">
        <v>-3.2</v>
      </c>
      <c r="BO126" s="717">
        <v>-2.4</v>
      </c>
      <c r="BP126" s="674">
        <v>-3.3</v>
      </c>
      <c r="BQ126" s="674">
        <v>-3.6</v>
      </c>
      <c r="BR126" s="674">
        <v>-4.5</v>
      </c>
      <c r="BS126" s="672">
        <v>-3.8</v>
      </c>
      <c r="BT126" s="672">
        <v>-3.1</v>
      </c>
      <c r="BU126" s="672">
        <v>-6.5</v>
      </c>
      <c r="BV126" s="672">
        <v>-3.4</v>
      </c>
      <c r="BW126" s="672">
        <v>-5.4</v>
      </c>
      <c r="BX126" s="672">
        <v>-6.9</v>
      </c>
      <c r="BY126" s="672">
        <v>-5.7</v>
      </c>
      <c r="BZ126" s="672">
        <v>-5.9</v>
      </c>
      <c r="CA126" s="672">
        <v>-5.8</v>
      </c>
      <c r="CB126" s="672">
        <v>-6.6</v>
      </c>
      <c r="CC126" s="672">
        <v>-3.8</v>
      </c>
      <c r="CD126" s="672">
        <v>-4</v>
      </c>
      <c r="CE126" s="672">
        <v>-1.9</v>
      </c>
      <c r="CF126" s="672">
        <v>-2.2999999999999998</v>
      </c>
      <c r="CG126" s="672">
        <v>-2.7</v>
      </c>
      <c r="CH126" s="672">
        <v>-2.7</v>
      </c>
      <c r="CI126" s="672">
        <v>-1.2</v>
      </c>
      <c r="CJ126" s="672">
        <v>-1.9</v>
      </c>
      <c r="CK126" s="672">
        <v>-0.4</v>
      </c>
      <c r="CL126" s="672">
        <v>-1.4</v>
      </c>
      <c r="CM126" s="672">
        <v>-1.9</v>
      </c>
      <c r="CN126" s="672">
        <v>-2.7</v>
      </c>
      <c r="CO126" s="672">
        <v>-2.7</v>
      </c>
      <c r="CP126" s="672">
        <v>-3.6</v>
      </c>
      <c r="CQ126" s="672">
        <v>-4.8</v>
      </c>
      <c r="CR126" s="672">
        <v>-5.5</v>
      </c>
      <c r="CS126" s="672">
        <v>-5.8</v>
      </c>
      <c r="CT126" s="672">
        <v>-5.2</v>
      </c>
      <c r="CU126" s="672">
        <v>-6.1</v>
      </c>
      <c r="CV126" s="672">
        <v>-6.4</v>
      </c>
      <c r="CW126" s="672">
        <v>-5.3</v>
      </c>
      <c r="CX126" s="636">
        <v>-4.5999999999999996</v>
      </c>
      <c r="CY126" s="636">
        <v>-6.2</v>
      </c>
      <c r="CZ126" s="636">
        <v>-5.8</v>
      </c>
      <c r="DA126" s="636">
        <v>-5.0999999999999996</v>
      </c>
      <c r="DB126" s="719"/>
      <c r="DC126" s="719"/>
      <c r="DD126" s="719"/>
      <c r="DE126" s="719"/>
    </row>
    <row r="127" spans="3:109" x14ac:dyDescent="0.35">
      <c r="C127" s="677"/>
      <c r="D127" s="677" t="s">
        <v>273</v>
      </c>
      <c r="E127" s="677"/>
      <c r="F127" s="717">
        <v>5.5436957971981302</v>
      </c>
      <c r="G127" s="717">
        <v>5.7098599860522503</v>
      </c>
      <c r="H127" s="717">
        <v>4.4089267158196845</v>
      </c>
      <c r="I127" s="717">
        <v>6.7048991875589312</v>
      </c>
      <c r="J127" s="717">
        <v>3.1073830902418953</v>
      </c>
      <c r="K127" s="717">
        <v>5.8330597749858253</v>
      </c>
      <c r="L127" s="717">
        <v>3.3307858145026064</v>
      </c>
      <c r="M127" s="717">
        <v>6.2437330740920771</v>
      </c>
      <c r="N127" s="717">
        <v>5.717487575386814</v>
      </c>
      <c r="O127" s="717">
        <v>4.7238945456663437</v>
      </c>
      <c r="P127" s="717">
        <v>4.6376196965661336</v>
      </c>
      <c r="Q127" s="717">
        <v>3.6737258656931906</v>
      </c>
      <c r="R127" s="717">
        <v>5.668042440089029</v>
      </c>
      <c r="S127" s="717">
        <v>5.5597858638573294</v>
      </c>
      <c r="T127" s="717">
        <v>4.443594936935245</v>
      </c>
      <c r="U127" s="717">
        <v>6.6952151002991513</v>
      </c>
      <c r="V127" s="717">
        <v>4.4349705050707104</v>
      </c>
      <c r="W127" s="717">
        <v>3.1326980223383547</v>
      </c>
      <c r="X127" s="717">
        <v>2.3678869579602724</v>
      </c>
      <c r="Y127" s="717">
        <v>2.6883648673270746</v>
      </c>
      <c r="Z127" s="717">
        <v>1.6095166261121601</v>
      </c>
      <c r="AA127" s="717">
        <v>-0.18318267222248366</v>
      </c>
      <c r="AB127" s="717">
        <v>2.5666684130560067</v>
      </c>
      <c r="AC127" s="717">
        <v>2.0625815613400516</v>
      </c>
      <c r="AD127" s="717">
        <v>1.6419636808275087</v>
      </c>
      <c r="AE127" s="717">
        <v>1.2640859832556248</v>
      </c>
      <c r="AF127" s="717">
        <v>2.8827207687669767</v>
      </c>
      <c r="AG127" s="717">
        <v>1.9908306642465599</v>
      </c>
      <c r="AH127" s="717">
        <v>1.3155550319906348</v>
      </c>
      <c r="AI127" s="717">
        <v>1.3520465348867954</v>
      </c>
      <c r="AJ127" s="717">
        <v>1.9332631214838418</v>
      </c>
      <c r="AK127" s="717">
        <v>1.4936511564505957</v>
      </c>
      <c r="AL127" s="717">
        <v>2.3717865242916516</v>
      </c>
      <c r="AM127" s="717">
        <v>2.0673513644072692</v>
      </c>
      <c r="AN127" s="717">
        <v>0.63954892222954585</v>
      </c>
      <c r="AO127" s="717">
        <v>0.26847080411996477</v>
      </c>
      <c r="AP127" s="717">
        <v>4.7247143226489774</v>
      </c>
      <c r="AQ127" s="717">
        <v>2.3700143477305669</v>
      </c>
      <c r="AR127" s="717">
        <v>2.6852100057845059</v>
      </c>
      <c r="AS127" s="717">
        <v>2.0483128307332827</v>
      </c>
      <c r="AT127" s="717">
        <v>3.2629595016969311</v>
      </c>
      <c r="AU127" s="717">
        <v>3.4716306519269184</v>
      </c>
      <c r="AV127" s="717">
        <v>2.8881966092524309</v>
      </c>
      <c r="AW127" s="717">
        <v>4.1464146052332334</v>
      </c>
      <c r="AX127" s="717">
        <v>4.250880602752062</v>
      </c>
      <c r="AY127" s="717">
        <v>4.8681881388691988</v>
      </c>
      <c r="AZ127" s="717">
        <v>3.756074488293498</v>
      </c>
      <c r="BA127" s="717">
        <v>4.1883240350520188</v>
      </c>
      <c r="BB127" s="717">
        <v>4.2944970893996057</v>
      </c>
      <c r="BC127" s="717">
        <v>4.6776035804434262</v>
      </c>
      <c r="BD127" s="717">
        <v>3.8022261655105658</v>
      </c>
      <c r="BE127" s="717">
        <v>3.7743596520622811</v>
      </c>
      <c r="BF127" s="717">
        <v>3.0804019672582941</v>
      </c>
      <c r="BG127" s="717">
        <v>2.014621862061817</v>
      </c>
      <c r="BH127" s="717">
        <v>2.1322158194868353</v>
      </c>
      <c r="BI127" s="717">
        <v>0.88326837133018399</v>
      </c>
      <c r="BJ127" s="717">
        <v>1.2634687614865598</v>
      </c>
      <c r="BK127" s="717">
        <v>-0.51058212674402015</v>
      </c>
      <c r="BL127" s="717">
        <v>-0.16723104065909572</v>
      </c>
      <c r="BM127" s="717">
        <v>-0.84106114292322354</v>
      </c>
      <c r="BN127" s="717">
        <v>-0.43268933110276098</v>
      </c>
      <c r="BO127" s="717">
        <v>0.68681420590701014</v>
      </c>
      <c r="BP127" s="674">
        <v>-0.56311706714027865</v>
      </c>
      <c r="BQ127" s="674">
        <v>-0.17437580525485896</v>
      </c>
      <c r="BR127" s="674">
        <v>-0.52831198553024994</v>
      </c>
      <c r="BS127" s="672">
        <v>-1.0994039282398183</v>
      </c>
      <c r="BT127" s="672">
        <v>-0.26714432531864984</v>
      </c>
      <c r="BU127" s="672">
        <v>-3.2483801340369265</v>
      </c>
      <c r="BV127" s="672">
        <v>0.45038093035663129</v>
      </c>
      <c r="BW127" s="672">
        <v>-1.5888101925425804</v>
      </c>
      <c r="BX127" s="672">
        <v>-2.0510322194464745</v>
      </c>
      <c r="BY127" s="672">
        <v>-0.25337651849518256</v>
      </c>
      <c r="BZ127" s="672">
        <v>-0.52527048539564991</v>
      </c>
      <c r="CA127" s="672">
        <v>-0.84865195163937535</v>
      </c>
      <c r="CB127" s="672">
        <v>-1.2660803855562306</v>
      </c>
      <c r="CC127" s="672">
        <v>0.17868553809357191</v>
      </c>
      <c r="CD127" s="672">
        <v>0.10026815902996386</v>
      </c>
      <c r="CE127" s="672">
        <v>1.7011498174206416</v>
      </c>
      <c r="CF127" s="672">
        <v>1.7084449482845785</v>
      </c>
      <c r="CG127" s="672">
        <v>0.95819698451473179</v>
      </c>
      <c r="CH127" s="672">
        <v>1.1754355054049908</v>
      </c>
      <c r="CI127" s="672">
        <v>1.9678923782520952</v>
      </c>
      <c r="CJ127" s="672">
        <v>2.1319643185706605</v>
      </c>
      <c r="CK127" s="672">
        <v>3.3356541442258281</v>
      </c>
      <c r="CL127" s="672">
        <v>2.4890815477308816</v>
      </c>
      <c r="CM127" s="672">
        <v>2.0894020265679263</v>
      </c>
      <c r="CN127" s="672">
        <v>1.8935103941017248</v>
      </c>
      <c r="CO127" s="672">
        <v>0.34954404394885863</v>
      </c>
      <c r="CP127" s="672">
        <v>-0.15298946139192651</v>
      </c>
      <c r="CQ127" s="672">
        <v>-0.57933286527916306</v>
      </c>
      <c r="CR127" s="672">
        <v>-1.3942829184251915</v>
      </c>
      <c r="CS127" s="672">
        <v>-1.6903008566093396</v>
      </c>
      <c r="CT127" s="672">
        <v>-1.7447105907860088</v>
      </c>
      <c r="CU127" s="672">
        <v>-2.2401111120353874</v>
      </c>
      <c r="CV127" s="672">
        <v>-2.5172669640866245</v>
      </c>
      <c r="CW127" s="672">
        <v>-1.2492813801449001</v>
      </c>
      <c r="CX127" s="672">
        <v>-1.9270746554220102</v>
      </c>
      <c r="CY127" s="672">
        <v>-2.4153934481612152</v>
      </c>
      <c r="CZ127" s="672">
        <v>-2.026357440723038</v>
      </c>
      <c r="DA127" s="672">
        <v>-0.89926499496891377</v>
      </c>
      <c r="DB127" s="718"/>
      <c r="DC127" s="718"/>
      <c r="DD127" s="718"/>
      <c r="DE127" s="718"/>
    </row>
    <row r="128" spans="3:109" x14ac:dyDescent="0.35">
      <c r="C128" s="677"/>
      <c r="D128" s="677"/>
      <c r="E128" s="677"/>
      <c r="F128" s="677"/>
      <c r="G128" s="677"/>
      <c r="H128" s="677"/>
      <c r="I128" s="677"/>
      <c r="J128" s="677"/>
      <c r="K128" s="677"/>
      <c r="L128" s="677"/>
      <c r="M128" s="677"/>
      <c r="N128" s="677"/>
      <c r="O128" s="677"/>
      <c r="P128" s="677"/>
      <c r="Q128" s="677"/>
      <c r="R128" s="677"/>
      <c r="S128" s="677"/>
      <c r="T128" s="677"/>
      <c r="U128" s="677"/>
      <c r="V128" s="677"/>
      <c r="W128" s="677"/>
      <c r="X128" s="677"/>
      <c r="Y128" s="677"/>
      <c r="Z128" s="677"/>
      <c r="AA128" s="677"/>
      <c r="AB128" s="677"/>
      <c r="AC128" s="677"/>
      <c r="AD128" s="677"/>
      <c r="AE128" s="677"/>
      <c r="AF128" s="677"/>
      <c r="AG128" s="677"/>
      <c r="AH128" s="677"/>
      <c r="AI128" s="677"/>
      <c r="AJ128" s="677"/>
      <c r="AK128" s="677"/>
      <c r="AL128" s="677"/>
      <c r="AM128" s="677"/>
      <c r="AN128" s="677"/>
      <c r="AO128" s="677"/>
      <c r="AP128" s="677"/>
      <c r="AQ128" s="677"/>
      <c r="AR128" s="677"/>
      <c r="AS128" s="677"/>
      <c r="AT128" s="677"/>
      <c r="AU128" s="677"/>
      <c r="AV128" s="677"/>
      <c r="AW128" s="677"/>
      <c r="AX128" s="677"/>
      <c r="AY128" s="677"/>
      <c r="AZ128" s="677"/>
      <c r="BA128" s="677"/>
      <c r="BB128" s="677"/>
      <c r="BC128" s="677"/>
      <c r="BD128" s="677"/>
      <c r="BE128" s="677"/>
      <c r="BF128" s="677"/>
      <c r="BG128" s="677"/>
      <c r="BH128" s="677"/>
      <c r="BI128" s="677"/>
      <c r="BJ128" s="677"/>
      <c r="BK128" s="677"/>
      <c r="BL128" s="677"/>
      <c r="BM128" s="677"/>
      <c r="BN128" s="677"/>
      <c r="BO128" s="677"/>
      <c r="DB128" s="719"/>
      <c r="DC128" s="719"/>
      <c r="DD128" s="719"/>
      <c r="DE128" s="719"/>
    </row>
    <row r="129" spans="3:109" x14ac:dyDescent="0.35">
      <c r="C129" s="677"/>
      <c r="D129" s="677"/>
      <c r="E129" s="677"/>
      <c r="F129" s="677"/>
      <c r="G129" s="717"/>
      <c r="H129" s="677"/>
      <c r="I129" s="677"/>
      <c r="J129" s="677"/>
      <c r="K129" s="677"/>
      <c r="L129" s="677"/>
      <c r="M129" s="677"/>
      <c r="N129" s="677"/>
      <c r="O129" s="677"/>
      <c r="P129" s="677"/>
      <c r="Q129" s="677"/>
      <c r="R129" s="677"/>
      <c r="S129" s="677"/>
      <c r="T129" s="677"/>
      <c r="U129" s="677"/>
      <c r="V129" s="677"/>
      <c r="W129" s="677"/>
      <c r="X129" s="677"/>
      <c r="Y129" s="677"/>
      <c r="Z129" s="677"/>
      <c r="AA129" s="677"/>
      <c r="AB129" s="677"/>
      <c r="AC129" s="677"/>
      <c r="AD129" s="677"/>
      <c r="AE129" s="677"/>
      <c r="AF129" s="677"/>
      <c r="AG129" s="677"/>
      <c r="AH129" s="677"/>
      <c r="AI129" s="677"/>
      <c r="AJ129" s="677"/>
      <c r="AK129" s="677"/>
      <c r="AL129" s="677"/>
      <c r="AM129" s="677"/>
      <c r="AN129" s="677"/>
      <c r="AO129" s="677"/>
      <c r="AP129" s="677"/>
      <c r="AQ129" s="677"/>
      <c r="AR129" s="677"/>
      <c r="AS129" s="677"/>
      <c r="AT129" s="677"/>
      <c r="AU129" s="677"/>
      <c r="AV129" s="677"/>
      <c r="AW129" s="677"/>
      <c r="AX129" s="677"/>
      <c r="AY129" s="677"/>
      <c r="AZ129" s="677"/>
      <c r="BA129" s="677"/>
      <c r="BB129" s="677"/>
      <c r="BC129" s="677"/>
      <c r="BD129" s="677"/>
      <c r="BE129" s="677"/>
      <c r="BF129" s="677"/>
      <c r="BG129" s="677"/>
      <c r="BH129" s="677"/>
      <c r="BI129" s="677"/>
      <c r="BJ129" s="677"/>
      <c r="BK129" s="677"/>
      <c r="BL129" s="677"/>
      <c r="BM129" s="677"/>
      <c r="BN129" s="677"/>
      <c r="BO129" s="677"/>
      <c r="CH129" s="672">
        <v>22.365665056130794</v>
      </c>
      <c r="CI129" s="672">
        <v>22.338568107761837</v>
      </c>
      <c r="CJ129" s="672">
        <v>22.721010826827513</v>
      </c>
      <c r="CK129" s="672">
        <v>21.275510651469741</v>
      </c>
      <c r="CL129" s="672">
        <v>22.696340529552568</v>
      </c>
      <c r="CM129" s="672">
        <v>23.962228229060571</v>
      </c>
      <c r="CN129" s="672">
        <v>24.997231228055835</v>
      </c>
      <c r="CO129" s="672">
        <v>26.556315358630091</v>
      </c>
      <c r="CP129" s="672">
        <v>26.077037922144452</v>
      </c>
      <c r="CQ129" s="672">
        <v>26.45944407396162</v>
      </c>
      <c r="CR129" s="672">
        <v>26.089156749989932</v>
      </c>
      <c r="CS129" s="672">
        <v>26.386230996191063</v>
      </c>
      <c r="CT129" s="672">
        <v>27.614466132618219</v>
      </c>
      <c r="CU129" s="672">
        <v>28.512244382224711</v>
      </c>
      <c r="CV129" s="672">
        <v>29.448844459996305</v>
      </c>
      <c r="CW129" s="672">
        <v>27.700989440503211</v>
      </c>
      <c r="CX129" s="672">
        <v>29.402143113695427</v>
      </c>
      <c r="CY129" s="672">
        <v>28.494982453254448</v>
      </c>
      <c r="CZ129" s="672">
        <v>28.08707891546387</v>
      </c>
      <c r="DA129" s="672">
        <v>27.067012631793695</v>
      </c>
      <c r="DB129" s="718"/>
      <c r="DC129" s="718"/>
      <c r="DD129" s="718"/>
      <c r="DE129" s="718"/>
    </row>
    <row r="130" spans="3:109" x14ac:dyDescent="0.35">
      <c r="C130" s="677"/>
      <c r="D130" s="677"/>
      <c r="E130" s="677"/>
      <c r="F130" s="677"/>
      <c r="G130" s="677"/>
      <c r="H130" s="677"/>
      <c r="I130" s="677"/>
      <c r="J130" s="677"/>
      <c r="K130" s="677"/>
      <c r="L130" s="677"/>
      <c r="M130" s="677"/>
      <c r="N130" s="677"/>
      <c r="O130" s="677"/>
      <c r="P130" s="677"/>
      <c r="Q130" s="677"/>
      <c r="R130" s="677"/>
      <c r="S130" s="677"/>
      <c r="T130" s="677"/>
      <c r="U130" s="677"/>
      <c r="V130" s="677"/>
      <c r="W130" s="677"/>
      <c r="X130" s="677"/>
      <c r="Y130" s="677"/>
      <c r="Z130" s="677"/>
      <c r="AA130" s="677"/>
      <c r="AB130" s="677"/>
      <c r="AC130" s="677"/>
      <c r="AD130" s="677"/>
      <c r="AE130" s="677"/>
      <c r="AF130" s="677"/>
      <c r="AG130" s="677"/>
      <c r="AH130" s="677"/>
      <c r="AI130" s="677"/>
      <c r="AJ130" s="677"/>
      <c r="AK130" s="677"/>
      <c r="AL130" s="677"/>
      <c r="AM130" s="677"/>
      <c r="AN130" s="677"/>
      <c r="AO130" s="677"/>
      <c r="AP130" s="677"/>
      <c r="AQ130" s="677"/>
      <c r="AR130" s="677"/>
      <c r="AS130" s="677"/>
      <c r="AT130" s="677"/>
      <c r="AU130" s="677"/>
      <c r="AV130" s="677"/>
      <c r="AW130" s="677"/>
      <c r="AX130" s="677"/>
      <c r="AY130" s="677"/>
      <c r="AZ130" s="677"/>
      <c r="BA130" s="677"/>
      <c r="BB130" s="677"/>
      <c r="BC130" s="677"/>
      <c r="BD130" s="677"/>
      <c r="BE130" s="677"/>
      <c r="BF130" s="677"/>
      <c r="BG130" s="677"/>
      <c r="BH130" s="677"/>
      <c r="BI130" s="677"/>
      <c r="BJ130" s="677"/>
      <c r="BK130" s="677"/>
      <c r="BL130" s="677"/>
      <c r="BM130" s="677"/>
      <c r="BN130" s="677"/>
      <c r="BO130" s="677"/>
      <c r="CH130" s="672">
        <v>21.574813973234015</v>
      </c>
      <c r="CI130" s="672">
        <v>22.050441492567369</v>
      </c>
      <c r="CJ130" s="672">
        <v>22.624711309301109</v>
      </c>
      <c r="CK130" s="672">
        <v>22.410860693472326</v>
      </c>
      <c r="CL130" s="672">
        <v>23.033237267684026</v>
      </c>
      <c r="CM130" s="672">
        <v>23.697201527931576</v>
      </c>
      <c r="CN130" s="672">
        <v>24.160336946360978</v>
      </c>
      <c r="CO130" s="672">
        <v>24.205805783139581</v>
      </c>
      <c r="CP130" s="672">
        <v>23.510631821240175</v>
      </c>
      <c r="CQ130" s="672">
        <v>23.48515853353048</v>
      </c>
      <c r="CR130" s="672">
        <v>22.613683366704123</v>
      </c>
      <c r="CS130" s="672">
        <v>22.855192060862127</v>
      </c>
      <c r="CT130" s="672">
        <v>23.909977069883119</v>
      </c>
      <c r="CU130" s="672">
        <v>24.273573802618372</v>
      </c>
      <c r="CV130" s="672">
        <v>25.164834424178974</v>
      </c>
      <c r="CW130" s="672">
        <v>24.930303812050443</v>
      </c>
      <c r="CX130" s="672">
        <v>25.828058277587434</v>
      </c>
      <c r="CY130" s="672">
        <v>24.35226802971976</v>
      </c>
      <c r="CZ130" s="672">
        <v>24.419348864928214</v>
      </c>
      <c r="DA130" s="672">
        <v>24.579047000032293</v>
      </c>
      <c r="DB130" s="718"/>
      <c r="DC130" s="718"/>
      <c r="DD130" s="718"/>
      <c r="DE130" s="718"/>
    </row>
    <row r="131" spans="3:109" x14ac:dyDescent="0.35">
      <c r="CH131" s="636">
        <v>-2.7</v>
      </c>
      <c r="CI131" s="636">
        <v>-1.2</v>
      </c>
      <c r="CJ131" s="636">
        <v>-1.9</v>
      </c>
      <c r="CK131" s="636">
        <v>-0.4</v>
      </c>
      <c r="CL131" s="636">
        <v>-1.4</v>
      </c>
      <c r="CM131" s="636">
        <v>-1.9</v>
      </c>
      <c r="CN131" s="636">
        <v>-2.7</v>
      </c>
      <c r="CO131" s="636">
        <v>-2.7</v>
      </c>
      <c r="CP131" s="636">
        <v>-3.6</v>
      </c>
      <c r="CQ131" s="636">
        <v>-4.8</v>
      </c>
      <c r="CR131" s="636">
        <v>-5.5</v>
      </c>
      <c r="CS131" s="636">
        <v>-5.8</v>
      </c>
      <c r="CT131" s="636">
        <v>-5.2</v>
      </c>
      <c r="CU131" s="636">
        <v>-6.1</v>
      </c>
      <c r="CV131" s="636">
        <v>-6.4</v>
      </c>
      <c r="CW131" s="636">
        <v>-5.3</v>
      </c>
      <c r="CX131" s="636">
        <v>-4.5999999999999996</v>
      </c>
      <c r="CY131" s="636">
        <v>-6.2</v>
      </c>
      <c r="CZ131" s="636">
        <v>-5.8</v>
      </c>
      <c r="DA131" s="636">
        <v>-5.0999999999999996</v>
      </c>
      <c r="DB131" s="719"/>
      <c r="DC131" s="719"/>
      <c r="DD131" s="719"/>
      <c r="DE131" s="719"/>
    </row>
    <row r="132" spans="3:109" x14ac:dyDescent="0.35">
      <c r="CH132" s="672">
        <v>1.1754355054049908</v>
      </c>
      <c r="CI132" s="672">
        <v>1.9678923782520952</v>
      </c>
      <c r="CJ132" s="672">
        <v>2.1319643185706605</v>
      </c>
      <c r="CK132" s="672">
        <v>3.3356541442258281</v>
      </c>
      <c r="CL132" s="672">
        <v>2.4890815477308816</v>
      </c>
      <c r="CM132" s="672">
        <v>2.0894020265679263</v>
      </c>
      <c r="CN132" s="672">
        <v>1.8935103941017248</v>
      </c>
      <c r="CO132" s="672">
        <v>0.34954404394885863</v>
      </c>
      <c r="CP132" s="672">
        <v>-0.15298946139192651</v>
      </c>
      <c r="CQ132" s="672">
        <v>-0.57933286527916306</v>
      </c>
      <c r="CR132" s="672">
        <v>-1.3942829184251915</v>
      </c>
      <c r="CS132" s="672">
        <v>-1.6903008566093396</v>
      </c>
      <c r="CT132" s="672">
        <v>-1.7447105907860088</v>
      </c>
      <c r="CU132" s="672">
        <v>-2.2401111120353874</v>
      </c>
      <c r="CV132" s="672">
        <v>-2.5172669640866245</v>
      </c>
      <c r="CW132" s="672">
        <v>-1.2492813801449001</v>
      </c>
      <c r="CX132" s="672">
        <v>-1.9270746554220102</v>
      </c>
      <c r="CY132" s="672">
        <v>-2.4153934481612152</v>
      </c>
      <c r="CZ132" s="672">
        <v>-2.026357440723038</v>
      </c>
      <c r="DA132" s="672">
        <v>-0.89926499496891377</v>
      </c>
      <c r="DB132" s="718"/>
      <c r="DC132" s="718"/>
      <c r="DD132" s="718"/>
      <c r="DE132" s="718"/>
    </row>
    <row r="133" spans="3:109" x14ac:dyDescent="0.35">
      <c r="CH133" s="672">
        <f>CH127-CH132</f>
        <v>0</v>
      </c>
      <c r="CI133" s="672">
        <f t="shared" ref="CI133:DA133" si="0">CI127-CI132</f>
        <v>0</v>
      </c>
      <c r="CJ133" s="672">
        <f t="shared" si="0"/>
        <v>0</v>
      </c>
      <c r="CK133" s="672">
        <f t="shared" si="0"/>
        <v>0</v>
      </c>
      <c r="CL133" s="672">
        <f t="shared" si="0"/>
        <v>0</v>
      </c>
      <c r="CM133" s="672">
        <f t="shared" si="0"/>
        <v>0</v>
      </c>
      <c r="CN133" s="672">
        <f t="shared" si="0"/>
        <v>0</v>
      </c>
      <c r="CO133" s="672">
        <f t="shared" si="0"/>
        <v>0</v>
      </c>
      <c r="CP133" s="672">
        <f t="shared" si="0"/>
        <v>0</v>
      </c>
      <c r="CQ133" s="672">
        <f t="shared" si="0"/>
        <v>0</v>
      </c>
      <c r="CR133" s="672">
        <f t="shared" si="0"/>
        <v>0</v>
      </c>
      <c r="CS133" s="672">
        <f t="shared" si="0"/>
        <v>0</v>
      </c>
      <c r="CT133" s="672">
        <f t="shared" si="0"/>
        <v>0</v>
      </c>
      <c r="CU133" s="672">
        <f t="shared" si="0"/>
        <v>0</v>
      </c>
      <c r="CV133" s="672">
        <f t="shared" si="0"/>
        <v>0</v>
      </c>
      <c r="CW133" s="672">
        <f t="shared" si="0"/>
        <v>0</v>
      </c>
      <c r="CX133" s="672">
        <f t="shared" si="0"/>
        <v>0</v>
      </c>
      <c r="CY133" s="672">
        <f t="shared" si="0"/>
        <v>0</v>
      </c>
      <c r="CZ133" s="672">
        <f t="shared" si="0"/>
        <v>0</v>
      </c>
      <c r="DA133" s="672">
        <f t="shared" si="0"/>
        <v>0</v>
      </c>
      <c r="DB133" s="718"/>
      <c r="DC133" s="718"/>
      <c r="DD133" s="718"/>
      <c r="DE133" s="718"/>
    </row>
  </sheetData>
  <mergeCells count="33">
    <mergeCell ref="D37:AC37"/>
    <mergeCell ref="D2:AC2"/>
    <mergeCell ref="D3:AC3"/>
    <mergeCell ref="D4:AC4"/>
    <mergeCell ref="D35:AC35"/>
    <mergeCell ref="D36:AC36"/>
    <mergeCell ref="D38:AC38"/>
    <mergeCell ref="F122:I122"/>
    <mergeCell ref="J122:M122"/>
    <mergeCell ref="N122:Q122"/>
    <mergeCell ref="R122:U122"/>
    <mergeCell ref="V122:Y122"/>
    <mergeCell ref="Z122:AC122"/>
    <mergeCell ref="BV122:BY122"/>
    <mergeCell ref="AD122:AG122"/>
    <mergeCell ref="AH122:AK122"/>
    <mergeCell ref="AL122:AO122"/>
    <mergeCell ref="AP122:AS122"/>
    <mergeCell ref="AT122:AW122"/>
    <mergeCell ref="AX122:BA122"/>
    <mergeCell ref="BB122:BE122"/>
    <mergeCell ref="BF122:BI122"/>
    <mergeCell ref="BJ122:BM122"/>
    <mergeCell ref="BN122:BQ122"/>
    <mergeCell ref="BR122:BU122"/>
    <mergeCell ref="CX122:CZ122"/>
    <mergeCell ref="DB122:DD122"/>
    <mergeCell ref="BZ122:CC122"/>
    <mergeCell ref="CD122:CG122"/>
    <mergeCell ref="CH122:CK122"/>
    <mergeCell ref="CL122:CO122"/>
    <mergeCell ref="CP122:CS122"/>
    <mergeCell ref="CT122:CW122"/>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AC133"/>
  <sheetViews>
    <sheetView showGridLines="0" zoomScaleNormal="100" zoomScaleSheetLayoutView="110" workbookViewId="0">
      <selection activeCell="U14" sqref="U14"/>
    </sheetView>
  </sheetViews>
  <sheetFormatPr defaultColWidth="9.1796875" defaultRowHeight="14.5" x14ac:dyDescent="0.35"/>
  <cols>
    <col min="1" max="1" width="3.81640625" customWidth="1"/>
    <col min="2" max="2" width="14.453125" customWidth="1"/>
    <col min="3" max="3" width="5" customWidth="1"/>
    <col min="4" max="4" width="22" bestFit="1" customWidth="1"/>
    <col min="5" max="5" width="8.90625" customWidth="1"/>
    <col min="6" max="6" width="6.08984375" bestFit="1" customWidth="1"/>
    <col min="7" max="13" width="6.90625" bestFit="1" customWidth="1"/>
    <col min="14" max="14" width="7" customWidth="1"/>
    <col min="15" max="15" width="6.81640625" customWidth="1"/>
    <col min="16" max="16" width="7.1796875" customWidth="1"/>
    <col min="17" max="17" width="6.1796875" customWidth="1"/>
    <col min="18" max="19" width="5.81640625" customWidth="1"/>
    <col min="20" max="20" width="7.36328125" customWidth="1"/>
  </cols>
  <sheetData>
    <row r="1" spans="1:28" s="722" customFormat="1" ht="14" x14ac:dyDescent="0.3">
      <c r="A1" s="720"/>
      <c r="B1" s="721"/>
      <c r="C1" s="720"/>
    </row>
    <row r="2" spans="1:28" s="722" customFormat="1" ht="14.25" customHeight="1" x14ac:dyDescent="0.3">
      <c r="A2" s="723">
        <v>1</v>
      </c>
      <c r="B2" s="723" t="s">
        <v>0</v>
      </c>
      <c r="C2" s="723">
        <f>1+'[6]Foreign Trade'!C2</f>
        <v>14</v>
      </c>
      <c r="D2" s="4723" t="s">
        <v>299</v>
      </c>
      <c r="E2" s="4724"/>
      <c r="F2" s="4724"/>
      <c r="G2" s="4724"/>
      <c r="H2" s="4724"/>
      <c r="I2" s="4724"/>
      <c r="J2" s="4724"/>
      <c r="K2" s="4724"/>
      <c r="L2" s="4724"/>
      <c r="M2" s="4724"/>
      <c r="N2" s="4724"/>
      <c r="O2" s="4724"/>
      <c r="P2" s="4724"/>
      <c r="Q2" s="4724"/>
      <c r="R2" s="4724"/>
      <c r="S2" s="4725"/>
      <c r="T2" s="724"/>
      <c r="U2" s="725"/>
    </row>
    <row r="3" spans="1:28" s="722" customFormat="1" ht="14.25" customHeight="1" x14ac:dyDescent="0.35">
      <c r="A3" s="723">
        <v>2</v>
      </c>
      <c r="B3" s="723" t="s">
        <v>2</v>
      </c>
      <c r="C3" s="723"/>
      <c r="D3" s="4723" t="s">
        <v>268</v>
      </c>
      <c r="E3" s="4724"/>
      <c r="F3" s="4724"/>
      <c r="G3" s="4724"/>
      <c r="H3" s="4724"/>
      <c r="I3" s="4724"/>
      <c r="J3" s="4724"/>
      <c r="K3" s="4724"/>
      <c r="L3" s="4724"/>
      <c r="M3" s="4724"/>
      <c r="N3" s="4724"/>
      <c r="O3" s="4724"/>
      <c r="P3" s="4724"/>
      <c r="Q3" s="4724"/>
      <c r="R3" s="4724"/>
      <c r="S3" s="4725"/>
      <c r="T3" s="724"/>
      <c r="U3" s="473"/>
    </row>
    <row r="4" spans="1:28" s="722" customFormat="1" ht="18" customHeight="1" x14ac:dyDescent="0.3">
      <c r="A4" s="723">
        <v>3</v>
      </c>
      <c r="B4" s="723" t="s">
        <v>4</v>
      </c>
      <c r="C4" s="723"/>
      <c r="D4" s="4723" t="s">
        <v>300</v>
      </c>
      <c r="E4" s="4724"/>
      <c r="F4" s="4724"/>
      <c r="G4" s="4724"/>
      <c r="H4" s="4724"/>
      <c r="I4" s="4724"/>
      <c r="J4" s="4724"/>
      <c r="K4" s="4724"/>
      <c r="L4" s="4724"/>
      <c r="M4" s="4724"/>
      <c r="N4" s="4724"/>
      <c r="O4" s="4724"/>
      <c r="P4" s="4724"/>
      <c r="Q4" s="4724"/>
      <c r="R4" s="4724"/>
      <c r="S4" s="4725"/>
      <c r="T4" s="724"/>
      <c r="U4" s="726"/>
    </row>
    <row r="5" spans="1:28" s="4" customFormat="1" ht="13.5" customHeight="1" x14ac:dyDescent="0.35">
      <c r="A5" s="86"/>
      <c r="B5" s="87"/>
      <c r="C5" s="86"/>
      <c r="D5" s="727"/>
      <c r="E5" s="727"/>
      <c r="F5" s="727"/>
      <c r="G5" s="727"/>
      <c r="H5" s="727"/>
      <c r="I5" s="727"/>
      <c r="J5" s="727"/>
      <c r="K5" s="727"/>
      <c r="L5" s="727"/>
      <c r="M5" s="727"/>
      <c r="N5" s="727"/>
      <c r="O5" s="727"/>
      <c r="P5" s="727"/>
      <c r="Q5" s="4726"/>
      <c r="R5" s="4726"/>
      <c r="S5" s="4726"/>
      <c r="T5" s="4726"/>
      <c r="U5" s="4726"/>
      <c r="V5" s="4726"/>
      <c r="W5" s="4726"/>
      <c r="X5" s="4726"/>
      <c r="Y5" s="4726"/>
      <c r="Z5" s="4726"/>
      <c r="AA5" s="4726"/>
      <c r="AB5" s="4726"/>
    </row>
    <row r="6" spans="1:28" x14ac:dyDescent="0.35">
      <c r="A6" s="723">
        <v>4</v>
      </c>
      <c r="B6" s="723" t="s">
        <v>6</v>
      </c>
      <c r="C6" s="728"/>
      <c r="D6" s="729" t="s">
        <v>7</v>
      </c>
      <c r="E6" s="729" t="s">
        <v>301</v>
      </c>
      <c r="F6" s="692"/>
      <c r="G6" s="692"/>
      <c r="H6" s="730"/>
      <c r="I6" s="730"/>
      <c r="J6" s="730"/>
      <c r="K6" s="730"/>
      <c r="L6" s="730"/>
      <c r="M6" s="730"/>
      <c r="N6" s="730"/>
      <c r="O6" s="730"/>
      <c r="P6" s="731"/>
      <c r="Q6" s="732"/>
      <c r="R6" s="732"/>
      <c r="S6" s="727"/>
      <c r="T6" s="727"/>
      <c r="U6" s="727"/>
      <c r="V6" s="727"/>
    </row>
    <row r="7" spans="1:28" x14ac:dyDescent="0.35">
      <c r="A7" s="723"/>
      <c r="B7" s="723"/>
      <c r="C7" s="728"/>
      <c r="D7" s="733"/>
      <c r="E7" s="734" t="s">
        <v>113</v>
      </c>
      <c r="F7" s="734" t="s">
        <v>114</v>
      </c>
      <c r="G7" s="735" t="s">
        <v>115</v>
      </c>
      <c r="H7" s="735" t="s">
        <v>116</v>
      </c>
      <c r="I7" s="735" t="s">
        <v>117</v>
      </c>
      <c r="J7" s="735" t="s">
        <v>118</v>
      </c>
      <c r="K7" s="735" t="s">
        <v>119</v>
      </c>
      <c r="L7" s="735" t="s">
        <v>120</v>
      </c>
      <c r="M7" s="735" t="s">
        <v>121</v>
      </c>
      <c r="N7" s="735" t="s">
        <v>122</v>
      </c>
      <c r="O7" s="735" t="s">
        <v>123</v>
      </c>
      <c r="P7" s="735" t="s">
        <v>124</v>
      </c>
      <c r="Q7" s="735" t="s">
        <v>125</v>
      </c>
      <c r="R7" s="735" t="s">
        <v>126</v>
      </c>
      <c r="S7" s="736" t="s">
        <v>302</v>
      </c>
      <c r="T7" s="727"/>
      <c r="U7" s="727"/>
      <c r="V7" s="727"/>
    </row>
    <row r="8" spans="1:28" x14ac:dyDescent="0.35">
      <c r="A8" s="723"/>
      <c r="B8" s="723"/>
      <c r="C8" s="728"/>
      <c r="D8" s="737" t="s">
        <v>50</v>
      </c>
      <c r="E8" s="738">
        <v>26</v>
      </c>
      <c r="F8" s="738">
        <v>19</v>
      </c>
      <c r="G8" s="738">
        <v>21</v>
      </c>
      <c r="H8" s="738">
        <v>21</v>
      </c>
      <c r="I8" s="738">
        <v>24</v>
      </c>
      <c r="J8" s="738">
        <v>26</v>
      </c>
      <c r="K8" s="738">
        <v>21</v>
      </c>
      <c r="L8" s="739">
        <v>25</v>
      </c>
      <c r="M8" s="739">
        <v>24</v>
      </c>
      <c r="N8" s="739">
        <v>20</v>
      </c>
      <c r="O8" s="738">
        <v>18</v>
      </c>
      <c r="P8" s="738">
        <v>25</v>
      </c>
      <c r="Q8" s="738">
        <v>23</v>
      </c>
      <c r="R8" s="738">
        <v>25</v>
      </c>
      <c r="S8" s="740">
        <v>27</v>
      </c>
      <c r="T8" s="727"/>
      <c r="U8" s="727"/>
      <c r="V8" s="727"/>
    </row>
    <row r="9" spans="1:28" x14ac:dyDescent="0.35">
      <c r="A9" s="723"/>
      <c r="B9" s="723"/>
      <c r="C9" s="728"/>
      <c r="D9" s="737" t="s">
        <v>42</v>
      </c>
      <c r="E9" s="738">
        <v>27</v>
      </c>
      <c r="F9" s="738">
        <v>27</v>
      </c>
      <c r="G9" s="738">
        <v>26</v>
      </c>
      <c r="H9" s="738">
        <v>28</v>
      </c>
      <c r="I9" s="738">
        <v>30</v>
      </c>
      <c r="J9" s="738">
        <v>30</v>
      </c>
      <c r="K9" s="738">
        <v>31</v>
      </c>
      <c r="L9" s="739">
        <v>33</v>
      </c>
      <c r="M9" s="739">
        <v>34</v>
      </c>
      <c r="N9" s="739">
        <v>33</v>
      </c>
      <c r="O9" s="738">
        <v>35</v>
      </c>
      <c r="P9" s="738">
        <v>33</v>
      </c>
      <c r="Q9" s="738">
        <v>33</v>
      </c>
      <c r="R9" s="738">
        <v>33</v>
      </c>
      <c r="S9" s="740">
        <v>33</v>
      </c>
      <c r="T9" s="727"/>
      <c r="U9" s="727"/>
      <c r="V9" s="727"/>
    </row>
    <row r="10" spans="1:28" x14ac:dyDescent="0.35">
      <c r="A10" s="723"/>
      <c r="B10" s="723"/>
      <c r="C10" s="728"/>
      <c r="D10" s="737" t="s">
        <v>303</v>
      </c>
      <c r="E10" s="738">
        <v>25</v>
      </c>
      <c r="F10" s="738">
        <v>26</v>
      </c>
      <c r="G10" s="738">
        <v>27</v>
      </c>
      <c r="H10" s="738">
        <v>32</v>
      </c>
      <c r="I10" s="738">
        <v>35</v>
      </c>
      <c r="J10" s="738">
        <v>33</v>
      </c>
      <c r="K10" s="738">
        <v>33</v>
      </c>
      <c r="L10" s="739">
        <v>34</v>
      </c>
      <c r="M10" s="739">
        <v>32</v>
      </c>
      <c r="N10" s="739">
        <v>29</v>
      </c>
      <c r="O10" s="738">
        <v>30</v>
      </c>
      <c r="P10" s="738">
        <v>29</v>
      </c>
      <c r="Q10" s="738">
        <v>30</v>
      </c>
      <c r="R10" s="738">
        <v>32</v>
      </c>
      <c r="S10" s="740">
        <v>31</v>
      </c>
      <c r="T10" s="727"/>
      <c r="U10" s="727"/>
      <c r="V10" s="727"/>
    </row>
    <row r="11" spans="1:28" x14ac:dyDescent="0.35">
      <c r="A11" s="723"/>
      <c r="B11" s="723"/>
      <c r="C11" s="728"/>
      <c r="D11" s="737" t="s">
        <v>304</v>
      </c>
      <c r="E11" s="738">
        <v>40</v>
      </c>
      <c r="F11" s="738">
        <v>39</v>
      </c>
      <c r="G11" s="738">
        <v>38</v>
      </c>
      <c r="H11" s="738">
        <v>44</v>
      </c>
      <c r="I11" s="738">
        <v>53</v>
      </c>
      <c r="J11" s="738">
        <v>47</v>
      </c>
      <c r="K11" s="738">
        <v>44</v>
      </c>
      <c r="L11" s="739">
        <v>45</v>
      </c>
      <c r="M11" s="739">
        <v>48</v>
      </c>
      <c r="N11" s="739">
        <v>41</v>
      </c>
      <c r="O11" s="738">
        <v>36</v>
      </c>
      <c r="P11" s="738">
        <v>41</v>
      </c>
      <c r="Q11" s="738">
        <v>35</v>
      </c>
      <c r="R11" s="738">
        <v>40</v>
      </c>
      <c r="S11" s="740">
        <v>39</v>
      </c>
      <c r="T11" s="727"/>
      <c r="U11" s="727"/>
      <c r="V11" s="727"/>
    </row>
    <row r="12" spans="1:28" x14ac:dyDescent="0.35">
      <c r="A12" s="723"/>
      <c r="B12" s="723"/>
      <c r="C12" s="728"/>
      <c r="D12" s="737" t="s">
        <v>305</v>
      </c>
      <c r="E12" s="738">
        <v>37</v>
      </c>
      <c r="F12" s="738">
        <v>37</v>
      </c>
      <c r="G12" s="738">
        <v>41</v>
      </c>
      <c r="H12" s="738">
        <v>46</v>
      </c>
      <c r="I12" s="738">
        <v>47</v>
      </c>
      <c r="J12" s="738">
        <v>60</v>
      </c>
      <c r="K12" s="738">
        <v>69</v>
      </c>
      <c r="L12" s="739">
        <v>71</v>
      </c>
      <c r="M12" s="739">
        <v>78</v>
      </c>
      <c r="N12" s="739">
        <v>75</v>
      </c>
      <c r="O12" s="738">
        <v>67</v>
      </c>
      <c r="P12" s="738">
        <v>65</v>
      </c>
      <c r="Q12" s="738">
        <v>59</v>
      </c>
      <c r="R12" s="738">
        <v>41</v>
      </c>
      <c r="S12" s="740">
        <v>42</v>
      </c>
      <c r="T12" s="727"/>
      <c r="U12" s="727"/>
      <c r="V12" s="727"/>
    </row>
    <row r="13" spans="1:28" x14ac:dyDescent="0.35">
      <c r="A13" s="723"/>
      <c r="B13" s="723"/>
      <c r="C13" s="728"/>
      <c r="D13" s="741" t="s">
        <v>306</v>
      </c>
      <c r="E13" s="742">
        <v>42</v>
      </c>
      <c r="F13" s="742">
        <v>36</v>
      </c>
      <c r="G13" s="742">
        <v>44</v>
      </c>
      <c r="H13" s="742">
        <v>45</v>
      </c>
      <c r="I13" s="742">
        <v>45</v>
      </c>
      <c r="J13" s="742">
        <v>54</v>
      </c>
      <c r="K13" s="742">
        <v>50</v>
      </c>
      <c r="L13" s="743">
        <v>52</v>
      </c>
      <c r="M13" s="743">
        <v>53</v>
      </c>
      <c r="N13" s="743">
        <v>56</v>
      </c>
      <c r="O13" s="744">
        <v>49</v>
      </c>
      <c r="P13" s="744">
        <v>47</v>
      </c>
      <c r="Q13" s="744">
        <v>61</v>
      </c>
      <c r="R13" s="744">
        <v>67</v>
      </c>
      <c r="S13" s="745">
        <v>60</v>
      </c>
      <c r="T13" s="727"/>
      <c r="U13" s="727"/>
      <c r="V13" s="727"/>
    </row>
    <row r="14" spans="1:28" x14ac:dyDescent="0.35">
      <c r="A14" s="723"/>
      <c r="B14" s="723"/>
      <c r="C14" s="728"/>
      <c r="D14" s="737" t="s">
        <v>307</v>
      </c>
      <c r="E14" s="738">
        <v>36</v>
      </c>
      <c r="F14" s="738">
        <v>44</v>
      </c>
      <c r="G14" s="738">
        <v>45</v>
      </c>
      <c r="H14" s="738">
        <v>54</v>
      </c>
      <c r="I14" s="738">
        <v>68</v>
      </c>
      <c r="J14" s="738">
        <v>70</v>
      </c>
      <c r="K14" s="738">
        <v>64</v>
      </c>
      <c r="L14" s="739">
        <v>55</v>
      </c>
      <c r="M14" s="739">
        <v>52</v>
      </c>
      <c r="N14" s="739">
        <v>42</v>
      </c>
      <c r="O14" s="738">
        <v>44</v>
      </c>
      <c r="P14" s="738">
        <v>49</v>
      </c>
      <c r="Q14" s="738">
        <v>54</v>
      </c>
      <c r="R14" s="738">
        <v>42</v>
      </c>
      <c r="S14" s="740">
        <v>41</v>
      </c>
      <c r="T14" s="727"/>
      <c r="U14" s="727"/>
      <c r="V14" s="727"/>
    </row>
    <row r="15" spans="1:28" x14ac:dyDescent="0.35">
      <c r="A15" s="723"/>
      <c r="B15" s="723"/>
      <c r="C15" s="728"/>
      <c r="D15" s="737" t="s">
        <v>308</v>
      </c>
      <c r="E15" s="738">
        <v>41</v>
      </c>
      <c r="F15" s="738">
        <v>38</v>
      </c>
      <c r="G15" s="738">
        <v>47</v>
      </c>
      <c r="H15" s="738">
        <v>62</v>
      </c>
      <c r="I15" s="738">
        <v>58</v>
      </c>
      <c r="J15" s="738">
        <v>52</v>
      </c>
      <c r="K15" s="738">
        <v>48</v>
      </c>
      <c r="L15" s="739">
        <v>60</v>
      </c>
      <c r="M15" s="739">
        <v>63</v>
      </c>
      <c r="N15" s="739">
        <v>60</v>
      </c>
      <c r="O15" s="738">
        <v>63</v>
      </c>
      <c r="P15" s="738">
        <v>69</v>
      </c>
      <c r="Q15" s="738">
        <v>60</v>
      </c>
      <c r="R15" s="738">
        <v>48</v>
      </c>
      <c r="S15" s="740">
        <v>47</v>
      </c>
      <c r="T15" s="727"/>
      <c r="U15" s="727"/>
      <c r="V15" s="727"/>
    </row>
    <row r="16" spans="1:28" x14ac:dyDescent="0.35">
      <c r="A16" s="723"/>
      <c r="B16" s="723"/>
      <c r="C16" s="728"/>
      <c r="D16" s="746" t="s">
        <v>52</v>
      </c>
      <c r="E16" s="738">
        <v>48</v>
      </c>
      <c r="F16" s="738">
        <v>45</v>
      </c>
      <c r="G16" s="738">
        <v>51</v>
      </c>
      <c r="H16" s="738">
        <v>53</v>
      </c>
      <c r="I16" s="738">
        <v>46</v>
      </c>
      <c r="J16" s="738">
        <v>39</v>
      </c>
      <c r="K16" s="738">
        <v>41</v>
      </c>
      <c r="L16" s="739">
        <v>41</v>
      </c>
      <c r="M16" s="739">
        <v>42</v>
      </c>
      <c r="N16" s="739">
        <v>43</v>
      </c>
      <c r="O16" s="738">
        <v>41</v>
      </c>
      <c r="P16" s="738">
        <v>36</v>
      </c>
      <c r="Q16" s="738">
        <v>39</v>
      </c>
      <c r="R16" s="738">
        <v>37</v>
      </c>
      <c r="S16" s="740">
        <v>37</v>
      </c>
      <c r="T16" s="727"/>
      <c r="U16" s="727"/>
      <c r="V16" s="727"/>
      <c r="W16" s="727"/>
    </row>
    <row r="17" spans="1:25" x14ac:dyDescent="0.35">
      <c r="A17" s="723"/>
      <c r="B17" s="723"/>
      <c r="C17" s="728"/>
      <c r="D17" s="737" t="s">
        <v>51</v>
      </c>
      <c r="E17" s="738">
        <v>58</v>
      </c>
      <c r="F17" s="738">
        <v>52</v>
      </c>
      <c r="G17" s="738">
        <v>52</v>
      </c>
      <c r="H17" s="738">
        <v>60</v>
      </c>
      <c r="I17" s="738">
        <v>60</v>
      </c>
      <c r="J17" s="738">
        <v>66</v>
      </c>
      <c r="K17" s="738">
        <v>58</v>
      </c>
      <c r="L17" s="739">
        <v>53</v>
      </c>
      <c r="M17" s="739">
        <v>55</v>
      </c>
      <c r="N17" s="739">
        <v>61</v>
      </c>
      <c r="O17" s="738">
        <v>57</v>
      </c>
      <c r="P17" s="738">
        <v>51</v>
      </c>
      <c r="Q17" s="738">
        <v>51</v>
      </c>
      <c r="R17" s="738">
        <v>46</v>
      </c>
      <c r="S17" s="740">
        <v>48</v>
      </c>
      <c r="T17" s="727"/>
      <c r="U17" s="727"/>
      <c r="V17" s="727"/>
      <c r="W17" s="727"/>
    </row>
    <row r="18" spans="1:25" x14ac:dyDescent="0.35">
      <c r="A18" s="723"/>
      <c r="B18" s="723"/>
      <c r="C18" s="728"/>
      <c r="D18" s="737" t="s">
        <v>309</v>
      </c>
      <c r="E18" s="738">
        <v>55</v>
      </c>
      <c r="F18" s="738">
        <v>55</v>
      </c>
      <c r="G18" s="738">
        <v>60</v>
      </c>
      <c r="H18" s="738">
        <v>57</v>
      </c>
      <c r="I18" s="738">
        <v>57</v>
      </c>
      <c r="J18" s="738">
        <v>55</v>
      </c>
      <c r="K18" s="738">
        <v>54</v>
      </c>
      <c r="L18" s="739">
        <v>54</v>
      </c>
      <c r="M18" s="739">
        <v>45</v>
      </c>
      <c r="N18" s="739">
        <v>39</v>
      </c>
      <c r="O18" s="738">
        <v>46</v>
      </c>
      <c r="P18" s="738">
        <v>45</v>
      </c>
      <c r="Q18" s="738">
        <v>45</v>
      </c>
      <c r="R18" s="738">
        <v>49</v>
      </c>
      <c r="S18" s="740">
        <v>52</v>
      </c>
      <c r="T18" s="727"/>
      <c r="U18" s="727"/>
      <c r="V18" s="727"/>
      <c r="W18" s="727"/>
    </row>
    <row r="19" spans="1:25" x14ac:dyDescent="0.35">
      <c r="A19" s="723"/>
      <c r="B19" s="723"/>
      <c r="C19" s="728"/>
      <c r="D19" s="737" t="s">
        <v>40</v>
      </c>
      <c r="E19" s="738">
        <v>66</v>
      </c>
      <c r="F19" s="738">
        <v>66</v>
      </c>
      <c r="G19" s="738">
        <v>72</v>
      </c>
      <c r="H19" s="738">
        <v>64</v>
      </c>
      <c r="I19" s="738">
        <v>56</v>
      </c>
      <c r="J19" s="738">
        <v>58</v>
      </c>
      <c r="K19" s="738">
        <v>53</v>
      </c>
      <c r="L19" s="739">
        <v>48</v>
      </c>
      <c r="M19" s="739">
        <v>56</v>
      </c>
      <c r="N19" s="739">
        <v>57</v>
      </c>
      <c r="O19" s="738">
        <v>75</v>
      </c>
      <c r="P19" s="738">
        <v>81</v>
      </c>
      <c r="Q19" s="738">
        <v>80</v>
      </c>
      <c r="R19" s="738">
        <v>72</v>
      </c>
      <c r="S19" s="740">
        <v>71</v>
      </c>
      <c r="T19" s="727"/>
      <c r="U19" s="727"/>
      <c r="V19" s="727"/>
      <c r="W19" s="727"/>
    </row>
    <row r="20" spans="1:25" x14ac:dyDescent="0.35">
      <c r="A20" s="723"/>
      <c r="B20" s="723"/>
      <c r="C20" s="728"/>
      <c r="D20" s="737" t="s">
        <v>310</v>
      </c>
      <c r="E20" s="738">
        <v>68</v>
      </c>
      <c r="F20" s="738">
        <v>73</v>
      </c>
      <c r="G20" s="738">
        <v>74</v>
      </c>
      <c r="H20" s="738">
        <v>68</v>
      </c>
      <c r="I20" s="738">
        <v>64</v>
      </c>
      <c r="J20" s="738">
        <v>67</v>
      </c>
      <c r="K20" s="738">
        <v>77</v>
      </c>
      <c r="L20" s="739">
        <v>78</v>
      </c>
      <c r="M20" s="739">
        <v>76</v>
      </c>
      <c r="N20" s="739">
        <v>59</v>
      </c>
      <c r="O20" s="738">
        <v>53</v>
      </c>
      <c r="P20" s="738">
        <v>62</v>
      </c>
      <c r="Q20" s="738">
        <v>68</v>
      </c>
      <c r="R20" s="738">
        <v>52</v>
      </c>
      <c r="S20" s="740">
        <v>51</v>
      </c>
      <c r="T20" s="727"/>
      <c r="U20" s="727"/>
      <c r="V20" s="727"/>
      <c r="W20" s="727"/>
    </row>
    <row r="21" spans="1:25" x14ac:dyDescent="0.35">
      <c r="A21" s="723"/>
      <c r="B21" s="723"/>
      <c r="C21" s="728"/>
      <c r="D21" s="747" t="s">
        <v>39</v>
      </c>
      <c r="E21" s="748">
        <v>81</v>
      </c>
      <c r="F21" s="748">
        <v>57</v>
      </c>
      <c r="G21" s="748">
        <v>76</v>
      </c>
      <c r="H21" s="748">
        <v>56</v>
      </c>
      <c r="I21" s="748">
        <v>66</v>
      </c>
      <c r="J21" s="748">
        <v>76</v>
      </c>
      <c r="K21" s="748">
        <v>80</v>
      </c>
      <c r="L21" s="739">
        <v>79</v>
      </c>
      <c r="M21" s="739">
        <v>74</v>
      </c>
      <c r="N21" s="739">
        <v>74</v>
      </c>
      <c r="O21" s="748">
        <v>71</v>
      </c>
      <c r="P21" s="748">
        <v>64</v>
      </c>
      <c r="Q21" s="738">
        <v>63</v>
      </c>
      <c r="R21" s="738">
        <v>90</v>
      </c>
      <c r="S21" s="740">
        <v>91</v>
      </c>
      <c r="T21" s="727"/>
      <c r="U21" s="727"/>
      <c r="V21" s="727"/>
      <c r="W21" s="727"/>
    </row>
    <row r="22" spans="1:25" x14ac:dyDescent="0.35">
      <c r="A22" s="723"/>
      <c r="B22" s="723"/>
      <c r="C22" s="728"/>
      <c r="D22" s="749" t="s">
        <v>311</v>
      </c>
      <c r="E22" s="750">
        <v>117</v>
      </c>
      <c r="F22" s="750">
        <v>125</v>
      </c>
      <c r="G22" s="750">
        <v>131</v>
      </c>
      <c r="H22" s="750">
        <v>134</v>
      </c>
      <c r="I22" s="750">
        <v>133</v>
      </c>
      <c r="J22" s="750">
        <v>139</v>
      </c>
      <c r="K22" s="750">
        <v>142</v>
      </c>
      <c r="L22" s="750">
        <v>144</v>
      </c>
      <c r="M22" s="750">
        <v>148</v>
      </c>
      <c r="N22" s="750">
        <v>144</v>
      </c>
      <c r="O22" s="750">
        <v>138</v>
      </c>
      <c r="P22" s="750">
        <v>140</v>
      </c>
      <c r="Q22" s="750">
        <v>137</v>
      </c>
      <c r="R22" s="750">
        <v>140</v>
      </c>
      <c r="S22" s="751">
        <v>141</v>
      </c>
      <c r="T22" s="727"/>
      <c r="U22" s="727"/>
      <c r="V22" s="727"/>
      <c r="W22" s="727"/>
    </row>
    <row r="23" spans="1:25" x14ac:dyDescent="0.35">
      <c r="A23" s="723"/>
      <c r="B23" s="723"/>
      <c r="C23" s="728"/>
      <c r="D23" s="752"/>
      <c r="E23" s="731"/>
      <c r="F23" s="731"/>
      <c r="G23" s="731"/>
      <c r="H23" s="730"/>
      <c r="I23" s="730"/>
      <c r="J23" s="730"/>
      <c r="K23" s="730"/>
      <c r="L23" s="730"/>
      <c r="M23" s="730"/>
      <c r="N23" s="730"/>
      <c r="O23" s="730"/>
      <c r="P23" s="730"/>
      <c r="Q23" s="727"/>
      <c r="R23" s="727"/>
      <c r="S23" s="727"/>
      <c r="T23" s="727"/>
      <c r="U23" s="727"/>
      <c r="V23" s="727"/>
      <c r="W23" s="727"/>
    </row>
    <row r="24" spans="1:25" x14ac:dyDescent="0.35">
      <c r="A24" s="723"/>
      <c r="B24" s="723"/>
      <c r="C24" s="753"/>
      <c r="D24" s="754" t="s">
        <v>35</v>
      </c>
      <c r="E24" s="729" t="s">
        <v>312</v>
      </c>
      <c r="F24" s="755"/>
      <c r="G24" s="755"/>
      <c r="H24" s="738"/>
      <c r="I24" s="738"/>
      <c r="J24" s="738"/>
      <c r="K24" s="738"/>
      <c r="L24" s="738"/>
      <c r="M24" s="738"/>
      <c r="N24" s="738"/>
      <c r="O24" s="738"/>
      <c r="P24" s="738"/>
      <c r="Q24" s="756"/>
      <c r="R24" s="756"/>
      <c r="S24" s="756"/>
      <c r="T24" s="756"/>
      <c r="U24" s="756"/>
      <c r="V24" s="756"/>
      <c r="W24" s="727"/>
    </row>
    <row r="25" spans="1:25" x14ac:dyDescent="0.35">
      <c r="A25" s="723"/>
      <c r="B25" s="723"/>
      <c r="C25" s="753"/>
      <c r="D25" s="733"/>
      <c r="E25" s="757">
        <v>2005</v>
      </c>
      <c r="F25" s="757">
        <v>2006</v>
      </c>
      <c r="G25" s="757">
        <v>2007</v>
      </c>
      <c r="H25" s="757">
        <v>2008</v>
      </c>
      <c r="I25" s="757">
        <v>2009</v>
      </c>
      <c r="J25" s="757">
        <v>2010</v>
      </c>
      <c r="K25" s="757">
        <v>2011</v>
      </c>
      <c r="L25" s="757">
        <v>2012</v>
      </c>
      <c r="M25" s="757">
        <v>2013</v>
      </c>
      <c r="N25" s="757">
        <v>2014</v>
      </c>
      <c r="O25" s="757">
        <v>2015</v>
      </c>
      <c r="P25" s="757">
        <v>2016</v>
      </c>
      <c r="Q25" s="757">
        <v>2017</v>
      </c>
      <c r="R25" s="757">
        <v>2018</v>
      </c>
      <c r="S25" s="757">
        <v>2019</v>
      </c>
      <c r="T25" s="758"/>
      <c r="U25" s="759"/>
      <c r="V25" s="759"/>
      <c r="W25" s="759"/>
      <c r="X25" s="759"/>
      <c r="Y25" s="759"/>
    </row>
    <row r="26" spans="1:25" x14ac:dyDescent="0.35">
      <c r="A26" s="723"/>
      <c r="B26" s="723"/>
      <c r="C26" s="753"/>
      <c r="D26" s="760" t="s">
        <v>313</v>
      </c>
      <c r="E26" s="761"/>
      <c r="F26" s="761"/>
      <c r="G26" s="761"/>
      <c r="H26" s="761"/>
      <c r="I26" s="761"/>
      <c r="J26" s="761"/>
      <c r="K26" s="761"/>
      <c r="L26" s="761"/>
      <c r="M26" s="761"/>
      <c r="N26" s="761"/>
      <c r="O26" s="761"/>
      <c r="P26" s="761"/>
      <c r="Q26" s="761"/>
      <c r="R26" s="761"/>
      <c r="S26" s="761"/>
      <c r="T26" s="762"/>
      <c r="U26" s="759"/>
      <c r="V26" s="759"/>
      <c r="W26" s="759"/>
      <c r="X26" s="759"/>
      <c r="Y26" s="759"/>
    </row>
    <row r="27" spans="1:25" x14ac:dyDescent="0.35">
      <c r="A27" s="763"/>
      <c r="B27" s="763"/>
      <c r="C27" s="753"/>
      <c r="D27" s="737" t="s">
        <v>50</v>
      </c>
      <c r="E27" s="739" t="s">
        <v>314</v>
      </c>
      <c r="F27" s="764">
        <v>22</v>
      </c>
      <c r="G27" s="764">
        <v>23</v>
      </c>
      <c r="H27" s="764">
        <v>19</v>
      </c>
      <c r="I27" s="764">
        <v>18</v>
      </c>
      <c r="J27" s="764">
        <v>10</v>
      </c>
      <c r="K27" s="764">
        <v>16</v>
      </c>
      <c r="L27" s="764">
        <v>14</v>
      </c>
      <c r="M27" s="764">
        <v>15</v>
      </c>
      <c r="N27" s="764">
        <v>12</v>
      </c>
      <c r="O27" s="764">
        <v>14</v>
      </c>
      <c r="P27" s="764">
        <v>19</v>
      </c>
      <c r="Q27" s="764">
        <v>24</v>
      </c>
      <c r="R27" s="764">
        <v>22</v>
      </c>
      <c r="S27" s="764">
        <v>22</v>
      </c>
      <c r="T27" s="765"/>
      <c r="U27" s="766"/>
      <c r="V27" s="767"/>
      <c r="W27" s="767"/>
      <c r="X27" s="767"/>
      <c r="Y27" s="767"/>
    </row>
    <row r="28" spans="1:25" x14ac:dyDescent="0.35">
      <c r="A28" s="763"/>
      <c r="B28" s="763"/>
      <c r="C28" s="768"/>
      <c r="D28" s="737" t="s">
        <v>42</v>
      </c>
      <c r="E28" s="739" t="s">
        <v>314</v>
      </c>
      <c r="F28" s="692">
        <v>23</v>
      </c>
      <c r="G28" s="692">
        <v>26</v>
      </c>
      <c r="H28" s="692">
        <v>26</v>
      </c>
      <c r="I28" s="692">
        <v>25</v>
      </c>
      <c r="J28" s="692">
        <v>28</v>
      </c>
      <c r="K28" s="692">
        <v>25</v>
      </c>
      <c r="L28" s="692">
        <v>28</v>
      </c>
      <c r="M28" s="692">
        <v>30</v>
      </c>
      <c r="N28" s="692">
        <v>31</v>
      </c>
      <c r="O28" s="692">
        <v>35</v>
      </c>
      <c r="P28" s="658">
        <v>36</v>
      </c>
      <c r="Q28" s="658">
        <v>35</v>
      </c>
      <c r="R28" s="658">
        <v>35</v>
      </c>
      <c r="S28" s="658">
        <v>42</v>
      </c>
      <c r="T28" s="769"/>
      <c r="U28" s="727"/>
      <c r="V28" s="727"/>
      <c r="W28" s="727"/>
      <c r="X28" s="727"/>
      <c r="Y28" s="727"/>
    </row>
    <row r="29" spans="1:25" x14ac:dyDescent="0.35">
      <c r="A29" s="763"/>
      <c r="B29" s="763"/>
      <c r="C29" s="770"/>
      <c r="D29" s="737" t="s">
        <v>303</v>
      </c>
      <c r="E29" s="739" t="s">
        <v>314</v>
      </c>
      <c r="F29" s="739">
        <v>19</v>
      </c>
      <c r="G29" s="739">
        <v>22</v>
      </c>
      <c r="H29" s="739">
        <v>23</v>
      </c>
      <c r="I29" s="692">
        <v>35</v>
      </c>
      <c r="J29" s="692">
        <v>34</v>
      </c>
      <c r="K29" s="692">
        <v>33</v>
      </c>
      <c r="L29" s="692">
        <v>31</v>
      </c>
      <c r="M29" s="692">
        <v>36</v>
      </c>
      <c r="N29" s="692">
        <v>30</v>
      </c>
      <c r="O29" s="692">
        <v>31</v>
      </c>
      <c r="P29" s="658">
        <v>31</v>
      </c>
      <c r="Q29" s="658">
        <v>30</v>
      </c>
      <c r="R29" s="658">
        <v>31</v>
      </c>
      <c r="S29" s="658">
        <v>35</v>
      </c>
      <c r="T29" s="769"/>
      <c r="U29" s="727"/>
      <c r="V29" s="727"/>
      <c r="W29" s="727"/>
      <c r="X29" s="727"/>
      <c r="Y29" s="727"/>
    </row>
    <row r="30" spans="1:25" x14ac:dyDescent="0.35">
      <c r="A30" s="763"/>
      <c r="B30" s="763"/>
      <c r="C30" s="768"/>
      <c r="D30" s="737" t="s">
        <v>304</v>
      </c>
      <c r="E30" s="739" t="s">
        <v>314</v>
      </c>
      <c r="F30" s="739" t="s">
        <v>314</v>
      </c>
      <c r="G30" s="739">
        <v>31</v>
      </c>
      <c r="H30" s="739">
        <v>36</v>
      </c>
      <c r="I30" s="692">
        <v>31</v>
      </c>
      <c r="J30" s="692">
        <v>43</v>
      </c>
      <c r="K30" s="692">
        <v>45</v>
      </c>
      <c r="L30" s="692">
        <v>36</v>
      </c>
      <c r="M30" s="692">
        <v>31</v>
      </c>
      <c r="N30" s="692">
        <v>34</v>
      </c>
      <c r="O30" s="692">
        <v>28</v>
      </c>
      <c r="P30" s="658">
        <v>30</v>
      </c>
      <c r="Q30" s="658">
        <v>33</v>
      </c>
      <c r="R30" s="658">
        <v>32</v>
      </c>
      <c r="S30" s="658">
        <v>29</v>
      </c>
      <c r="T30" s="769"/>
      <c r="U30" s="727"/>
      <c r="V30" s="727"/>
      <c r="W30" s="727"/>
      <c r="X30" s="727"/>
      <c r="Y30" s="727"/>
    </row>
    <row r="31" spans="1:25" x14ac:dyDescent="0.35">
      <c r="A31" s="763"/>
      <c r="B31" s="763"/>
      <c r="C31" s="770"/>
      <c r="D31" s="737" t="s">
        <v>315</v>
      </c>
      <c r="E31" s="739" t="s">
        <v>314</v>
      </c>
      <c r="F31" s="658">
        <v>33</v>
      </c>
      <c r="G31" s="658">
        <v>34</v>
      </c>
      <c r="H31" s="658">
        <v>30</v>
      </c>
      <c r="I31" s="658">
        <v>33</v>
      </c>
      <c r="J31" s="658">
        <v>49</v>
      </c>
      <c r="K31" s="658">
        <v>48</v>
      </c>
      <c r="L31" s="658">
        <v>47</v>
      </c>
      <c r="M31" s="658">
        <v>47</v>
      </c>
      <c r="N31" s="658">
        <v>45</v>
      </c>
      <c r="O31" s="658">
        <v>46</v>
      </c>
      <c r="P31" s="658">
        <v>40</v>
      </c>
      <c r="Q31" s="658">
        <v>51</v>
      </c>
      <c r="R31" s="658">
        <v>55</v>
      </c>
      <c r="S31" s="658">
        <v>53</v>
      </c>
      <c r="T31" s="769"/>
      <c r="U31" s="727"/>
      <c r="V31" s="727"/>
      <c r="W31" s="727"/>
      <c r="X31" s="727"/>
      <c r="Y31" s="727"/>
    </row>
    <row r="32" spans="1:25" x14ac:dyDescent="0.35">
      <c r="A32" s="723"/>
      <c r="B32" s="723"/>
      <c r="C32" s="768"/>
      <c r="D32" s="771" t="s">
        <v>316</v>
      </c>
      <c r="E32" s="772">
        <v>37</v>
      </c>
      <c r="F32" s="772">
        <v>38</v>
      </c>
      <c r="G32" s="772">
        <v>50</v>
      </c>
      <c r="H32" s="772">
        <v>53</v>
      </c>
      <c r="I32" s="772">
        <v>48</v>
      </c>
      <c r="J32" s="772">
        <v>44</v>
      </c>
      <c r="K32" s="772">
        <v>52</v>
      </c>
      <c r="L32" s="772">
        <v>50</v>
      </c>
      <c r="M32" s="772">
        <v>53</v>
      </c>
      <c r="N32" s="772">
        <v>52</v>
      </c>
      <c r="O32" s="772">
        <v>53</v>
      </c>
      <c r="P32" s="773">
        <v>52</v>
      </c>
      <c r="Q32" s="773">
        <v>53</v>
      </c>
      <c r="R32" s="773">
        <v>53</v>
      </c>
      <c r="S32" s="773">
        <v>56</v>
      </c>
      <c r="T32" s="774"/>
    </row>
    <row r="33" spans="1:28" x14ac:dyDescent="0.35">
      <c r="A33" s="723"/>
      <c r="B33" s="723"/>
      <c r="C33" s="753"/>
      <c r="D33" s="737" t="s">
        <v>308</v>
      </c>
      <c r="E33" s="658">
        <v>31</v>
      </c>
      <c r="F33" s="658">
        <v>35</v>
      </c>
      <c r="G33" s="658">
        <v>35</v>
      </c>
      <c r="H33" s="658">
        <v>38</v>
      </c>
      <c r="I33" s="658">
        <v>45</v>
      </c>
      <c r="J33" s="658">
        <v>42</v>
      </c>
      <c r="K33" s="658">
        <v>47</v>
      </c>
      <c r="L33" s="658">
        <v>45</v>
      </c>
      <c r="M33" s="658">
        <v>50</v>
      </c>
      <c r="N33" s="658">
        <v>48</v>
      </c>
      <c r="O33" s="658">
        <v>48</v>
      </c>
      <c r="P33" s="658">
        <v>46</v>
      </c>
      <c r="Q33" s="658">
        <v>52</v>
      </c>
      <c r="R33" s="658">
        <v>47</v>
      </c>
      <c r="S33" s="658">
        <v>47</v>
      </c>
      <c r="T33" s="769"/>
    </row>
    <row r="34" spans="1:28" x14ac:dyDescent="0.35">
      <c r="A34" s="723"/>
      <c r="B34" s="723"/>
      <c r="C34" s="768"/>
      <c r="D34" s="746" t="s">
        <v>52</v>
      </c>
      <c r="E34" s="658">
        <v>48</v>
      </c>
      <c r="F34" s="658">
        <v>50</v>
      </c>
      <c r="G34" s="658">
        <v>52</v>
      </c>
      <c r="H34" s="658">
        <v>44</v>
      </c>
      <c r="I34" s="658">
        <v>44</v>
      </c>
      <c r="J34" s="658">
        <v>32</v>
      </c>
      <c r="K34" s="658">
        <v>34</v>
      </c>
      <c r="L34" s="658">
        <v>34</v>
      </c>
      <c r="M34" s="658">
        <v>33</v>
      </c>
      <c r="N34" s="658">
        <v>36</v>
      </c>
      <c r="O34" s="658">
        <v>33</v>
      </c>
      <c r="P34" s="658">
        <v>33</v>
      </c>
      <c r="Q34" s="658">
        <v>38</v>
      </c>
      <c r="R34" s="658">
        <v>34</v>
      </c>
      <c r="S34" s="658">
        <v>38</v>
      </c>
      <c r="T34" s="769"/>
    </row>
    <row r="35" spans="1:28" x14ac:dyDescent="0.35">
      <c r="A35" s="723"/>
      <c r="B35" s="723"/>
      <c r="C35" s="770"/>
      <c r="D35" s="737" t="s">
        <v>51</v>
      </c>
      <c r="E35" s="658">
        <v>47</v>
      </c>
      <c r="F35" s="658">
        <v>45</v>
      </c>
      <c r="G35" s="658">
        <v>47</v>
      </c>
      <c r="H35" s="658">
        <v>50</v>
      </c>
      <c r="I35" s="658">
        <v>46</v>
      </c>
      <c r="J35" s="658">
        <v>47</v>
      </c>
      <c r="K35" s="658">
        <v>38</v>
      </c>
      <c r="L35" s="658">
        <v>37</v>
      </c>
      <c r="M35" s="658">
        <v>32</v>
      </c>
      <c r="N35" s="658">
        <v>41</v>
      </c>
      <c r="O35" s="658">
        <v>39</v>
      </c>
      <c r="P35" s="658">
        <v>45</v>
      </c>
      <c r="Q35" s="658">
        <v>48</v>
      </c>
      <c r="R35" s="658">
        <v>51</v>
      </c>
      <c r="S35" s="658">
        <v>50</v>
      </c>
      <c r="T35" s="769"/>
      <c r="AB35" s="526"/>
    </row>
    <row r="36" spans="1:28" x14ac:dyDescent="0.35">
      <c r="A36" s="723"/>
      <c r="B36" s="723"/>
      <c r="C36" s="753"/>
      <c r="D36" s="775" t="s">
        <v>40</v>
      </c>
      <c r="E36" s="776" t="s">
        <v>314</v>
      </c>
      <c r="F36" s="777">
        <v>44</v>
      </c>
      <c r="G36" s="777">
        <v>49</v>
      </c>
      <c r="H36" s="777">
        <v>43</v>
      </c>
      <c r="I36" s="777">
        <v>40</v>
      </c>
      <c r="J36" s="777">
        <v>38</v>
      </c>
      <c r="K36" s="777">
        <v>44</v>
      </c>
      <c r="L36" s="777">
        <v>46</v>
      </c>
      <c r="M36" s="777">
        <v>51</v>
      </c>
      <c r="N36" s="777">
        <v>54</v>
      </c>
      <c r="O36" s="777">
        <v>56</v>
      </c>
      <c r="P36" s="777">
        <v>57</v>
      </c>
      <c r="Q36" s="777">
        <v>61</v>
      </c>
      <c r="R36" s="777">
        <v>60</v>
      </c>
      <c r="S36" s="777">
        <v>59</v>
      </c>
      <c r="T36" s="778"/>
    </row>
    <row r="37" spans="1:28" x14ac:dyDescent="0.35">
      <c r="A37" s="723"/>
      <c r="B37" s="723"/>
      <c r="C37" s="753"/>
      <c r="D37" s="779" t="s">
        <v>317</v>
      </c>
      <c r="E37" s="692"/>
      <c r="F37" s="692"/>
      <c r="G37" s="692"/>
      <c r="H37" s="692"/>
      <c r="I37" s="692"/>
      <c r="J37" s="692"/>
      <c r="K37" s="692"/>
      <c r="L37" s="692"/>
      <c r="M37" s="692"/>
      <c r="N37" s="692"/>
      <c r="O37" s="692"/>
      <c r="P37" s="658"/>
      <c r="Q37" s="658"/>
      <c r="R37" s="658"/>
      <c r="S37" s="658"/>
      <c r="T37" s="769"/>
    </row>
    <row r="38" spans="1:28" x14ac:dyDescent="0.35">
      <c r="A38" s="723"/>
      <c r="B38" s="723"/>
      <c r="C38" s="753"/>
      <c r="D38" s="780" t="s">
        <v>318</v>
      </c>
      <c r="E38" s="764">
        <v>37</v>
      </c>
      <c r="F38" s="764">
        <v>40</v>
      </c>
      <c r="G38" s="764">
        <v>54</v>
      </c>
      <c r="H38" s="764">
        <v>55</v>
      </c>
      <c r="I38" s="764">
        <v>56</v>
      </c>
      <c r="J38" s="764">
        <v>56</v>
      </c>
      <c r="K38" s="764">
        <v>54</v>
      </c>
      <c r="L38" s="764">
        <v>57</v>
      </c>
      <c r="M38" s="764">
        <v>57</v>
      </c>
      <c r="N38" s="764">
        <v>56</v>
      </c>
      <c r="O38" s="764">
        <v>49</v>
      </c>
      <c r="P38" s="764">
        <v>54</v>
      </c>
      <c r="Q38" s="764">
        <v>58</v>
      </c>
      <c r="R38" s="764">
        <v>59</v>
      </c>
      <c r="S38" s="764">
        <v>59</v>
      </c>
      <c r="T38" s="765"/>
    </row>
    <row r="39" spans="1:28" x14ac:dyDescent="0.35">
      <c r="A39" s="723"/>
      <c r="B39" s="723"/>
      <c r="C39" s="753"/>
      <c r="D39" s="650" t="s">
        <v>319</v>
      </c>
      <c r="E39" s="658">
        <v>29</v>
      </c>
      <c r="F39" s="658">
        <v>25</v>
      </c>
      <c r="G39" s="658">
        <v>35</v>
      </c>
      <c r="H39" s="658">
        <v>28</v>
      </c>
      <c r="I39" s="658">
        <v>26</v>
      </c>
      <c r="J39" s="658">
        <v>21</v>
      </c>
      <c r="K39" s="658">
        <v>32</v>
      </c>
      <c r="L39" s="658">
        <v>29</v>
      </c>
      <c r="M39" s="658">
        <v>32</v>
      </c>
      <c r="N39" s="658">
        <v>35</v>
      </c>
      <c r="O39" s="658">
        <v>40</v>
      </c>
      <c r="P39" s="658">
        <v>40</v>
      </c>
      <c r="Q39" s="658">
        <v>50</v>
      </c>
      <c r="R39" s="658">
        <v>49</v>
      </c>
      <c r="S39" s="658">
        <v>50</v>
      </c>
      <c r="T39" s="769"/>
    </row>
    <row r="40" spans="1:28" x14ac:dyDescent="0.35">
      <c r="A40" s="723"/>
      <c r="B40" s="723"/>
      <c r="C40" s="753"/>
      <c r="D40" s="650" t="s">
        <v>320</v>
      </c>
      <c r="E40" s="658">
        <v>35</v>
      </c>
      <c r="F40" s="658">
        <v>32</v>
      </c>
      <c r="G40" s="658">
        <v>32</v>
      </c>
      <c r="H40" s="658">
        <v>38</v>
      </c>
      <c r="I40" s="658">
        <v>30</v>
      </c>
      <c r="J40" s="658">
        <v>31</v>
      </c>
      <c r="K40" s="658">
        <v>40</v>
      </c>
      <c r="L40" s="658">
        <v>37</v>
      </c>
      <c r="M40" s="658">
        <v>43</v>
      </c>
      <c r="N40" s="658">
        <v>51</v>
      </c>
      <c r="O40" s="658">
        <v>52</v>
      </c>
      <c r="P40" s="658">
        <v>47</v>
      </c>
      <c r="Q40" s="658">
        <v>41</v>
      </c>
      <c r="R40" s="658">
        <v>46</v>
      </c>
      <c r="S40" s="658">
        <v>44</v>
      </c>
      <c r="T40" s="769"/>
    </row>
    <row r="41" spans="1:28" x14ac:dyDescent="0.35">
      <c r="A41" s="723"/>
      <c r="B41" s="723"/>
      <c r="C41" s="753"/>
      <c r="D41" s="781" t="s">
        <v>192</v>
      </c>
      <c r="E41" s="782">
        <v>49</v>
      </c>
      <c r="F41" s="782">
        <v>52</v>
      </c>
      <c r="G41" s="782">
        <v>55</v>
      </c>
      <c r="H41" s="782">
        <v>55</v>
      </c>
      <c r="I41" s="782">
        <v>54</v>
      </c>
      <c r="J41" s="782">
        <v>51</v>
      </c>
      <c r="K41" s="782">
        <v>56</v>
      </c>
      <c r="L41" s="782">
        <v>54</v>
      </c>
      <c r="M41" s="782">
        <v>58</v>
      </c>
      <c r="N41" s="782">
        <v>55</v>
      </c>
      <c r="O41" s="782">
        <v>55</v>
      </c>
      <c r="P41" s="782">
        <v>54</v>
      </c>
      <c r="Q41" s="782">
        <v>56</v>
      </c>
      <c r="R41" s="782">
        <v>57</v>
      </c>
      <c r="S41" s="782">
        <v>60</v>
      </c>
      <c r="T41" s="783"/>
    </row>
    <row r="42" spans="1:28" x14ac:dyDescent="0.35">
      <c r="A42" s="723"/>
      <c r="B42" s="723"/>
      <c r="C42" s="753"/>
      <c r="D42" s="749" t="s">
        <v>311</v>
      </c>
      <c r="E42" s="750">
        <v>50</v>
      </c>
      <c r="F42" s="750">
        <v>52</v>
      </c>
      <c r="G42" s="750">
        <v>55</v>
      </c>
      <c r="H42" s="750">
        <v>55</v>
      </c>
      <c r="I42" s="750">
        <v>57</v>
      </c>
      <c r="J42" s="750">
        <v>58</v>
      </c>
      <c r="K42" s="750">
        <v>59</v>
      </c>
      <c r="L42" s="750">
        <v>59</v>
      </c>
      <c r="M42" s="750">
        <v>60</v>
      </c>
      <c r="N42" s="750">
        <v>60</v>
      </c>
      <c r="O42" s="750">
        <v>61</v>
      </c>
      <c r="P42" s="750">
        <v>61</v>
      </c>
      <c r="Q42" s="750">
        <v>63</v>
      </c>
      <c r="R42" s="750">
        <v>63</v>
      </c>
      <c r="S42" s="750">
        <v>63</v>
      </c>
      <c r="T42" s="751"/>
    </row>
    <row r="43" spans="1:28" x14ac:dyDescent="0.35">
      <c r="A43" s="723"/>
      <c r="B43" s="723"/>
      <c r="C43" s="753"/>
      <c r="D43" s="784"/>
      <c r="E43" s="785"/>
      <c r="F43" s="785"/>
      <c r="G43" s="785"/>
      <c r="H43" s="785"/>
      <c r="I43" s="785"/>
      <c r="J43" s="786"/>
      <c r="K43" s="786"/>
      <c r="L43" s="786"/>
      <c r="M43" s="727"/>
      <c r="N43" s="727"/>
      <c r="O43" s="787"/>
    </row>
    <row r="44" spans="1:28" x14ac:dyDescent="0.35">
      <c r="A44" s="723">
        <v>5</v>
      </c>
      <c r="B44" s="723" t="s">
        <v>56</v>
      </c>
      <c r="C44" s="753"/>
      <c r="D44" s="784"/>
      <c r="E44" s="785"/>
      <c r="F44" s="785"/>
      <c r="G44" s="785"/>
      <c r="H44" s="785"/>
      <c r="I44" s="785"/>
      <c r="J44" s="786"/>
      <c r="K44" s="786"/>
      <c r="L44" s="786"/>
      <c r="M44" s="727"/>
      <c r="N44" s="727"/>
      <c r="O44" s="787"/>
    </row>
    <row r="45" spans="1:28" x14ac:dyDescent="0.35">
      <c r="A45" s="723"/>
      <c r="B45" s="723"/>
      <c r="C45" s="753"/>
      <c r="D45" s="784"/>
      <c r="E45" s="785"/>
      <c r="F45" s="785"/>
      <c r="G45" s="785"/>
      <c r="H45" s="785"/>
      <c r="I45" s="785"/>
      <c r="J45" s="786"/>
      <c r="K45" s="786"/>
      <c r="L45" s="786"/>
      <c r="M45" s="727"/>
      <c r="N45" s="727"/>
      <c r="O45" s="787"/>
    </row>
    <row r="46" spans="1:28" x14ac:dyDescent="0.35">
      <c r="A46" s="723"/>
      <c r="B46" s="723"/>
      <c r="C46" s="753"/>
      <c r="D46" s="784"/>
      <c r="E46" s="785"/>
      <c r="F46" s="785"/>
      <c r="G46" s="785"/>
      <c r="H46" s="785"/>
      <c r="I46" s="785"/>
      <c r="J46" s="786"/>
      <c r="K46" s="786"/>
      <c r="L46" s="786"/>
      <c r="M46" s="727"/>
      <c r="N46" s="727"/>
      <c r="O46" s="787"/>
    </row>
    <row r="47" spans="1:28" x14ac:dyDescent="0.35">
      <c r="A47" s="723"/>
      <c r="B47" s="723"/>
      <c r="C47" s="753"/>
      <c r="D47" s="784"/>
      <c r="E47" s="785"/>
      <c r="F47" s="785"/>
      <c r="G47" s="785"/>
      <c r="H47" s="785"/>
      <c r="I47" s="785"/>
      <c r="J47" s="786"/>
      <c r="K47" s="786"/>
      <c r="L47" s="786"/>
      <c r="M47" s="727"/>
      <c r="N47" s="727"/>
      <c r="O47" s="787"/>
    </row>
    <row r="48" spans="1:28" x14ac:dyDescent="0.35">
      <c r="A48" s="723"/>
      <c r="B48" s="723"/>
      <c r="C48" s="753"/>
      <c r="D48" s="784"/>
      <c r="E48" s="785"/>
      <c r="F48" s="785"/>
      <c r="G48" s="785"/>
      <c r="H48" s="785"/>
      <c r="I48" s="785"/>
      <c r="J48" s="786"/>
      <c r="K48" s="786"/>
      <c r="L48" s="786"/>
      <c r="M48" s="727"/>
      <c r="N48" s="727"/>
      <c r="O48" s="787"/>
      <c r="P48" s="727"/>
      <c r="Q48" s="727"/>
      <c r="R48" s="727"/>
      <c r="S48" s="727"/>
      <c r="T48" s="727"/>
      <c r="U48" s="727"/>
    </row>
    <row r="49" spans="1:29" x14ac:dyDescent="0.35">
      <c r="A49" s="723"/>
      <c r="B49" s="723"/>
      <c r="C49" s="753"/>
      <c r="D49" s="784"/>
      <c r="E49" s="785"/>
      <c r="F49" s="785"/>
      <c r="G49" s="785"/>
      <c r="H49" s="785"/>
      <c r="I49" s="785"/>
      <c r="J49" s="786"/>
      <c r="K49" s="786"/>
      <c r="L49" s="786"/>
      <c r="M49" s="727"/>
      <c r="N49" s="727"/>
      <c r="O49" s="787"/>
      <c r="P49" s="727"/>
      <c r="Q49" s="727"/>
      <c r="R49" s="727"/>
      <c r="S49" s="727"/>
      <c r="T49" s="727"/>
      <c r="U49" s="727"/>
    </row>
    <row r="50" spans="1:29" x14ac:dyDescent="0.35">
      <c r="A50" s="723"/>
      <c r="B50" s="723"/>
      <c r="C50" s="753"/>
      <c r="D50" s="784"/>
      <c r="E50" s="785"/>
      <c r="F50" s="785"/>
      <c r="G50" s="785"/>
      <c r="H50" s="785"/>
      <c r="I50" s="785"/>
      <c r="J50" s="786"/>
      <c r="K50" s="786"/>
      <c r="L50" s="786"/>
      <c r="M50" s="727"/>
      <c r="N50" s="727"/>
      <c r="O50" s="787"/>
      <c r="P50" s="727"/>
      <c r="Q50" s="727"/>
      <c r="R50" s="727"/>
      <c r="S50" s="727"/>
      <c r="T50" s="727"/>
      <c r="U50" s="727"/>
    </row>
    <row r="51" spans="1:29" x14ac:dyDescent="0.35">
      <c r="A51" s="723"/>
      <c r="B51" s="723"/>
      <c r="C51" s="753"/>
      <c r="D51" s="784"/>
      <c r="E51" s="785"/>
      <c r="F51" s="785"/>
      <c r="G51" s="785"/>
      <c r="H51" s="785"/>
      <c r="I51" s="785"/>
      <c r="J51" s="786"/>
      <c r="K51" s="786"/>
      <c r="L51" s="786"/>
      <c r="M51" s="727"/>
      <c r="N51" s="727"/>
      <c r="O51" s="787"/>
      <c r="P51" s="727"/>
      <c r="Q51" s="727"/>
      <c r="R51" s="727"/>
      <c r="S51" s="727"/>
      <c r="T51" s="727"/>
      <c r="U51" s="727"/>
    </row>
    <row r="52" spans="1:29" x14ac:dyDescent="0.35">
      <c r="A52" s="723"/>
      <c r="B52" s="723"/>
      <c r="C52" s="753"/>
      <c r="D52" s="784"/>
      <c r="E52" s="785"/>
      <c r="F52" s="785"/>
      <c r="G52" s="785"/>
      <c r="H52" s="785"/>
      <c r="I52" s="785"/>
      <c r="J52" s="786"/>
      <c r="K52" s="786"/>
      <c r="L52" s="786"/>
      <c r="M52" s="727"/>
      <c r="N52" s="727"/>
      <c r="O52" s="787"/>
      <c r="P52" s="727"/>
      <c r="Q52" s="727"/>
      <c r="R52" s="727"/>
      <c r="S52" s="727"/>
      <c r="T52" s="727"/>
      <c r="U52" s="727"/>
    </row>
    <row r="53" spans="1:29" x14ac:dyDescent="0.35">
      <c r="A53" s="723"/>
      <c r="B53" s="723"/>
      <c r="C53" s="753"/>
      <c r="D53" s="784"/>
      <c r="E53" s="785"/>
      <c r="F53" s="785"/>
      <c r="G53" s="785"/>
      <c r="H53" s="785"/>
      <c r="I53" s="785"/>
      <c r="J53" s="786"/>
      <c r="K53" s="786"/>
      <c r="L53" s="786"/>
      <c r="M53" s="727"/>
      <c r="N53" s="727"/>
      <c r="O53" s="787"/>
      <c r="P53" s="727"/>
      <c r="Q53" s="727"/>
      <c r="R53" s="727"/>
      <c r="S53" s="727"/>
      <c r="T53" s="727"/>
      <c r="U53" s="727"/>
    </row>
    <row r="54" spans="1:29" x14ac:dyDescent="0.35">
      <c r="A54" s="723"/>
      <c r="B54" s="723"/>
      <c r="C54" s="753"/>
      <c r="D54" s="784"/>
      <c r="E54" s="785"/>
      <c r="F54" s="785"/>
      <c r="G54" s="785"/>
      <c r="H54" s="785"/>
      <c r="I54" s="785"/>
      <c r="J54" s="786"/>
      <c r="K54" s="786"/>
      <c r="L54" s="786"/>
      <c r="M54" s="727"/>
      <c r="N54" s="727"/>
      <c r="O54" s="787"/>
      <c r="P54" s="727"/>
      <c r="Q54" s="727"/>
      <c r="R54" s="727"/>
      <c r="S54" s="727"/>
      <c r="T54" s="727"/>
      <c r="U54" s="727"/>
    </row>
    <row r="55" spans="1:29" x14ac:dyDescent="0.35">
      <c r="A55" s="723"/>
      <c r="B55" s="723"/>
      <c r="C55" s="753"/>
      <c r="D55" s="784"/>
      <c r="E55" s="785"/>
      <c r="F55" s="785"/>
      <c r="G55" s="785"/>
      <c r="H55" s="785"/>
      <c r="I55" s="785"/>
      <c r="J55" s="786"/>
      <c r="K55" s="786"/>
      <c r="L55" s="786"/>
      <c r="M55" s="727"/>
      <c r="N55" s="727"/>
      <c r="O55" s="787"/>
      <c r="P55" s="727"/>
      <c r="Q55" s="727"/>
      <c r="R55" s="727"/>
      <c r="S55" s="727"/>
      <c r="T55" s="727"/>
      <c r="U55" s="727"/>
    </row>
    <row r="56" spans="1:29" x14ac:dyDescent="0.35">
      <c r="A56" s="723"/>
      <c r="B56" s="723"/>
      <c r="C56" s="753"/>
      <c r="D56" s="784"/>
      <c r="E56" s="785"/>
      <c r="F56" s="785"/>
      <c r="G56" s="785"/>
      <c r="H56" s="785"/>
      <c r="I56" s="785"/>
      <c r="J56" s="786"/>
      <c r="K56" s="786"/>
      <c r="L56" s="786"/>
      <c r="M56" s="727"/>
      <c r="N56" s="727"/>
      <c r="O56" s="787"/>
      <c r="P56" s="727"/>
      <c r="Q56" s="727"/>
      <c r="R56" s="727"/>
      <c r="S56" s="727"/>
      <c r="T56" s="727"/>
      <c r="U56" s="727"/>
    </row>
    <row r="57" spans="1:29" x14ac:dyDescent="0.35">
      <c r="A57" s="723"/>
      <c r="B57" s="723"/>
      <c r="C57" s="753"/>
      <c r="D57" s="784"/>
      <c r="E57" s="785"/>
      <c r="F57" s="785"/>
      <c r="G57" s="785"/>
      <c r="H57" s="785"/>
      <c r="I57" s="785"/>
      <c r="J57" s="786"/>
      <c r="K57" s="786"/>
      <c r="L57" s="786"/>
      <c r="M57" s="727"/>
      <c r="N57" s="727"/>
      <c r="O57" s="787"/>
      <c r="P57" s="727"/>
      <c r="Q57" s="727"/>
      <c r="R57" s="727"/>
      <c r="S57" s="727"/>
      <c r="T57" s="727"/>
      <c r="U57" s="727"/>
    </row>
    <row r="58" spans="1:29" x14ac:dyDescent="0.35">
      <c r="A58" s="723"/>
      <c r="B58" s="723"/>
      <c r="C58" s="753"/>
      <c r="D58" s="784"/>
      <c r="E58" s="785"/>
      <c r="F58" s="785"/>
      <c r="G58" s="785"/>
      <c r="H58" s="785"/>
      <c r="I58" s="785"/>
      <c r="J58" s="786"/>
      <c r="K58" s="786"/>
      <c r="L58" s="786"/>
      <c r="M58" s="727"/>
      <c r="N58" s="727"/>
      <c r="O58" s="787"/>
      <c r="P58" s="727"/>
      <c r="Q58" s="727"/>
      <c r="R58" s="727"/>
      <c r="S58" s="727"/>
      <c r="T58" s="727"/>
      <c r="U58" s="727"/>
    </row>
    <row r="59" spans="1:29" x14ac:dyDescent="0.35">
      <c r="A59" s="723"/>
      <c r="B59" s="723"/>
      <c r="C59" s="753"/>
      <c r="D59" s="784"/>
      <c r="E59" s="785"/>
      <c r="F59" s="785"/>
      <c r="G59" s="785"/>
      <c r="H59" s="785"/>
      <c r="I59" s="785"/>
      <c r="J59" s="786"/>
      <c r="K59" s="786"/>
      <c r="L59" s="786"/>
      <c r="M59" s="727"/>
      <c r="N59" s="727"/>
      <c r="O59" s="787"/>
      <c r="P59" s="727"/>
      <c r="Q59" s="727"/>
      <c r="R59" s="727"/>
      <c r="S59" s="727"/>
      <c r="T59" s="727"/>
      <c r="U59" s="727"/>
    </row>
    <row r="60" spans="1:29" x14ac:dyDescent="0.35">
      <c r="A60" s="723"/>
      <c r="B60" s="723"/>
      <c r="C60" s="753"/>
      <c r="D60" s="784"/>
      <c r="E60" s="785"/>
      <c r="F60" s="785"/>
      <c r="G60" s="785"/>
      <c r="H60" s="785"/>
      <c r="I60" s="785"/>
      <c r="J60" s="786"/>
      <c r="K60" s="786"/>
      <c r="L60" s="786"/>
      <c r="M60" s="727"/>
      <c r="N60" s="727"/>
      <c r="O60" s="787"/>
      <c r="P60" s="727"/>
      <c r="Q60" s="727"/>
      <c r="R60" s="727"/>
      <c r="S60" s="727"/>
      <c r="T60" s="727"/>
      <c r="U60" s="727"/>
    </row>
    <row r="61" spans="1:29" x14ac:dyDescent="0.35">
      <c r="A61" s="723"/>
      <c r="B61" s="723"/>
      <c r="C61" s="753"/>
      <c r="D61" s="784"/>
      <c r="E61" s="785"/>
      <c r="F61" s="785"/>
      <c r="G61" s="785"/>
      <c r="H61" s="785"/>
      <c r="I61" s="785"/>
      <c r="J61" s="786"/>
      <c r="K61" s="786"/>
      <c r="L61" s="786"/>
      <c r="M61" s="727"/>
      <c r="N61" s="727"/>
      <c r="O61" s="787"/>
      <c r="P61" s="727"/>
      <c r="Q61" s="727"/>
      <c r="R61" s="727"/>
      <c r="S61" s="727"/>
      <c r="T61" s="727"/>
      <c r="U61" s="727"/>
      <c r="AC61" t="s">
        <v>67</v>
      </c>
    </row>
    <row r="62" spans="1:29" x14ac:dyDescent="0.35">
      <c r="A62" s="723"/>
      <c r="B62" s="723"/>
      <c r="C62" s="753"/>
      <c r="D62" s="784"/>
      <c r="E62" s="785"/>
      <c r="F62" s="785"/>
      <c r="G62" s="785"/>
      <c r="H62" s="785"/>
      <c r="I62" s="785"/>
      <c r="J62" s="786"/>
      <c r="K62" s="786"/>
      <c r="L62" s="786"/>
      <c r="M62" s="786"/>
      <c r="N62" s="727"/>
      <c r="O62" s="727"/>
      <c r="P62" s="787"/>
      <c r="Q62" s="727"/>
      <c r="R62" s="727"/>
      <c r="S62" s="727"/>
      <c r="T62" s="727"/>
      <c r="U62" s="727"/>
    </row>
    <row r="63" spans="1:29" s="722" customFormat="1" ht="14.25" customHeight="1" x14ac:dyDescent="0.3">
      <c r="A63" s="723">
        <v>6</v>
      </c>
      <c r="B63" s="723" t="s">
        <v>58</v>
      </c>
      <c r="C63" s="723"/>
      <c r="D63" s="4723" t="s">
        <v>321</v>
      </c>
      <c r="E63" s="4724"/>
      <c r="F63" s="4724"/>
      <c r="G63" s="4724"/>
      <c r="H63" s="4724"/>
      <c r="I63" s="4724"/>
      <c r="J63" s="4724"/>
      <c r="K63" s="4724"/>
      <c r="L63" s="4724"/>
      <c r="M63" s="4724"/>
      <c r="N63" s="4724"/>
      <c r="O63" s="4724"/>
      <c r="P63" s="4724"/>
      <c r="Q63" s="4724"/>
      <c r="R63" s="4724"/>
      <c r="S63" s="4725"/>
      <c r="T63" s="727"/>
      <c r="U63" s="727"/>
    </row>
    <row r="64" spans="1:29" s="722" customFormat="1" ht="40.25" customHeight="1" x14ac:dyDescent="0.3">
      <c r="A64" s="723">
        <v>7</v>
      </c>
      <c r="B64" s="723" t="s">
        <v>60</v>
      </c>
      <c r="C64" s="788"/>
      <c r="D64" s="4715" t="s">
        <v>322</v>
      </c>
      <c r="E64" s="4716"/>
      <c r="F64" s="4716"/>
      <c r="G64" s="4716"/>
      <c r="H64" s="4716"/>
      <c r="I64" s="4716"/>
      <c r="J64" s="4716"/>
      <c r="K64" s="4716"/>
      <c r="L64" s="4716"/>
      <c r="M64" s="4716"/>
      <c r="N64" s="4716"/>
      <c r="O64" s="4716"/>
      <c r="P64" s="4716"/>
      <c r="Q64" s="4716"/>
      <c r="R64" s="4716"/>
      <c r="S64" s="4717"/>
      <c r="T64" s="727"/>
      <c r="U64" s="727"/>
    </row>
    <row r="65" spans="1:21" s="722" customFormat="1" ht="25.5" customHeight="1" x14ac:dyDescent="0.3">
      <c r="A65" s="723">
        <v>8</v>
      </c>
      <c r="B65" s="723" t="s">
        <v>62</v>
      </c>
      <c r="C65" s="723"/>
      <c r="D65" s="4715" t="s">
        <v>323</v>
      </c>
      <c r="E65" s="4716"/>
      <c r="F65" s="4716"/>
      <c r="G65" s="4716"/>
      <c r="H65" s="4716"/>
      <c r="I65" s="4716"/>
      <c r="J65" s="4716"/>
      <c r="K65" s="4716"/>
      <c r="L65" s="4716"/>
      <c r="M65" s="4716"/>
      <c r="N65" s="4716"/>
      <c r="O65" s="4716"/>
      <c r="P65" s="4716"/>
      <c r="Q65" s="4716"/>
      <c r="R65" s="4716"/>
      <c r="S65" s="4717"/>
      <c r="T65" s="727"/>
      <c r="U65" s="727"/>
    </row>
    <row r="66" spans="1:21" hidden="1" x14ac:dyDescent="0.35">
      <c r="A66" s="723">
        <v>8</v>
      </c>
      <c r="B66" s="723" t="s">
        <v>62</v>
      </c>
      <c r="C66" s="789"/>
      <c r="D66" s="727"/>
      <c r="E66" s="727"/>
      <c r="F66" s="727"/>
      <c r="G66" s="727"/>
      <c r="H66" s="727"/>
      <c r="I66" s="727"/>
      <c r="J66" s="727"/>
      <c r="K66" s="727"/>
      <c r="L66" s="727"/>
      <c r="M66" s="727"/>
      <c r="N66" s="727"/>
      <c r="O66" s="727"/>
      <c r="P66" s="727"/>
      <c r="Q66" s="727"/>
      <c r="R66" s="727"/>
      <c r="S66" s="727"/>
      <c r="T66" s="727"/>
      <c r="U66" s="727"/>
    </row>
    <row r="67" spans="1:21" hidden="1" x14ac:dyDescent="0.35">
      <c r="A67" s="723">
        <v>8</v>
      </c>
      <c r="B67" s="723" t="s">
        <v>62</v>
      </c>
      <c r="C67" s="789"/>
      <c r="D67" s="727"/>
      <c r="E67" s="727"/>
      <c r="F67" s="727"/>
      <c r="G67" s="727"/>
      <c r="H67" s="727"/>
      <c r="I67" s="727"/>
      <c r="J67" s="727"/>
      <c r="K67" s="727"/>
      <c r="L67" s="727"/>
      <c r="M67" s="727"/>
      <c r="N67" s="727"/>
      <c r="O67" s="727"/>
      <c r="P67" s="727"/>
      <c r="Q67" s="727"/>
      <c r="R67" s="727"/>
      <c r="S67" s="727"/>
      <c r="T67" s="727"/>
      <c r="U67" s="727"/>
    </row>
    <row r="68" spans="1:21" hidden="1" x14ac:dyDescent="0.35">
      <c r="A68" s="723">
        <v>8</v>
      </c>
      <c r="B68" s="723" t="s">
        <v>62</v>
      </c>
      <c r="C68" s="789"/>
      <c r="D68" s="727"/>
      <c r="E68" s="727"/>
      <c r="F68" s="727"/>
      <c r="G68" s="727"/>
      <c r="H68" s="727"/>
      <c r="I68" s="727"/>
      <c r="J68" s="727"/>
      <c r="K68" s="727"/>
      <c r="L68" s="727"/>
      <c r="M68" s="727"/>
      <c r="N68" s="727"/>
      <c r="O68" s="727"/>
      <c r="P68" s="727"/>
      <c r="Q68" s="727"/>
      <c r="R68" s="727"/>
      <c r="S68" s="727"/>
      <c r="T68" s="727"/>
      <c r="U68" s="727"/>
    </row>
    <row r="69" spans="1:21" hidden="1" x14ac:dyDescent="0.35">
      <c r="A69" s="723">
        <v>8</v>
      </c>
      <c r="B69" s="723" t="s">
        <v>62</v>
      </c>
      <c r="C69" s="789"/>
      <c r="D69" s="727"/>
      <c r="E69" s="727"/>
      <c r="F69" s="727"/>
      <c r="G69" s="727"/>
      <c r="H69" s="727"/>
      <c r="I69" s="727"/>
      <c r="J69" s="727"/>
      <c r="K69" s="727"/>
      <c r="L69" s="727"/>
      <c r="M69" s="727"/>
      <c r="N69" s="727"/>
      <c r="O69" s="727"/>
      <c r="P69" s="727"/>
      <c r="Q69" s="727"/>
      <c r="R69" s="727"/>
      <c r="S69" s="727"/>
      <c r="T69" s="727"/>
      <c r="U69" s="727"/>
    </row>
    <row r="70" spans="1:21" hidden="1" x14ac:dyDescent="0.35">
      <c r="A70" s="723">
        <v>8</v>
      </c>
      <c r="B70" s="723" t="s">
        <v>62</v>
      </c>
      <c r="C70" s="789"/>
      <c r="D70" s="727"/>
      <c r="E70" s="727"/>
      <c r="F70" s="727"/>
      <c r="G70" s="727"/>
      <c r="H70" s="727"/>
      <c r="I70" s="727"/>
      <c r="J70" s="727"/>
      <c r="K70" s="727"/>
      <c r="L70" s="727"/>
      <c r="M70" s="727"/>
      <c r="N70" s="727"/>
      <c r="O70" s="727"/>
      <c r="P70" s="727"/>
      <c r="Q70" s="727"/>
      <c r="R70" s="727"/>
      <c r="S70" s="727"/>
      <c r="T70" s="727"/>
      <c r="U70" s="727"/>
    </row>
    <row r="71" spans="1:21" hidden="1" x14ac:dyDescent="0.35">
      <c r="A71" s="723">
        <v>8</v>
      </c>
      <c r="B71" s="723" t="s">
        <v>62</v>
      </c>
      <c r="C71" s="789"/>
      <c r="D71" s="727"/>
      <c r="E71" s="727"/>
      <c r="F71" s="727"/>
      <c r="G71" s="727"/>
      <c r="H71" s="727"/>
      <c r="I71" s="727"/>
      <c r="J71" s="727"/>
      <c r="K71" s="727"/>
      <c r="L71" s="727"/>
      <c r="M71" s="727"/>
      <c r="N71" s="727"/>
      <c r="O71" s="727"/>
      <c r="P71" s="727"/>
      <c r="Q71" s="727"/>
      <c r="R71" s="727"/>
      <c r="S71" s="727"/>
      <c r="T71" s="727"/>
      <c r="U71" s="727"/>
    </row>
    <row r="72" spans="1:21" hidden="1" x14ac:dyDescent="0.35">
      <c r="A72" s="723">
        <v>8</v>
      </c>
      <c r="B72" s="723" t="s">
        <v>62</v>
      </c>
      <c r="C72" s="789"/>
      <c r="D72" s="727"/>
      <c r="E72" s="727"/>
      <c r="F72" s="727"/>
      <c r="G72" s="727"/>
      <c r="H72" s="727"/>
      <c r="I72" s="727"/>
      <c r="J72" s="727"/>
      <c r="K72" s="727"/>
      <c r="L72" s="727"/>
      <c r="M72" s="727"/>
      <c r="N72" s="727"/>
      <c r="O72" s="727"/>
      <c r="P72" s="727"/>
      <c r="Q72" s="727"/>
      <c r="R72" s="727"/>
      <c r="S72" s="727"/>
      <c r="T72" s="727"/>
      <c r="U72" s="727"/>
    </row>
    <row r="73" spans="1:21" hidden="1" x14ac:dyDescent="0.35">
      <c r="A73" s="723">
        <v>8</v>
      </c>
      <c r="B73" s="723" t="s">
        <v>62</v>
      </c>
      <c r="C73" s="789"/>
      <c r="D73" s="727"/>
      <c r="E73" s="727"/>
      <c r="F73" s="727"/>
      <c r="G73" s="727"/>
      <c r="H73" s="727"/>
      <c r="I73" s="727"/>
      <c r="J73" s="727"/>
      <c r="K73" s="727"/>
      <c r="L73" s="727"/>
      <c r="M73" s="727"/>
      <c r="N73" s="727"/>
      <c r="O73" s="727"/>
      <c r="P73" s="727"/>
      <c r="Q73" s="727"/>
      <c r="R73" s="727"/>
      <c r="S73" s="727"/>
      <c r="T73" s="727"/>
      <c r="U73" s="727"/>
    </row>
    <row r="74" spans="1:21" hidden="1" x14ac:dyDescent="0.35">
      <c r="A74" s="723">
        <v>8</v>
      </c>
      <c r="B74" s="723" t="s">
        <v>62</v>
      </c>
      <c r="C74" s="789"/>
      <c r="D74" s="727"/>
      <c r="E74" s="727"/>
      <c r="F74" s="727"/>
      <c r="G74" s="727"/>
      <c r="H74" s="727"/>
      <c r="I74" s="727"/>
      <c r="J74" s="727"/>
      <c r="K74" s="727"/>
      <c r="L74" s="727"/>
      <c r="M74" s="727"/>
      <c r="N74" s="727"/>
      <c r="O74" s="727"/>
      <c r="P74" s="727"/>
      <c r="Q74" s="727"/>
      <c r="R74" s="727"/>
      <c r="S74" s="727"/>
      <c r="T74" s="727"/>
      <c r="U74" s="727"/>
    </row>
    <row r="75" spans="1:21" hidden="1" x14ac:dyDescent="0.35">
      <c r="A75" s="723">
        <v>8</v>
      </c>
      <c r="B75" s="723" t="s">
        <v>62</v>
      </c>
      <c r="C75" s="789"/>
      <c r="D75" s="727"/>
      <c r="E75" s="727"/>
      <c r="F75" s="727"/>
      <c r="G75" s="727"/>
      <c r="H75" s="727"/>
      <c r="I75" s="727"/>
      <c r="J75" s="727"/>
      <c r="K75" s="727"/>
      <c r="L75" s="727"/>
      <c r="M75" s="727"/>
      <c r="N75" s="727"/>
      <c r="O75" s="727"/>
      <c r="P75" s="727"/>
      <c r="Q75" s="727"/>
      <c r="R75" s="727"/>
      <c r="S75" s="727"/>
      <c r="T75" s="727"/>
      <c r="U75" s="727"/>
    </row>
    <row r="76" spans="1:21" hidden="1" x14ac:dyDescent="0.35">
      <c r="A76" s="723">
        <v>8</v>
      </c>
      <c r="B76" s="723" t="s">
        <v>62</v>
      </c>
      <c r="C76" s="789"/>
      <c r="D76" s="4718" t="s">
        <v>324</v>
      </c>
      <c r="E76" s="4719"/>
      <c r="F76" s="4719"/>
      <c r="G76" s="4720"/>
      <c r="H76" s="790"/>
      <c r="I76" s="790"/>
      <c r="J76" s="790"/>
      <c r="K76" s="790"/>
      <c r="L76" s="790"/>
      <c r="M76" s="791"/>
      <c r="N76" s="792" t="s">
        <v>7</v>
      </c>
      <c r="O76" s="793"/>
      <c r="P76" s="794" t="s">
        <v>325</v>
      </c>
      <c r="Q76" s="795" t="s">
        <v>326</v>
      </c>
      <c r="R76" s="795"/>
      <c r="S76" s="796" t="s">
        <v>327</v>
      </c>
      <c r="T76" s="727"/>
      <c r="U76" s="727"/>
    </row>
    <row r="77" spans="1:21" ht="21.5" hidden="1" x14ac:dyDescent="0.35">
      <c r="A77" s="723">
        <v>8</v>
      </c>
      <c r="B77" s="723" t="s">
        <v>62</v>
      </c>
      <c r="C77" s="789"/>
      <c r="D77" s="797" t="s">
        <v>328</v>
      </c>
      <c r="E77" s="798" t="s">
        <v>329</v>
      </c>
      <c r="F77" s="798" t="s">
        <v>200</v>
      </c>
      <c r="G77" s="799" t="s">
        <v>330</v>
      </c>
      <c r="H77" s="800"/>
      <c r="I77" s="800"/>
      <c r="J77" s="800"/>
      <c r="K77" s="800"/>
      <c r="L77" s="800"/>
      <c r="M77" s="732"/>
      <c r="N77" s="801" t="s">
        <v>331</v>
      </c>
      <c r="O77" s="802" t="s">
        <v>50</v>
      </c>
      <c r="P77" s="756">
        <v>21</v>
      </c>
      <c r="Q77" s="756">
        <v>19</v>
      </c>
      <c r="R77" s="756"/>
      <c r="S77" s="803">
        <v>26</v>
      </c>
      <c r="T77" s="727"/>
      <c r="U77" s="727"/>
    </row>
    <row r="78" spans="1:21" ht="31.5" hidden="1" x14ac:dyDescent="0.35">
      <c r="A78" s="723">
        <v>8</v>
      </c>
      <c r="B78" s="723" t="s">
        <v>62</v>
      </c>
      <c r="C78" s="789"/>
      <c r="D78" s="804" t="s">
        <v>332</v>
      </c>
      <c r="E78" s="805" t="s">
        <v>333</v>
      </c>
      <c r="F78" s="806">
        <v>61</v>
      </c>
      <c r="G78" s="807">
        <v>4.45</v>
      </c>
      <c r="H78" s="808"/>
      <c r="I78" s="808"/>
      <c r="J78" s="808"/>
      <c r="K78" s="808"/>
      <c r="L78" s="808"/>
      <c r="M78" s="808"/>
      <c r="N78" s="809"/>
      <c r="O78" s="802" t="s">
        <v>42</v>
      </c>
      <c r="P78" s="756">
        <v>26</v>
      </c>
      <c r="Q78" s="756">
        <v>27</v>
      </c>
      <c r="R78" s="756"/>
      <c r="S78" s="803">
        <v>27</v>
      </c>
      <c r="T78" s="727"/>
      <c r="U78" s="727"/>
    </row>
    <row r="79" spans="1:21" ht="31.5" hidden="1" x14ac:dyDescent="0.35">
      <c r="A79" s="723">
        <v>8</v>
      </c>
      <c r="B79" s="723" t="s">
        <v>62</v>
      </c>
      <c r="C79" s="789"/>
      <c r="D79" s="4721" t="s">
        <v>334</v>
      </c>
      <c r="E79" s="810" t="s">
        <v>335</v>
      </c>
      <c r="F79" s="811">
        <v>39</v>
      </c>
      <c r="G79" s="812">
        <v>4.55</v>
      </c>
      <c r="H79" s="732"/>
      <c r="I79" s="732"/>
      <c r="J79" s="732"/>
      <c r="K79" s="732"/>
      <c r="L79" s="732"/>
      <c r="M79" s="732"/>
      <c r="N79" s="792"/>
      <c r="O79" s="802" t="s">
        <v>303</v>
      </c>
      <c r="P79" s="756">
        <v>27</v>
      </c>
      <c r="Q79" s="756">
        <v>26</v>
      </c>
      <c r="R79" s="756"/>
      <c r="S79" s="803">
        <v>25</v>
      </c>
      <c r="T79" s="727"/>
      <c r="U79" s="727"/>
    </row>
    <row r="80" spans="1:21" ht="31.5" hidden="1" x14ac:dyDescent="0.35">
      <c r="A80" s="723">
        <v>8</v>
      </c>
      <c r="B80" s="723" t="s">
        <v>62</v>
      </c>
      <c r="C80" s="789"/>
      <c r="D80" s="4721"/>
      <c r="E80" s="810" t="s">
        <v>336</v>
      </c>
      <c r="F80" s="811">
        <v>43</v>
      </c>
      <c r="G80" s="812">
        <v>4.22</v>
      </c>
      <c r="H80" s="732"/>
      <c r="I80" s="732"/>
      <c r="J80" s="732"/>
      <c r="K80" s="732"/>
      <c r="L80" s="732"/>
      <c r="M80" s="732"/>
      <c r="N80" s="792"/>
      <c r="O80" s="802" t="s">
        <v>304</v>
      </c>
      <c r="P80" s="756">
        <v>38</v>
      </c>
      <c r="Q80" s="756">
        <v>39</v>
      </c>
      <c r="R80" s="756"/>
      <c r="S80" s="803">
        <v>40</v>
      </c>
    </row>
    <row r="81" spans="1:19" ht="41.5" hidden="1" x14ac:dyDescent="0.35">
      <c r="A81" s="723">
        <v>8</v>
      </c>
      <c r="B81" s="723" t="s">
        <v>62</v>
      </c>
      <c r="C81" s="789"/>
      <c r="D81" s="4721"/>
      <c r="E81" s="810" t="s">
        <v>337</v>
      </c>
      <c r="F81" s="811">
        <v>50</v>
      </c>
      <c r="G81" s="812">
        <v>5.08</v>
      </c>
      <c r="H81" s="732"/>
      <c r="I81" s="732"/>
      <c r="J81" s="732"/>
      <c r="K81" s="732"/>
      <c r="L81" s="732"/>
      <c r="M81" s="732"/>
      <c r="N81" s="792"/>
      <c r="O81" s="802" t="s">
        <v>305</v>
      </c>
      <c r="P81" s="756">
        <v>41</v>
      </c>
      <c r="Q81" s="756">
        <v>37</v>
      </c>
      <c r="R81" s="756"/>
      <c r="S81" s="803">
        <v>37</v>
      </c>
    </row>
    <row r="82" spans="1:19" ht="51.5" hidden="1" x14ac:dyDescent="0.35">
      <c r="A82" s="723">
        <v>8</v>
      </c>
      <c r="B82" s="723" t="s">
        <v>62</v>
      </c>
      <c r="C82" s="753"/>
      <c r="D82" s="4721"/>
      <c r="E82" s="810" t="s">
        <v>338</v>
      </c>
      <c r="F82" s="811">
        <v>117</v>
      </c>
      <c r="G82" s="812">
        <v>3.96</v>
      </c>
      <c r="H82" s="727"/>
      <c r="I82" s="727"/>
      <c r="J82" s="727"/>
      <c r="K82" s="727"/>
      <c r="L82" s="727"/>
      <c r="M82" s="727"/>
      <c r="N82" s="792"/>
      <c r="O82" s="802" t="s">
        <v>306</v>
      </c>
      <c r="P82" s="756">
        <v>44</v>
      </c>
      <c r="Q82" s="756">
        <v>36</v>
      </c>
      <c r="R82" s="756"/>
      <c r="S82" s="803">
        <v>45</v>
      </c>
    </row>
    <row r="83" spans="1:19" hidden="1" x14ac:dyDescent="0.35">
      <c r="A83" s="723">
        <v>8</v>
      </c>
      <c r="B83" s="723" t="s">
        <v>62</v>
      </c>
      <c r="C83" s="727"/>
      <c r="D83" s="813"/>
      <c r="E83" s="805"/>
      <c r="F83" s="806"/>
      <c r="G83" s="807"/>
      <c r="H83" s="727"/>
      <c r="I83" s="727"/>
      <c r="J83" s="727"/>
      <c r="K83" s="727"/>
      <c r="L83" s="727"/>
      <c r="M83" s="727"/>
      <c r="N83" s="792"/>
      <c r="O83" s="802" t="s">
        <v>307</v>
      </c>
      <c r="P83" s="756">
        <v>45</v>
      </c>
      <c r="Q83" s="756">
        <v>44</v>
      </c>
      <c r="R83" s="756"/>
      <c r="S83" s="803">
        <v>36</v>
      </c>
    </row>
    <row r="84" spans="1:19" ht="41.5" hidden="1" x14ac:dyDescent="0.35">
      <c r="A84" s="723">
        <v>8</v>
      </c>
      <c r="B84" s="723" t="s">
        <v>62</v>
      </c>
      <c r="C84" s="727"/>
      <c r="D84" s="804" t="s">
        <v>339</v>
      </c>
      <c r="E84" s="805" t="s">
        <v>340</v>
      </c>
      <c r="F84" s="806">
        <v>36</v>
      </c>
      <c r="G84" s="807">
        <v>4.4400000000000004</v>
      </c>
      <c r="H84" s="727"/>
      <c r="I84" s="727"/>
      <c r="J84" s="727"/>
      <c r="K84" s="727"/>
      <c r="L84" s="727"/>
      <c r="M84" s="727"/>
      <c r="N84" s="792"/>
      <c r="O84" s="802" t="s">
        <v>308</v>
      </c>
      <c r="P84" s="756">
        <v>47</v>
      </c>
      <c r="Q84" s="756">
        <v>38</v>
      </c>
      <c r="R84" s="756"/>
      <c r="S84" s="803">
        <v>41</v>
      </c>
    </row>
    <row r="85" spans="1:19" ht="51.5" hidden="1" x14ac:dyDescent="0.35">
      <c r="A85" s="723">
        <v>8</v>
      </c>
      <c r="B85" s="723" t="s">
        <v>62</v>
      </c>
      <c r="C85" s="727"/>
      <c r="D85" s="4721" t="s">
        <v>334</v>
      </c>
      <c r="E85" s="810" t="s">
        <v>341</v>
      </c>
      <c r="F85" s="811">
        <v>56</v>
      </c>
      <c r="G85" s="812">
        <v>4.12</v>
      </c>
      <c r="H85" s="727"/>
      <c r="I85" s="727"/>
      <c r="J85" s="727"/>
      <c r="K85" s="727"/>
      <c r="L85" s="727"/>
      <c r="M85" s="727"/>
      <c r="N85" s="809"/>
      <c r="O85" s="814" t="s">
        <v>52</v>
      </c>
      <c r="P85" s="756">
        <v>51</v>
      </c>
      <c r="Q85" s="756">
        <v>45</v>
      </c>
      <c r="R85" s="756"/>
      <c r="S85" s="803">
        <v>48</v>
      </c>
    </row>
    <row r="86" spans="1:19" ht="41.5" hidden="1" x14ac:dyDescent="0.35">
      <c r="A86" s="723">
        <v>8</v>
      </c>
      <c r="B86" s="723" t="s">
        <v>62</v>
      </c>
      <c r="C86" s="727"/>
      <c r="D86" s="4721"/>
      <c r="E86" s="810" t="s">
        <v>342</v>
      </c>
      <c r="F86" s="811">
        <v>32</v>
      </c>
      <c r="G86" s="812">
        <v>4.7300000000000004</v>
      </c>
      <c r="H86" s="727"/>
      <c r="I86" s="727"/>
      <c r="J86" s="727"/>
      <c r="K86" s="727"/>
      <c r="L86" s="727"/>
      <c r="M86" s="727"/>
      <c r="N86" s="809"/>
      <c r="O86" s="802" t="s">
        <v>51</v>
      </c>
      <c r="P86" s="756">
        <v>52</v>
      </c>
      <c r="Q86" s="756">
        <v>52</v>
      </c>
      <c r="R86" s="756"/>
      <c r="S86" s="803">
        <v>58</v>
      </c>
    </row>
    <row r="87" spans="1:19" ht="41.5" hidden="1" x14ac:dyDescent="0.35">
      <c r="A87" s="723">
        <v>8</v>
      </c>
      <c r="B87" s="723" t="s">
        <v>62</v>
      </c>
      <c r="C87" s="727"/>
      <c r="D87" s="4721"/>
      <c r="E87" s="810" t="s">
        <v>343</v>
      </c>
      <c r="F87" s="811">
        <v>78</v>
      </c>
      <c r="G87" s="812">
        <v>4.16</v>
      </c>
      <c r="H87" s="727"/>
      <c r="I87" s="727"/>
      <c r="J87" s="727"/>
      <c r="K87" s="727"/>
      <c r="L87" s="727"/>
      <c r="M87" s="727"/>
      <c r="N87" s="809"/>
      <c r="O87" s="802" t="s">
        <v>309</v>
      </c>
      <c r="P87" s="756">
        <v>60</v>
      </c>
      <c r="Q87" s="756">
        <v>55</v>
      </c>
      <c r="R87" s="756"/>
      <c r="S87" s="803">
        <v>55</v>
      </c>
    </row>
    <row r="88" spans="1:19" ht="61.5" hidden="1" x14ac:dyDescent="0.35">
      <c r="A88" s="723">
        <v>8</v>
      </c>
      <c r="B88" s="723" t="s">
        <v>62</v>
      </c>
      <c r="C88" s="727"/>
      <c r="D88" s="4721"/>
      <c r="E88" s="810" t="s">
        <v>344</v>
      </c>
      <c r="F88" s="811">
        <v>25</v>
      </c>
      <c r="G88" s="812">
        <v>5.19</v>
      </c>
      <c r="H88" s="727"/>
      <c r="I88" s="727"/>
      <c r="J88" s="727"/>
      <c r="K88" s="727"/>
      <c r="L88" s="727"/>
      <c r="M88" s="727"/>
      <c r="N88" s="809"/>
      <c r="O88" s="802" t="s">
        <v>40</v>
      </c>
      <c r="P88" s="756">
        <v>72</v>
      </c>
      <c r="Q88" s="756">
        <v>66</v>
      </c>
      <c r="R88" s="756"/>
      <c r="S88" s="803">
        <v>66</v>
      </c>
    </row>
    <row r="89" spans="1:19" ht="51.5" hidden="1" x14ac:dyDescent="0.35">
      <c r="A89" s="723">
        <v>8</v>
      </c>
      <c r="B89" s="723" t="s">
        <v>62</v>
      </c>
      <c r="C89" s="727"/>
      <c r="D89" s="4721"/>
      <c r="E89" s="810" t="s">
        <v>345</v>
      </c>
      <c r="F89" s="811">
        <v>46</v>
      </c>
      <c r="G89" s="812">
        <v>3.57</v>
      </c>
      <c r="H89" s="727"/>
      <c r="I89" s="727"/>
      <c r="J89" s="727"/>
      <c r="K89" s="727"/>
      <c r="L89" s="727"/>
      <c r="M89" s="727"/>
      <c r="N89" s="809"/>
      <c r="O89" s="802" t="s">
        <v>310</v>
      </c>
      <c r="P89" s="756">
        <v>74</v>
      </c>
      <c r="Q89" s="756">
        <v>73</v>
      </c>
      <c r="R89" s="756"/>
      <c r="S89" s="803">
        <v>68</v>
      </c>
    </row>
    <row r="90" spans="1:19" ht="31.5" hidden="1" x14ac:dyDescent="0.35">
      <c r="A90" s="723">
        <v>8</v>
      </c>
      <c r="B90" s="723" t="s">
        <v>62</v>
      </c>
      <c r="C90" s="727"/>
      <c r="D90" s="4721"/>
      <c r="E90" s="810" t="s">
        <v>346</v>
      </c>
      <c r="F90" s="811">
        <v>21</v>
      </c>
      <c r="G90" s="812">
        <v>4.8899999999999997</v>
      </c>
      <c r="H90" s="727"/>
      <c r="I90" s="727"/>
      <c r="J90" s="727"/>
      <c r="K90" s="727"/>
      <c r="L90" s="727"/>
      <c r="M90" s="727"/>
      <c r="N90" s="809"/>
      <c r="O90" s="802" t="s">
        <v>39</v>
      </c>
      <c r="P90" s="756">
        <v>76</v>
      </c>
      <c r="Q90" s="756">
        <v>57</v>
      </c>
      <c r="R90" s="756"/>
      <c r="S90" s="803">
        <v>81</v>
      </c>
    </row>
    <row r="91" spans="1:19" hidden="1" x14ac:dyDescent="0.35">
      <c r="A91" s="723">
        <v>8</v>
      </c>
      <c r="B91" s="723" t="s">
        <v>62</v>
      </c>
      <c r="C91" s="727"/>
      <c r="D91" s="813"/>
      <c r="E91" s="805"/>
      <c r="F91" s="806"/>
      <c r="G91" s="807"/>
      <c r="H91" s="727"/>
      <c r="I91" s="727"/>
      <c r="J91" s="727"/>
      <c r="K91" s="727"/>
      <c r="L91" s="727"/>
      <c r="M91" s="727"/>
      <c r="N91" s="727"/>
      <c r="O91" s="732"/>
      <c r="P91" s="732"/>
      <c r="Q91" s="727"/>
      <c r="R91" s="727"/>
      <c r="S91" s="727"/>
    </row>
    <row r="92" spans="1:19" ht="61.5" hidden="1" x14ac:dyDescent="0.35">
      <c r="A92" s="723">
        <v>8</v>
      </c>
      <c r="B92" s="723" t="s">
        <v>62</v>
      </c>
      <c r="C92" s="727"/>
      <c r="D92" s="804" t="s">
        <v>347</v>
      </c>
      <c r="E92" s="805" t="s">
        <v>348</v>
      </c>
      <c r="F92" s="806">
        <v>33</v>
      </c>
      <c r="G92" s="807">
        <v>4.16</v>
      </c>
      <c r="H92" s="727"/>
      <c r="I92" s="727"/>
      <c r="J92" s="727"/>
      <c r="K92" s="727"/>
      <c r="L92" s="727"/>
      <c r="M92" s="727"/>
      <c r="N92" s="767"/>
      <c r="O92" s="732"/>
      <c r="P92" s="732"/>
      <c r="Q92" s="727"/>
      <c r="R92" s="727"/>
      <c r="S92" s="727"/>
    </row>
    <row r="93" spans="1:19" ht="41.5" hidden="1" x14ac:dyDescent="0.35">
      <c r="A93" s="723">
        <v>8</v>
      </c>
      <c r="B93" s="723" t="s">
        <v>62</v>
      </c>
      <c r="C93" s="727"/>
      <c r="D93" s="4721" t="s">
        <v>334</v>
      </c>
      <c r="E93" s="810" t="s">
        <v>349</v>
      </c>
      <c r="F93" s="811">
        <v>36</v>
      </c>
      <c r="G93" s="812">
        <v>4.6100000000000003</v>
      </c>
      <c r="H93" s="727"/>
      <c r="I93" s="727"/>
      <c r="J93" s="727"/>
      <c r="K93" s="727"/>
      <c r="L93" s="727"/>
      <c r="M93" s="727"/>
      <c r="N93" s="767"/>
      <c r="O93" s="727"/>
      <c r="P93" s="727"/>
      <c r="Q93" s="727"/>
      <c r="R93" s="727"/>
      <c r="S93" s="727"/>
    </row>
    <row r="94" spans="1:19" ht="32" hidden="1" thickBot="1" x14ac:dyDescent="0.4">
      <c r="A94" s="723">
        <v>8</v>
      </c>
      <c r="B94" s="723" t="s">
        <v>62</v>
      </c>
      <c r="C94" s="727"/>
      <c r="D94" s="4722"/>
      <c r="E94" s="815" t="s">
        <v>350</v>
      </c>
      <c r="F94" s="816">
        <v>32</v>
      </c>
      <c r="G94" s="817">
        <v>3.71</v>
      </c>
      <c r="H94" s="727"/>
      <c r="I94" s="727"/>
      <c r="J94" s="727"/>
      <c r="K94" s="727"/>
      <c r="L94" s="727"/>
      <c r="M94" s="727"/>
      <c r="N94" s="792" t="s">
        <v>35</v>
      </c>
      <c r="O94" s="793"/>
      <c r="P94" s="795" t="s">
        <v>351</v>
      </c>
      <c r="Q94" s="795" t="s">
        <v>352</v>
      </c>
      <c r="R94" s="795"/>
      <c r="S94" s="795"/>
    </row>
    <row r="95" spans="1:19" hidden="1" x14ac:dyDescent="0.35">
      <c r="A95" s="723">
        <v>8</v>
      </c>
      <c r="B95" s="723" t="s">
        <v>62</v>
      </c>
      <c r="C95" s="727"/>
      <c r="D95" s="727"/>
      <c r="E95" s="727"/>
      <c r="F95" s="727"/>
      <c r="G95" s="727"/>
      <c r="H95" s="727"/>
      <c r="I95" s="727"/>
      <c r="J95" s="727"/>
      <c r="K95" s="727"/>
      <c r="L95" s="727"/>
      <c r="M95" s="727"/>
      <c r="N95" s="801" t="s">
        <v>353</v>
      </c>
      <c r="O95" s="802" t="s">
        <v>50</v>
      </c>
      <c r="P95" s="756">
        <v>19</v>
      </c>
      <c r="Q95" s="756">
        <v>23</v>
      </c>
      <c r="R95" s="756"/>
      <c r="S95" s="756"/>
    </row>
    <row r="96" spans="1:19" hidden="1" x14ac:dyDescent="0.35">
      <c r="A96" s="723">
        <v>8</v>
      </c>
      <c r="B96" s="723" t="s">
        <v>62</v>
      </c>
      <c r="C96" s="727"/>
      <c r="D96" s="727"/>
      <c r="E96" s="727"/>
      <c r="F96" s="727"/>
      <c r="G96" s="727"/>
      <c r="H96" s="727"/>
      <c r="I96" s="727"/>
      <c r="J96" s="727"/>
      <c r="K96" s="727"/>
      <c r="L96" s="727"/>
      <c r="M96" s="727"/>
      <c r="N96" s="809"/>
      <c r="O96" s="802" t="s">
        <v>42</v>
      </c>
      <c r="P96" s="756">
        <v>26</v>
      </c>
      <c r="Q96" s="756">
        <v>26</v>
      </c>
      <c r="R96" s="756"/>
      <c r="S96" s="756"/>
    </row>
    <row r="97" spans="1:19" hidden="1" x14ac:dyDescent="0.35">
      <c r="A97" s="723">
        <v>8</v>
      </c>
      <c r="B97" s="723" t="s">
        <v>62</v>
      </c>
      <c r="C97" s="727"/>
      <c r="D97" s="727"/>
      <c r="E97" s="727"/>
      <c r="F97" s="727"/>
      <c r="G97" s="727"/>
      <c r="H97" s="727"/>
      <c r="I97" s="727"/>
      <c r="J97" s="727"/>
      <c r="K97" s="727"/>
      <c r="L97" s="727"/>
      <c r="M97" s="727"/>
      <c r="N97" s="792"/>
      <c r="O97" s="802" t="s">
        <v>303</v>
      </c>
      <c r="P97" s="756">
        <v>23</v>
      </c>
      <c r="Q97" s="756">
        <v>22</v>
      </c>
      <c r="R97" s="756"/>
      <c r="S97" s="756"/>
    </row>
    <row r="98" spans="1:19" hidden="1" x14ac:dyDescent="0.35">
      <c r="A98" s="723">
        <v>8</v>
      </c>
      <c r="B98" s="723" t="s">
        <v>62</v>
      </c>
      <c r="C98" s="727"/>
      <c r="D98" s="727"/>
      <c r="E98" s="727"/>
      <c r="F98" s="727"/>
      <c r="G98" s="727"/>
      <c r="H98" s="727"/>
      <c r="I98" s="727"/>
      <c r="J98" s="727"/>
      <c r="K98" s="727"/>
      <c r="L98" s="727"/>
      <c r="M98" s="727"/>
      <c r="N98" s="792"/>
      <c r="O98" s="802" t="s">
        <v>304</v>
      </c>
      <c r="P98" s="756">
        <v>36</v>
      </c>
      <c r="Q98" s="756">
        <v>31</v>
      </c>
      <c r="R98" s="756"/>
      <c r="S98" s="756"/>
    </row>
    <row r="99" spans="1:19" hidden="1" x14ac:dyDescent="0.35">
      <c r="A99" s="723">
        <v>8</v>
      </c>
      <c r="B99" s="723" t="s">
        <v>62</v>
      </c>
      <c r="C99" s="727"/>
      <c r="D99" s="727"/>
      <c r="E99" s="727"/>
      <c r="F99" s="727"/>
      <c r="G99" s="727"/>
      <c r="H99" s="727"/>
      <c r="I99" s="727"/>
      <c r="J99" s="727"/>
      <c r="K99" s="727"/>
      <c r="L99" s="727"/>
      <c r="M99" s="727"/>
      <c r="N99" s="792"/>
      <c r="O99" s="802" t="s">
        <v>305</v>
      </c>
      <c r="P99" s="756">
        <v>30</v>
      </c>
      <c r="Q99" s="756">
        <v>34</v>
      </c>
      <c r="R99" s="756"/>
      <c r="S99" s="756"/>
    </row>
    <row r="100" spans="1:19" hidden="1" x14ac:dyDescent="0.35">
      <c r="A100" s="723">
        <v>8</v>
      </c>
      <c r="B100" s="723" t="s">
        <v>62</v>
      </c>
      <c r="C100" s="727"/>
      <c r="D100" s="727"/>
      <c r="E100" s="727"/>
      <c r="F100" s="727"/>
      <c r="G100" s="727"/>
      <c r="H100" s="727"/>
      <c r="I100" s="727"/>
      <c r="J100" s="727"/>
      <c r="K100" s="727"/>
      <c r="L100" s="727"/>
      <c r="M100" s="727"/>
      <c r="N100" s="792"/>
      <c r="O100" s="802" t="s">
        <v>306</v>
      </c>
      <c r="P100" s="756">
        <v>53</v>
      </c>
      <c r="Q100" s="756">
        <v>50</v>
      </c>
      <c r="R100" s="756"/>
      <c r="S100" s="756"/>
    </row>
    <row r="101" spans="1:19" hidden="1" x14ac:dyDescent="0.35">
      <c r="A101" s="723">
        <v>8</v>
      </c>
      <c r="B101" s="723" t="s">
        <v>62</v>
      </c>
      <c r="C101" s="727"/>
      <c r="D101" s="727"/>
      <c r="E101" s="727"/>
      <c r="F101" s="727"/>
      <c r="G101" s="727"/>
      <c r="H101" s="727"/>
      <c r="I101" s="727"/>
      <c r="J101" s="727"/>
      <c r="K101" s="727"/>
      <c r="L101" s="727"/>
      <c r="M101" s="727"/>
      <c r="N101" s="792"/>
      <c r="O101" s="802" t="s">
        <v>307</v>
      </c>
      <c r="P101" s="756" t="s">
        <v>314</v>
      </c>
      <c r="Q101" s="756" t="s">
        <v>314</v>
      </c>
      <c r="R101" s="756"/>
      <c r="S101" s="756"/>
    </row>
    <row r="102" spans="1:19" hidden="1" x14ac:dyDescent="0.35">
      <c r="A102" s="723">
        <v>8</v>
      </c>
      <c r="B102" s="723" t="s">
        <v>62</v>
      </c>
      <c r="C102" s="727"/>
      <c r="D102" s="727"/>
      <c r="E102" s="727"/>
      <c r="F102" s="727"/>
      <c r="G102" s="727"/>
      <c r="H102" s="727"/>
      <c r="I102" s="727"/>
      <c r="J102" s="727"/>
      <c r="K102" s="727"/>
      <c r="L102" s="727"/>
      <c r="M102" s="727"/>
      <c r="N102" s="792"/>
      <c r="O102" s="802" t="s">
        <v>308</v>
      </c>
      <c r="P102" s="756">
        <v>38</v>
      </c>
      <c r="Q102" s="756">
        <v>35</v>
      </c>
      <c r="R102" s="756"/>
      <c r="S102" s="756"/>
    </row>
    <row r="103" spans="1:19" hidden="1" x14ac:dyDescent="0.35">
      <c r="A103" s="723">
        <v>8</v>
      </c>
      <c r="B103" s="723" t="s">
        <v>62</v>
      </c>
      <c r="C103" s="727"/>
      <c r="D103" s="727"/>
      <c r="E103" s="727"/>
      <c r="F103" s="727"/>
      <c r="G103" s="727"/>
      <c r="H103" s="727"/>
      <c r="I103" s="727"/>
      <c r="J103" s="727"/>
      <c r="K103" s="727"/>
      <c r="L103" s="727"/>
      <c r="M103" s="727"/>
      <c r="N103" s="809"/>
      <c r="O103" s="814" t="s">
        <v>52</v>
      </c>
      <c r="P103" s="756">
        <v>44</v>
      </c>
      <c r="Q103" s="756">
        <v>52</v>
      </c>
      <c r="R103" s="756"/>
      <c r="S103" s="756"/>
    </row>
    <row r="104" spans="1:19" hidden="1" x14ac:dyDescent="0.35">
      <c r="A104" s="723">
        <v>8</v>
      </c>
      <c r="B104" s="723" t="s">
        <v>62</v>
      </c>
      <c r="C104" s="727"/>
      <c r="D104" s="727"/>
      <c r="E104" s="727"/>
      <c r="F104" s="727"/>
      <c r="G104" s="727"/>
      <c r="H104" s="727"/>
      <c r="I104" s="727"/>
      <c r="J104" s="727"/>
      <c r="K104" s="727"/>
      <c r="L104" s="727"/>
      <c r="M104" s="727"/>
      <c r="N104" s="809"/>
      <c r="O104" s="802" t="s">
        <v>51</v>
      </c>
      <c r="P104" s="756">
        <v>50</v>
      </c>
      <c r="Q104" s="756">
        <v>47</v>
      </c>
      <c r="R104" s="756"/>
      <c r="S104" s="756"/>
    </row>
    <row r="105" spans="1:19" hidden="1" x14ac:dyDescent="0.35">
      <c r="A105" s="723">
        <v>8</v>
      </c>
      <c r="B105" s="723" t="s">
        <v>62</v>
      </c>
      <c r="C105" s="727"/>
      <c r="D105" s="727"/>
      <c r="E105" s="727"/>
      <c r="F105" s="727"/>
      <c r="G105" s="727"/>
      <c r="H105" s="727"/>
      <c r="I105" s="727"/>
      <c r="J105" s="727"/>
      <c r="K105" s="727"/>
      <c r="L105" s="727"/>
      <c r="M105" s="727"/>
      <c r="N105" s="809"/>
      <c r="O105" s="802" t="s">
        <v>309</v>
      </c>
      <c r="P105" s="756" t="s">
        <v>314</v>
      </c>
      <c r="Q105" s="756" t="s">
        <v>314</v>
      </c>
      <c r="R105" s="756"/>
      <c r="S105" s="756"/>
    </row>
    <row r="106" spans="1:19" hidden="1" x14ac:dyDescent="0.35">
      <c r="A106" s="723">
        <v>8</v>
      </c>
      <c r="B106" s="723" t="s">
        <v>62</v>
      </c>
      <c r="C106" s="727"/>
      <c r="D106" s="727"/>
      <c r="E106" s="727"/>
      <c r="F106" s="727"/>
      <c r="G106" s="727"/>
      <c r="H106" s="727"/>
      <c r="I106" s="727"/>
      <c r="J106" s="727"/>
      <c r="K106" s="727"/>
      <c r="L106" s="727"/>
      <c r="M106" s="727"/>
      <c r="N106" s="809"/>
      <c r="O106" s="802" t="s">
        <v>40</v>
      </c>
      <c r="P106" s="756">
        <v>43</v>
      </c>
      <c r="Q106" s="756">
        <v>49</v>
      </c>
      <c r="R106" s="756"/>
      <c r="S106" s="756"/>
    </row>
    <row r="107" spans="1:19" hidden="1" x14ac:dyDescent="0.35">
      <c r="A107" s="723">
        <v>8</v>
      </c>
      <c r="B107" s="723" t="s">
        <v>62</v>
      </c>
      <c r="C107" s="727"/>
      <c r="D107" s="727"/>
      <c r="E107" s="727"/>
      <c r="F107" s="727"/>
      <c r="G107" s="727"/>
      <c r="H107" s="727"/>
      <c r="I107" s="727"/>
      <c r="J107" s="727"/>
      <c r="K107" s="727"/>
      <c r="L107" s="727"/>
      <c r="M107" s="727"/>
      <c r="N107" s="809"/>
      <c r="O107" s="802" t="s">
        <v>310</v>
      </c>
      <c r="P107" s="756">
        <v>45</v>
      </c>
      <c r="Q107" s="756">
        <v>44</v>
      </c>
      <c r="R107" s="756"/>
      <c r="S107" s="756"/>
    </row>
    <row r="108" spans="1:19" hidden="1" x14ac:dyDescent="0.35">
      <c r="A108" s="723">
        <v>8</v>
      </c>
      <c r="B108" s="723" t="s">
        <v>62</v>
      </c>
      <c r="C108" s="727"/>
      <c r="D108" s="727"/>
      <c r="E108" s="727"/>
      <c r="F108" s="727"/>
      <c r="G108" s="727"/>
      <c r="H108" s="727"/>
      <c r="I108" s="727"/>
      <c r="J108" s="727"/>
      <c r="K108" s="727"/>
      <c r="L108" s="727"/>
      <c r="M108" s="727"/>
      <c r="N108" s="809"/>
      <c r="O108" s="802" t="s">
        <v>39</v>
      </c>
      <c r="P108" s="756" t="s">
        <v>314</v>
      </c>
      <c r="Q108" s="756" t="s">
        <v>314</v>
      </c>
      <c r="R108" s="756"/>
      <c r="S108" s="756"/>
    </row>
    <row r="109" spans="1:19" hidden="1" x14ac:dyDescent="0.35">
      <c r="A109" s="723">
        <v>8</v>
      </c>
      <c r="B109" s="723" t="s">
        <v>62</v>
      </c>
      <c r="C109" s="727"/>
      <c r="D109" s="727"/>
      <c r="E109" s="727"/>
      <c r="F109" s="727"/>
      <c r="G109" s="727"/>
      <c r="H109" s="727"/>
      <c r="I109" s="727"/>
      <c r="J109" s="727"/>
      <c r="K109" s="727"/>
      <c r="L109" s="727"/>
      <c r="M109" s="727"/>
      <c r="N109" s="722"/>
      <c r="O109" s="722"/>
      <c r="P109" s="722"/>
      <c r="Q109" s="722"/>
      <c r="R109" s="722"/>
      <c r="S109" s="722"/>
    </row>
    <row r="110" spans="1:19" hidden="1" x14ac:dyDescent="0.35">
      <c r="A110" s="723">
        <v>8</v>
      </c>
      <c r="B110" s="723" t="s">
        <v>62</v>
      </c>
      <c r="C110" s="727"/>
      <c r="D110" s="727"/>
      <c r="E110" s="727"/>
      <c r="F110" s="727"/>
      <c r="G110" s="727"/>
      <c r="H110" s="727"/>
      <c r="I110" s="727"/>
      <c r="J110" s="727"/>
      <c r="K110" s="727"/>
      <c r="L110" s="727"/>
      <c r="M110" s="727"/>
      <c r="N110" s="727"/>
      <c r="O110" s="727"/>
      <c r="P110" s="727"/>
      <c r="Q110" s="727"/>
      <c r="R110" s="727"/>
      <c r="S110" s="727"/>
    </row>
    <row r="111" spans="1:19" hidden="1" x14ac:dyDescent="0.35">
      <c r="A111" s="723">
        <v>8</v>
      </c>
      <c r="B111" s="723" t="s">
        <v>62</v>
      </c>
      <c r="C111" s="727"/>
      <c r="D111" s="727"/>
      <c r="E111" s="727"/>
      <c r="F111" s="727"/>
      <c r="G111" s="727"/>
      <c r="H111" s="727"/>
      <c r="I111" s="727"/>
      <c r="J111" s="727"/>
      <c r="K111" s="727"/>
      <c r="L111" s="727"/>
      <c r="M111" s="727"/>
      <c r="N111" s="727"/>
      <c r="O111" s="727"/>
      <c r="P111" s="727"/>
      <c r="Q111" s="727"/>
      <c r="R111" s="727"/>
      <c r="S111" s="727"/>
    </row>
    <row r="112" spans="1:19" hidden="1" x14ac:dyDescent="0.35">
      <c r="A112" s="723">
        <v>8</v>
      </c>
      <c r="B112" s="723" t="s">
        <v>62</v>
      </c>
      <c r="C112" s="727"/>
    </row>
    <row r="113" spans="1:3" hidden="1" x14ac:dyDescent="0.35">
      <c r="A113" s="723">
        <v>8</v>
      </c>
      <c r="B113" s="723" t="s">
        <v>62</v>
      </c>
      <c r="C113" s="727"/>
    </row>
    <row r="114" spans="1:3" hidden="1" x14ac:dyDescent="0.35">
      <c r="A114" s="723">
        <v>8</v>
      </c>
      <c r="B114" s="723" t="s">
        <v>62</v>
      </c>
      <c r="C114" s="727"/>
    </row>
    <row r="115" spans="1:3" hidden="1" x14ac:dyDescent="0.35">
      <c r="A115" s="723">
        <v>8</v>
      </c>
      <c r="B115" s="723" t="s">
        <v>62</v>
      </c>
      <c r="C115" s="727"/>
    </row>
    <row r="116" spans="1:3" hidden="1" x14ac:dyDescent="0.35">
      <c r="A116" s="723">
        <v>8</v>
      </c>
      <c r="B116" s="723" t="s">
        <v>62</v>
      </c>
      <c r="C116" s="727"/>
    </row>
    <row r="117" spans="1:3" hidden="1" x14ac:dyDescent="0.35">
      <c r="A117" s="723">
        <v>8</v>
      </c>
      <c r="B117" s="723" t="s">
        <v>62</v>
      </c>
      <c r="C117" s="727"/>
    </row>
    <row r="118" spans="1:3" hidden="1" x14ac:dyDescent="0.35">
      <c r="A118" s="723">
        <v>8</v>
      </c>
      <c r="B118" s="723" t="s">
        <v>62</v>
      </c>
      <c r="C118" s="727"/>
    </row>
    <row r="119" spans="1:3" hidden="1" x14ac:dyDescent="0.35">
      <c r="A119" s="723">
        <v>8</v>
      </c>
      <c r="B119" s="723" t="s">
        <v>62</v>
      </c>
      <c r="C119" s="727"/>
    </row>
    <row r="120" spans="1:3" hidden="1" x14ac:dyDescent="0.35">
      <c r="A120" s="723">
        <v>8</v>
      </c>
      <c r="B120" s="723" t="s">
        <v>62</v>
      </c>
      <c r="C120" s="727"/>
    </row>
    <row r="121" spans="1:3" hidden="1" x14ac:dyDescent="0.35">
      <c r="A121" s="723">
        <v>8</v>
      </c>
      <c r="B121" s="723" t="s">
        <v>62</v>
      </c>
      <c r="C121" s="727"/>
    </row>
    <row r="122" spans="1:3" hidden="1" x14ac:dyDescent="0.35">
      <c r="A122" s="723">
        <v>8</v>
      </c>
      <c r="B122" s="723" t="s">
        <v>62</v>
      </c>
      <c r="C122" s="727"/>
    </row>
    <row r="123" spans="1:3" hidden="1" x14ac:dyDescent="0.35">
      <c r="A123" s="723">
        <v>8</v>
      </c>
      <c r="B123" s="723" t="s">
        <v>62</v>
      </c>
      <c r="C123" s="727"/>
    </row>
    <row r="124" spans="1:3" hidden="1" x14ac:dyDescent="0.35">
      <c r="A124" s="723">
        <v>8</v>
      </c>
      <c r="B124" s="723" t="s">
        <v>62</v>
      </c>
      <c r="C124" s="727"/>
    </row>
    <row r="125" spans="1:3" hidden="1" x14ac:dyDescent="0.35">
      <c r="A125" s="723">
        <v>8</v>
      </c>
      <c r="B125" s="723" t="s">
        <v>62</v>
      </c>
      <c r="C125" s="727"/>
    </row>
    <row r="126" spans="1:3" hidden="1" x14ac:dyDescent="0.35">
      <c r="A126" s="723">
        <v>8</v>
      </c>
      <c r="B126" s="723" t="s">
        <v>62</v>
      </c>
      <c r="C126" s="727"/>
    </row>
    <row r="127" spans="1:3" hidden="1" x14ac:dyDescent="0.35">
      <c r="A127" s="723">
        <v>8</v>
      </c>
      <c r="B127" s="723" t="s">
        <v>62</v>
      </c>
      <c r="C127" s="727"/>
    </row>
    <row r="128" spans="1:3" hidden="1" x14ac:dyDescent="0.35">
      <c r="A128" s="723">
        <v>8</v>
      </c>
      <c r="B128" s="723" t="s">
        <v>62</v>
      </c>
      <c r="C128" s="727"/>
    </row>
    <row r="129" spans="1:4" hidden="1" x14ac:dyDescent="0.35">
      <c r="A129" s="723">
        <v>8</v>
      </c>
      <c r="B129" s="723" t="s">
        <v>62</v>
      </c>
      <c r="C129" s="727"/>
    </row>
    <row r="130" spans="1:4" hidden="1" x14ac:dyDescent="0.35">
      <c r="A130" s="723">
        <v>8</v>
      </c>
      <c r="B130" s="723" t="s">
        <v>62</v>
      </c>
      <c r="C130" s="727"/>
    </row>
    <row r="131" spans="1:4" hidden="1" x14ac:dyDescent="0.35">
      <c r="A131" s="723">
        <v>8</v>
      </c>
      <c r="B131" s="723" t="s">
        <v>62</v>
      </c>
      <c r="C131" s="727"/>
    </row>
    <row r="132" spans="1:4" x14ac:dyDescent="0.35">
      <c r="A132" s="723">
        <v>9</v>
      </c>
      <c r="B132" s="723" t="s">
        <v>278</v>
      </c>
      <c r="C132" s="727"/>
      <c r="D132" s="479" t="s">
        <v>354</v>
      </c>
    </row>
    <row r="133" spans="1:4" x14ac:dyDescent="0.35">
      <c r="A133" s="818"/>
      <c r="B133" s="753"/>
      <c r="C133" s="753"/>
    </row>
  </sheetData>
  <mergeCells count="11">
    <mergeCell ref="D64:S64"/>
    <mergeCell ref="D2:S2"/>
    <mergeCell ref="D3:S3"/>
    <mergeCell ref="D4:S4"/>
    <mergeCell ref="Q5:AB5"/>
    <mergeCell ref="D63:S63"/>
    <mergeCell ref="D65:S65"/>
    <mergeCell ref="D76:G76"/>
    <mergeCell ref="D79:D82"/>
    <mergeCell ref="D85:D90"/>
    <mergeCell ref="D93:D94"/>
  </mergeCells>
  <pageMargins left="0.74803149606299202" right="0.74803149606299202" top="0.98425196850393704" bottom="0.98425196850393704" header="0.511811023622047" footer="0.511811023622047"/>
  <pageSetup paperSize="9" scale="45" orientation="landscape" r:id="rId1"/>
  <headerFooter alignWithMargins="0">
    <oddHeader>&amp;C&amp;"-,Bold"DEVELOPMENT INDICATORS 2017</oddHeader>
    <oddFooter>&amp;LDepartment of Planning, Monitoring and Evaluation (DPME). &amp;CPage &amp;P of &amp;N&amp;R&amp;D</oddFooter>
  </headerFooter>
  <colBreaks count="1" manualBreakCount="1">
    <brk id="1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0099"/>
    <pageSetUpPr fitToPage="1"/>
  </sheetPr>
  <dimension ref="A1:AT61"/>
  <sheetViews>
    <sheetView showGridLines="0" view="pageBreakPreview" zoomScaleNormal="100" zoomScaleSheetLayoutView="100" workbookViewId="0">
      <selection activeCell="D36" sqref="D36:W36"/>
    </sheetView>
  </sheetViews>
  <sheetFormatPr defaultColWidth="9.1796875" defaultRowHeight="14.5" x14ac:dyDescent="0.35"/>
  <cols>
    <col min="1" max="1" width="3.81640625" style="86" customWidth="1"/>
    <col min="2" max="2" width="18.81640625" style="83" customWidth="1"/>
    <col min="3" max="3" width="3.81640625" style="84" customWidth="1"/>
    <col min="4" max="4" width="14.81640625" style="4" customWidth="1"/>
    <col min="5" max="7" width="8.1796875" style="4" customWidth="1"/>
    <col min="8" max="8" width="8.1796875" style="822" customWidth="1"/>
    <col min="9" max="9" width="8.1796875" style="4" customWidth="1"/>
    <col min="10" max="10" width="8.1796875" style="822" customWidth="1"/>
    <col min="11" max="11" width="8.1796875" style="4" customWidth="1"/>
    <col min="12" max="12" width="9.1796875" style="822"/>
    <col min="13" max="13" width="9.1796875" style="4"/>
    <col min="14" max="14" width="9.1796875" style="822"/>
    <col min="15" max="15" width="9.1796875" style="4"/>
    <col min="16" max="16" width="9.1796875" style="822"/>
    <col min="17" max="17" width="9.1796875" style="4"/>
    <col min="18" max="18" width="9.1796875" style="822"/>
    <col min="19" max="20" width="9.1796875" style="4"/>
    <col min="21" max="21" width="7.453125" style="4" customWidth="1"/>
    <col min="22" max="22" width="7" style="4" customWidth="1"/>
    <col min="23" max="23" width="7.90625" style="4" customWidth="1"/>
    <col min="24" max="24" width="6.453125" style="4" customWidth="1"/>
    <col min="25" max="16384" width="9.1796875" style="4"/>
  </cols>
  <sheetData>
    <row r="1" spans="1:46" x14ac:dyDescent="0.35">
      <c r="A1" s="819"/>
      <c r="B1" s="820"/>
      <c r="C1" s="820"/>
      <c r="D1" s="85"/>
      <c r="E1" s="85"/>
      <c r="F1" s="85"/>
      <c r="G1" s="85"/>
      <c r="H1" s="821"/>
      <c r="I1" s="85"/>
      <c r="J1" s="821"/>
      <c r="K1" s="85"/>
    </row>
    <row r="2" spans="1:46" ht="13.25" customHeight="1" x14ac:dyDescent="0.35">
      <c r="A2" s="819">
        <v>1</v>
      </c>
      <c r="B2" s="819" t="s">
        <v>0</v>
      </c>
      <c r="C2" s="819">
        <v>15</v>
      </c>
      <c r="D2" s="4648" t="s">
        <v>355</v>
      </c>
      <c r="E2" s="4649"/>
      <c r="F2" s="4649"/>
      <c r="G2" s="4649"/>
      <c r="H2" s="4649"/>
      <c r="I2" s="4649"/>
      <c r="J2" s="4649"/>
      <c r="K2" s="4649"/>
      <c r="L2" s="4649"/>
      <c r="M2" s="4649"/>
      <c r="N2" s="4649"/>
      <c r="O2" s="4649"/>
      <c r="P2" s="4649"/>
      <c r="Q2" s="4649"/>
      <c r="R2" s="4649"/>
      <c r="S2" s="4649"/>
      <c r="T2" s="4649"/>
      <c r="U2" s="4649"/>
      <c r="V2" s="4649"/>
      <c r="W2" s="4650"/>
    </row>
    <row r="3" spans="1:46" ht="13.25" customHeight="1" x14ac:dyDescent="0.35">
      <c r="A3" s="819">
        <v>2</v>
      </c>
      <c r="B3" s="819" t="s">
        <v>2</v>
      </c>
      <c r="C3" s="819"/>
      <c r="D3" s="4648" t="s">
        <v>356</v>
      </c>
      <c r="E3" s="4649"/>
      <c r="F3" s="4649"/>
      <c r="G3" s="4649"/>
      <c r="H3" s="4649"/>
      <c r="I3" s="4649"/>
      <c r="J3" s="4649"/>
      <c r="K3" s="4649"/>
      <c r="L3" s="4649"/>
      <c r="M3" s="4649"/>
      <c r="N3" s="4649"/>
      <c r="O3" s="4649"/>
      <c r="P3" s="4649"/>
      <c r="Q3" s="4649"/>
      <c r="R3" s="4649"/>
      <c r="S3" s="4649"/>
      <c r="T3" s="4649"/>
      <c r="U3" s="4649"/>
      <c r="V3" s="4649"/>
      <c r="W3" s="4650"/>
    </row>
    <row r="4" spans="1:46" ht="13.25" customHeight="1" x14ac:dyDescent="0.35">
      <c r="A4" s="819">
        <v>3</v>
      </c>
      <c r="B4" s="819" t="s">
        <v>4</v>
      </c>
      <c r="C4" s="819"/>
      <c r="D4" s="4648" t="s">
        <v>357</v>
      </c>
      <c r="E4" s="4649"/>
      <c r="F4" s="4649"/>
      <c r="G4" s="4649"/>
      <c r="H4" s="4649"/>
      <c r="I4" s="4649"/>
      <c r="J4" s="4649"/>
      <c r="K4" s="4649"/>
      <c r="L4" s="4649"/>
      <c r="M4" s="4649"/>
      <c r="N4" s="4649"/>
      <c r="O4" s="4649"/>
      <c r="P4" s="4649"/>
      <c r="Q4" s="4649"/>
      <c r="R4" s="4649"/>
      <c r="S4" s="4649"/>
      <c r="T4" s="4649"/>
      <c r="U4" s="4649"/>
      <c r="V4" s="4649"/>
      <c r="W4" s="4650"/>
    </row>
    <row r="5" spans="1:46" ht="13.5" customHeight="1" x14ac:dyDescent="0.35">
      <c r="B5" s="87"/>
      <c r="C5" s="86"/>
      <c r="D5" s="4651"/>
      <c r="E5" s="4652"/>
      <c r="F5" s="4652"/>
      <c r="G5" s="4652"/>
      <c r="H5" s="4652"/>
      <c r="I5" s="4652"/>
      <c r="J5" s="4652"/>
      <c r="K5" s="4652"/>
      <c r="L5" s="4652"/>
      <c r="M5" s="4652"/>
      <c r="N5" s="4652"/>
      <c r="O5" s="4652"/>
      <c r="P5" s="4652"/>
      <c r="Q5" s="4652"/>
      <c r="R5" s="4652"/>
      <c r="S5" s="4652"/>
      <c r="T5" s="4652"/>
      <c r="U5" s="4652"/>
      <c r="V5" s="4652"/>
      <c r="W5" s="4653"/>
      <c r="X5" s="4525"/>
      <c r="Y5" s="4525"/>
      <c r="Z5" s="4525"/>
      <c r="AA5" s="4525"/>
      <c r="AB5" s="4525"/>
      <c r="AD5" s="153"/>
      <c r="AE5" s="153"/>
      <c r="AF5" s="153"/>
      <c r="AG5" s="153"/>
      <c r="AH5" s="153"/>
      <c r="AI5" s="153"/>
      <c r="AJ5" s="153"/>
      <c r="AK5" s="153"/>
      <c r="AL5" s="153"/>
      <c r="AM5" s="153"/>
      <c r="AN5" s="153"/>
      <c r="AO5" s="153"/>
      <c r="AP5" s="153"/>
      <c r="AQ5" s="153"/>
      <c r="AR5" s="153"/>
      <c r="AS5" s="153"/>
    </row>
    <row r="6" spans="1:46" ht="13.5" customHeight="1" x14ac:dyDescent="0.35">
      <c r="B6" s="87"/>
      <c r="C6" s="86"/>
      <c r="D6" s="4678"/>
      <c r="E6" s="4678"/>
      <c r="F6" s="4678"/>
      <c r="G6" s="4678"/>
      <c r="H6" s="4678"/>
      <c r="I6" s="4678"/>
      <c r="J6" s="4678"/>
      <c r="K6" s="4678"/>
      <c r="L6" s="4678"/>
      <c r="M6" s="4678"/>
      <c r="N6" s="4678"/>
      <c r="O6" s="4678"/>
      <c r="P6" s="4678"/>
      <c r="Q6" s="4678"/>
      <c r="R6" s="4678"/>
      <c r="S6" s="4678"/>
      <c r="T6" s="4678"/>
      <c r="U6" s="4678"/>
      <c r="V6" s="4678"/>
      <c r="W6" s="4678"/>
      <c r="AC6" s="153"/>
      <c r="AD6" s="153"/>
      <c r="AE6" s="153"/>
      <c r="AF6" s="153"/>
      <c r="AG6" s="153"/>
      <c r="AH6" s="153"/>
      <c r="AI6" s="153"/>
      <c r="AJ6" s="153"/>
      <c r="AK6" s="153"/>
      <c r="AL6" s="153"/>
      <c r="AM6" s="153"/>
      <c r="AN6" s="153"/>
      <c r="AO6" s="153"/>
      <c r="AP6" s="153"/>
      <c r="AQ6" s="153"/>
      <c r="AR6" s="153"/>
      <c r="AS6" s="153"/>
      <c r="AT6" s="153"/>
    </row>
    <row r="7" spans="1:46" x14ac:dyDescent="0.35">
      <c r="A7" s="819">
        <v>5</v>
      </c>
      <c r="B7" s="819" t="s">
        <v>6</v>
      </c>
      <c r="C7" s="820"/>
      <c r="D7" s="111" t="s">
        <v>85</v>
      </c>
      <c r="E7" s="111" t="s">
        <v>358</v>
      </c>
      <c r="F7" s="111"/>
      <c r="G7" s="111"/>
      <c r="H7" s="824"/>
      <c r="I7" s="109"/>
      <c r="J7" s="824"/>
      <c r="K7" s="109"/>
      <c r="L7" s="825"/>
      <c r="M7" s="85"/>
      <c r="N7" s="821"/>
      <c r="O7" s="85"/>
      <c r="P7" s="821"/>
      <c r="Q7" s="85"/>
      <c r="R7" s="4"/>
    </row>
    <row r="8" spans="1:46" x14ac:dyDescent="0.35">
      <c r="A8" s="819"/>
      <c r="B8" s="820"/>
      <c r="C8" s="826"/>
      <c r="D8" s="195" t="s">
        <v>97</v>
      </c>
      <c r="E8" s="827" t="s">
        <v>14</v>
      </c>
      <c r="F8" s="827" t="s">
        <v>15</v>
      </c>
      <c r="G8" s="827" t="s">
        <v>16</v>
      </c>
      <c r="H8" s="827" t="s">
        <v>17</v>
      </c>
      <c r="I8" s="827" t="s">
        <v>18</v>
      </c>
      <c r="J8" s="827" t="s">
        <v>19</v>
      </c>
      <c r="K8" s="827" t="s">
        <v>20</v>
      </c>
      <c r="L8" s="827" t="s">
        <v>21</v>
      </c>
      <c r="M8" s="827" t="s">
        <v>22</v>
      </c>
      <c r="N8" s="827" t="s">
        <v>23</v>
      </c>
      <c r="O8" s="827" t="s">
        <v>24</v>
      </c>
      <c r="P8" s="827" t="s">
        <v>25</v>
      </c>
      <c r="Q8" s="827" t="s">
        <v>26</v>
      </c>
      <c r="R8" s="827" t="s">
        <v>27</v>
      </c>
      <c r="S8" s="828" t="s">
        <v>28</v>
      </c>
      <c r="T8" s="829" t="s">
        <v>29</v>
      </c>
      <c r="U8" s="830">
        <v>2016</v>
      </c>
      <c r="V8" s="831" t="s">
        <v>31</v>
      </c>
      <c r="W8" s="827" t="s">
        <v>32</v>
      </c>
      <c r="X8" s="832" t="s">
        <v>33</v>
      </c>
    </row>
    <row r="9" spans="1:46" x14ac:dyDescent="0.35">
      <c r="A9" s="819"/>
      <c r="B9" s="820"/>
      <c r="C9" s="826"/>
      <c r="D9" s="833" t="s">
        <v>359</v>
      </c>
      <c r="E9" s="834">
        <v>0.127</v>
      </c>
      <c r="F9" s="834">
        <v>0.251</v>
      </c>
      <c r="G9" s="834">
        <f>+(10+3.4+5)%</f>
        <v>0.184</v>
      </c>
      <c r="H9" s="834">
        <f>+(14.9+4+4.9)%</f>
        <v>0.23799999999999996</v>
      </c>
      <c r="I9" s="834">
        <f>+(11.8+3.7+5.6)%</f>
        <v>0.21100000000000002</v>
      </c>
      <c r="J9" s="834">
        <f>+(17.9+3.7+5.6)%</f>
        <v>0.27199999999999996</v>
      </c>
      <c r="K9" s="834">
        <f>(11.3+4.7+6.2)%</f>
        <v>0.222</v>
      </c>
      <c r="L9" s="834">
        <f>+(18.8+3.9+6.1)%</f>
        <v>0.28799999999999998</v>
      </c>
      <c r="M9" s="834">
        <f>+(13.6+4.7+5.9)%</f>
        <v>0.24200000000000002</v>
      </c>
      <c r="N9" s="834">
        <f>+(20.3+5+6.9)%</f>
        <v>0.32200000000000001</v>
      </c>
      <c r="O9" s="835">
        <f>(12.7+4.6+6.8)%</f>
        <v>0.24099999999999999</v>
      </c>
      <c r="P9" s="835">
        <f>+(18.5+4.8+7.5)%</f>
        <v>0.308</v>
      </c>
      <c r="Q9" s="834">
        <f>(12.3+4.6+7.3)%</f>
        <v>0.24199999999999999</v>
      </c>
      <c r="R9" s="834">
        <f>+(19.8+5.1+8.4)%</f>
        <v>0.33299999999999996</v>
      </c>
      <c r="S9" s="835">
        <v>0.26700000000000002</v>
      </c>
      <c r="T9" s="836">
        <v>0.27600000000000002</v>
      </c>
      <c r="U9" s="836">
        <v>0.28199999999999997</v>
      </c>
      <c r="V9" s="836">
        <v>0.28799999999999998</v>
      </c>
      <c r="W9" s="837">
        <v>0.30099999999999999</v>
      </c>
      <c r="X9" s="838">
        <v>0.311</v>
      </c>
    </row>
    <row r="10" spans="1:46" x14ac:dyDescent="0.35">
      <c r="A10" s="819"/>
      <c r="B10" s="820"/>
      <c r="C10" s="826"/>
      <c r="D10" s="102" t="s">
        <v>360</v>
      </c>
      <c r="E10" s="839">
        <v>0.185</v>
      </c>
      <c r="F10" s="839">
        <v>0.191</v>
      </c>
      <c r="G10" s="839">
        <f>(10.8+5.7+6.3)%</f>
        <v>0.22800000000000001</v>
      </c>
      <c r="H10" s="839">
        <f>+(14.2+6.3+6.8)%</f>
        <v>0.27300000000000002</v>
      </c>
      <c r="I10" s="839">
        <f>+(13.1+5.4+7.2)%</f>
        <v>0.25700000000000001</v>
      </c>
      <c r="J10" s="839">
        <f>+(14.5+6+7)%</f>
        <v>0.27500000000000002</v>
      </c>
      <c r="K10" s="839">
        <f>+(13.4+5.8+7.7)%</f>
        <v>0.26899999999999996</v>
      </c>
      <c r="L10" s="839">
        <f>+(18.1+6.1+8.2)%</f>
        <v>0.32400000000000007</v>
      </c>
      <c r="M10" s="839">
        <f>+(17.3+6.9+8.3)%</f>
        <v>0.32500000000000001</v>
      </c>
      <c r="N10" s="839">
        <f>+(20+6.4+9.1)%</f>
        <v>0.35499999999999998</v>
      </c>
      <c r="O10" s="840">
        <f>+(12.7+4.6+6.8)%</f>
        <v>0.24099999999999999</v>
      </c>
      <c r="P10" s="840">
        <f>+(12.8+7+9.6)%</f>
        <v>0.29399999999999998</v>
      </c>
      <c r="Q10" s="839">
        <f>+(18.4+7.1+9.5)%</f>
        <v>0.35</v>
      </c>
      <c r="R10" s="839">
        <f>(23+7+10.1)%</f>
        <v>0.40100000000000002</v>
      </c>
      <c r="S10" s="840">
        <v>0.376</v>
      </c>
      <c r="T10" s="841">
        <v>0.38800000000000001</v>
      </c>
      <c r="U10" s="841">
        <v>0.40400000000000003</v>
      </c>
      <c r="V10" s="841">
        <v>0.40699999999999997</v>
      </c>
      <c r="W10" s="840">
        <v>0.42299999999999999</v>
      </c>
      <c r="X10" s="842">
        <v>0.42899999999999999</v>
      </c>
    </row>
    <row r="11" spans="1:46" ht="12.75" customHeight="1" x14ac:dyDescent="0.35">
      <c r="A11" s="819"/>
      <c r="B11" s="820"/>
      <c r="C11" s="826"/>
      <c r="D11" s="107"/>
      <c r="E11" s="843"/>
      <c r="F11" s="843"/>
      <c r="G11" s="843"/>
      <c r="H11" s="843"/>
      <c r="I11" s="843"/>
      <c r="J11" s="843"/>
      <c r="K11" s="843"/>
      <c r="L11" s="843"/>
      <c r="M11" s="843"/>
      <c r="N11" s="843"/>
      <c r="O11" s="844"/>
      <c r="P11" s="844"/>
      <c r="Q11" s="843"/>
      <c r="R11" s="843"/>
      <c r="S11" s="116"/>
      <c r="T11" s="116"/>
    </row>
    <row r="12" spans="1:46" ht="12.75" customHeight="1" x14ac:dyDescent="0.35">
      <c r="A12" s="819"/>
      <c r="B12" s="820"/>
      <c r="C12" s="826"/>
      <c r="D12" s="845" t="s">
        <v>74</v>
      </c>
      <c r="E12" s="846" t="s">
        <v>361</v>
      </c>
      <c r="F12" s="843"/>
      <c r="G12" s="843"/>
      <c r="H12" s="843"/>
      <c r="I12" s="843"/>
      <c r="J12" s="843"/>
      <c r="K12" s="843"/>
      <c r="L12" s="843"/>
      <c r="M12" s="843"/>
      <c r="N12" s="843"/>
      <c r="O12" s="844"/>
      <c r="P12" s="844"/>
      <c r="Q12" s="843"/>
      <c r="R12" s="843"/>
      <c r="S12" s="116"/>
      <c r="T12" s="116"/>
    </row>
    <row r="13" spans="1:46" ht="12.75" customHeight="1" x14ac:dyDescent="0.35">
      <c r="A13" s="819"/>
      <c r="B13" s="820"/>
      <c r="C13" s="826"/>
      <c r="D13" s="847" t="s">
        <v>97</v>
      </c>
      <c r="E13" s="848" t="s">
        <v>14</v>
      </c>
      <c r="F13" s="848" t="s">
        <v>15</v>
      </c>
      <c r="G13" s="848" t="s">
        <v>16</v>
      </c>
      <c r="H13" s="848" t="s">
        <v>17</v>
      </c>
      <c r="I13" s="848" t="s">
        <v>18</v>
      </c>
      <c r="J13" s="848" t="s">
        <v>19</v>
      </c>
      <c r="K13" s="848" t="s">
        <v>20</v>
      </c>
      <c r="L13" s="848" t="s">
        <v>21</v>
      </c>
      <c r="M13" s="848" t="s">
        <v>22</v>
      </c>
      <c r="N13" s="848" t="s">
        <v>23</v>
      </c>
      <c r="O13" s="849" t="s">
        <v>24</v>
      </c>
      <c r="P13" s="849" t="s">
        <v>25</v>
      </c>
      <c r="Q13" s="848" t="s">
        <v>26</v>
      </c>
      <c r="R13" s="848" t="s">
        <v>27</v>
      </c>
      <c r="S13" s="849" t="s">
        <v>28</v>
      </c>
      <c r="T13" s="848" t="s">
        <v>29</v>
      </c>
      <c r="U13" s="848">
        <v>2016</v>
      </c>
      <c r="V13" s="850" t="s">
        <v>31</v>
      </c>
      <c r="W13" s="848" t="s">
        <v>32</v>
      </c>
      <c r="X13" s="832" t="s">
        <v>33</v>
      </c>
    </row>
    <row r="14" spans="1:46" x14ac:dyDescent="0.35">
      <c r="A14" s="819"/>
      <c r="B14" s="820"/>
      <c r="C14" s="826"/>
      <c r="D14" s="851" t="s">
        <v>362</v>
      </c>
      <c r="E14" s="852">
        <v>0.124</v>
      </c>
      <c r="F14" s="852">
        <v>0.11899999999999999</v>
      </c>
      <c r="G14" s="852">
        <v>0.13700000000000001</v>
      </c>
      <c r="H14" s="852">
        <v>0.14000000000000001</v>
      </c>
      <c r="I14" s="852">
        <v>0.151</v>
      </c>
      <c r="J14" s="852">
        <v>0.17</v>
      </c>
      <c r="K14" s="852">
        <v>0.216</v>
      </c>
      <c r="L14" s="852">
        <v>0.20599999999999999</v>
      </c>
      <c r="M14" s="852">
        <v>0.182</v>
      </c>
      <c r="N14" s="852">
        <v>0.184</v>
      </c>
      <c r="O14" s="852">
        <v>0.19</v>
      </c>
      <c r="P14" s="853">
        <v>0.19</v>
      </c>
      <c r="Q14" s="852">
        <v>0.19800000000000001</v>
      </c>
      <c r="R14" s="852">
        <v>0.20599999999999999</v>
      </c>
      <c r="S14" s="853">
        <v>0.20899999999999999</v>
      </c>
      <c r="T14" s="854">
        <v>0.214</v>
      </c>
      <c r="U14" s="836">
        <v>0.22</v>
      </c>
      <c r="V14" s="855">
        <v>0.22900000000000001</v>
      </c>
      <c r="W14" s="837">
        <v>0.23499999999999999</v>
      </c>
      <c r="X14" s="856">
        <v>0.24399999999999999</v>
      </c>
    </row>
    <row r="15" spans="1:46" x14ac:dyDescent="0.35">
      <c r="A15" s="819"/>
      <c r="B15" s="820"/>
      <c r="C15" s="826"/>
      <c r="D15" s="857" t="s">
        <v>360</v>
      </c>
      <c r="E15" s="858">
        <v>0.21</v>
      </c>
      <c r="F15" s="858">
        <v>0.17699999999999999</v>
      </c>
      <c r="G15" s="858">
        <v>0.216</v>
      </c>
      <c r="H15" s="858">
        <v>0.223</v>
      </c>
      <c r="I15" s="858">
        <v>0.23699999999999999</v>
      </c>
      <c r="J15" s="858">
        <v>0.23699999999999999</v>
      </c>
      <c r="K15" s="858">
        <v>0.27400000000000002</v>
      </c>
      <c r="L15" s="858">
        <v>0.253</v>
      </c>
      <c r="M15" s="858">
        <v>0.28299999999999997</v>
      </c>
      <c r="N15" s="858">
        <v>0.27200000000000002</v>
      </c>
      <c r="O15" s="858">
        <v>0.19</v>
      </c>
      <c r="P15" s="859">
        <v>0.28199999999999997</v>
      </c>
      <c r="Q15" s="858">
        <v>0.307</v>
      </c>
      <c r="R15" s="858">
        <v>0.29899999999999999</v>
      </c>
      <c r="S15" s="859">
        <v>0.32100000000000001</v>
      </c>
      <c r="T15" s="860">
        <v>0.32400000000000001</v>
      </c>
      <c r="U15" s="859">
        <v>0.33329999999999999</v>
      </c>
      <c r="V15" s="861">
        <v>0.33800000000000002</v>
      </c>
      <c r="W15" s="858">
        <v>0.34499999999999997</v>
      </c>
      <c r="X15" s="862">
        <v>0.35299999999999998</v>
      </c>
    </row>
    <row r="16" spans="1:46" x14ac:dyDescent="0.35">
      <c r="A16" s="819"/>
      <c r="B16" s="820"/>
      <c r="C16" s="826"/>
      <c r="D16" s="863"/>
      <c r="E16" s="843"/>
      <c r="F16" s="843"/>
      <c r="G16" s="843"/>
      <c r="H16" s="864"/>
      <c r="I16" s="843"/>
      <c r="J16" s="864"/>
      <c r="K16" s="843"/>
      <c r="L16" s="864"/>
      <c r="M16" s="843"/>
      <c r="N16" s="864"/>
      <c r="O16" s="843"/>
      <c r="P16" s="865"/>
      <c r="Q16" s="843"/>
      <c r="R16" s="864"/>
    </row>
    <row r="17" spans="1:23" x14ac:dyDescent="0.35">
      <c r="A17" s="819"/>
      <c r="B17" s="820"/>
      <c r="C17" s="826"/>
      <c r="D17" s="107"/>
      <c r="E17" s="866"/>
      <c r="F17" s="866"/>
      <c r="G17" s="866"/>
      <c r="H17" s="864"/>
      <c r="I17" s="866"/>
      <c r="J17" s="864"/>
      <c r="K17" s="866"/>
      <c r="L17" s="864"/>
      <c r="M17" s="866"/>
      <c r="N17" s="864"/>
      <c r="O17" s="867"/>
      <c r="P17" s="865"/>
      <c r="Q17" s="867"/>
    </row>
    <row r="18" spans="1:23" x14ac:dyDescent="0.35">
      <c r="A18" s="819">
        <v>6</v>
      </c>
      <c r="B18" s="819" t="s">
        <v>56</v>
      </c>
      <c r="C18" s="819"/>
      <c r="D18" s="107"/>
      <c r="E18" s="866"/>
      <c r="F18" s="866"/>
      <c r="G18" s="866"/>
      <c r="H18" s="864"/>
      <c r="I18" s="866"/>
      <c r="J18" s="864"/>
      <c r="K18" s="866"/>
      <c r="L18" s="864"/>
      <c r="M18" s="866"/>
      <c r="N18" s="864"/>
      <c r="O18" s="867"/>
      <c r="P18" s="865"/>
      <c r="Q18" s="867"/>
    </row>
    <row r="19" spans="1:23" x14ac:dyDescent="0.35">
      <c r="A19" s="819"/>
      <c r="B19" s="820"/>
      <c r="C19" s="826"/>
      <c r="D19" s="107"/>
      <c r="E19" s="866"/>
      <c r="F19" s="866"/>
      <c r="G19" s="866"/>
      <c r="H19" s="864"/>
      <c r="I19" s="866"/>
      <c r="J19" s="864"/>
      <c r="K19" s="866"/>
      <c r="L19" s="864"/>
      <c r="M19" s="866"/>
      <c r="N19" s="864"/>
      <c r="O19" s="867"/>
      <c r="P19" s="865"/>
      <c r="Q19" s="867"/>
    </row>
    <row r="20" spans="1:23" x14ac:dyDescent="0.35">
      <c r="A20" s="819"/>
      <c r="B20" s="820"/>
      <c r="C20" s="826"/>
      <c r="D20" s="107"/>
      <c r="E20" s="866"/>
      <c r="F20" s="866"/>
      <c r="G20" s="866"/>
      <c r="H20" s="864"/>
      <c r="I20" s="866"/>
      <c r="J20" s="864"/>
      <c r="K20" s="866"/>
      <c r="L20" s="864"/>
      <c r="M20" s="866"/>
      <c r="N20" s="864"/>
      <c r="O20" s="867"/>
      <c r="P20" s="865"/>
      <c r="Q20" s="867"/>
    </row>
    <row r="21" spans="1:23" x14ac:dyDescent="0.35">
      <c r="A21" s="819"/>
      <c r="B21" s="820"/>
      <c r="C21" s="826"/>
      <c r="D21" s="107"/>
      <c r="E21" s="866"/>
      <c r="F21" s="866"/>
      <c r="G21" s="866"/>
      <c r="H21" s="864"/>
      <c r="I21" s="866"/>
      <c r="J21" s="864"/>
      <c r="K21" s="866"/>
      <c r="L21" s="864"/>
      <c r="M21" s="866"/>
      <c r="N21" s="864"/>
      <c r="O21" s="867"/>
      <c r="P21" s="865"/>
      <c r="Q21" s="867"/>
      <c r="W21" s="67"/>
    </row>
    <row r="22" spans="1:23" x14ac:dyDescent="0.35">
      <c r="A22" s="819"/>
      <c r="B22" s="820"/>
      <c r="C22" s="826"/>
      <c r="D22" s="107"/>
      <c r="E22" s="866"/>
      <c r="F22" s="866"/>
      <c r="G22" s="866"/>
      <c r="H22" s="864"/>
      <c r="I22" s="866"/>
      <c r="J22" s="864"/>
      <c r="K22" s="866"/>
      <c r="L22" s="864"/>
      <c r="M22" s="866"/>
      <c r="N22" s="864"/>
      <c r="O22" s="867"/>
      <c r="P22" s="865"/>
      <c r="Q22" s="867"/>
    </row>
    <row r="23" spans="1:23" x14ac:dyDescent="0.35">
      <c r="A23" s="819"/>
      <c r="B23" s="820"/>
      <c r="C23" s="826"/>
      <c r="D23" s="107"/>
      <c r="E23" s="866"/>
      <c r="F23" s="866"/>
      <c r="G23" s="866"/>
      <c r="H23" s="864"/>
      <c r="I23" s="866"/>
      <c r="J23" s="864"/>
      <c r="K23" s="866"/>
      <c r="L23" s="864"/>
      <c r="M23" s="866"/>
      <c r="N23" s="864"/>
      <c r="O23" s="867"/>
      <c r="P23" s="865"/>
      <c r="Q23" s="867"/>
    </row>
    <row r="24" spans="1:23" x14ac:dyDescent="0.35">
      <c r="A24" s="819"/>
      <c r="B24" s="820"/>
      <c r="C24" s="826"/>
      <c r="D24" s="107"/>
      <c r="E24" s="866"/>
      <c r="F24" s="866"/>
      <c r="G24" s="866"/>
      <c r="H24" s="864"/>
      <c r="I24" s="866"/>
      <c r="J24" s="864"/>
      <c r="K24" s="866"/>
      <c r="L24" s="864"/>
      <c r="M24" s="866"/>
      <c r="N24" s="864"/>
      <c r="O24" s="867"/>
      <c r="P24" s="865"/>
      <c r="Q24" s="867"/>
    </row>
    <row r="25" spans="1:23" x14ac:dyDescent="0.35">
      <c r="A25" s="819"/>
      <c r="B25" s="820"/>
      <c r="C25" s="826"/>
      <c r="D25" s="107"/>
      <c r="E25" s="866"/>
      <c r="F25" s="866"/>
      <c r="G25" s="866"/>
      <c r="H25" s="864"/>
      <c r="I25" s="866"/>
      <c r="J25" s="864"/>
      <c r="K25" s="866"/>
      <c r="L25" s="864"/>
      <c r="M25" s="866"/>
      <c r="N25" s="864"/>
      <c r="O25" s="867"/>
      <c r="P25" s="865"/>
      <c r="Q25" s="867"/>
    </row>
    <row r="26" spans="1:23" x14ac:dyDescent="0.35">
      <c r="A26" s="819"/>
      <c r="B26" s="820"/>
      <c r="C26" s="826"/>
      <c r="D26" s="107"/>
      <c r="E26" s="866"/>
      <c r="F26" s="866"/>
      <c r="G26" s="866"/>
      <c r="H26" s="864"/>
      <c r="I26" s="866"/>
      <c r="J26" s="864"/>
      <c r="K26" s="866"/>
      <c r="L26" s="864"/>
      <c r="M26" s="866"/>
      <c r="N26" s="864"/>
      <c r="O26" s="867"/>
      <c r="P26" s="865"/>
      <c r="Q26" s="867"/>
    </row>
    <row r="27" spans="1:23" x14ac:dyDescent="0.35">
      <c r="A27" s="819"/>
      <c r="B27" s="820"/>
      <c r="C27" s="826"/>
      <c r="D27" s="107"/>
      <c r="E27" s="866"/>
      <c r="F27" s="866"/>
      <c r="G27" s="866"/>
      <c r="H27" s="864"/>
      <c r="I27" s="866"/>
      <c r="J27" s="864"/>
      <c r="K27" s="866"/>
      <c r="L27" s="864"/>
      <c r="M27" s="866"/>
      <c r="N27" s="864"/>
      <c r="O27" s="867"/>
      <c r="P27" s="865"/>
      <c r="Q27" s="867"/>
    </row>
    <row r="28" spans="1:23" x14ac:dyDescent="0.35">
      <c r="A28" s="4"/>
      <c r="B28" s="820"/>
      <c r="C28" s="826"/>
      <c r="D28" s="107"/>
      <c r="E28" s="866"/>
      <c r="F28" s="866"/>
      <c r="G28" s="866"/>
      <c r="H28" s="864"/>
      <c r="I28" s="866"/>
      <c r="J28" s="864"/>
      <c r="K28" s="866"/>
      <c r="L28" s="864"/>
      <c r="M28" s="866"/>
      <c r="N28" s="864"/>
      <c r="O28" s="867"/>
      <c r="P28" s="865"/>
      <c r="Q28" s="867"/>
    </row>
    <row r="29" spans="1:23" x14ac:dyDescent="0.35">
      <c r="A29" s="4"/>
      <c r="B29" s="820"/>
      <c r="C29" s="826"/>
      <c r="D29" s="107"/>
      <c r="E29" s="866"/>
      <c r="F29" s="866"/>
      <c r="G29" s="866"/>
      <c r="H29" s="864"/>
      <c r="I29" s="866"/>
      <c r="J29" s="864"/>
      <c r="K29" s="866"/>
      <c r="L29" s="864"/>
      <c r="M29" s="866"/>
      <c r="N29" s="864"/>
      <c r="O29" s="867"/>
      <c r="P29" s="865"/>
      <c r="Q29" s="867"/>
    </row>
    <row r="30" spans="1:23" x14ac:dyDescent="0.35">
      <c r="A30" s="4"/>
      <c r="B30" s="820"/>
      <c r="C30" s="826"/>
      <c r="D30" s="107"/>
      <c r="E30" s="866"/>
      <c r="F30" s="866"/>
      <c r="G30" s="866"/>
      <c r="H30" s="864"/>
      <c r="I30" s="866"/>
      <c r="J30" s="864"/>
      <c r="K30" s="866"/>
      <c r="L30" s="864"/>
      <c r="M30" s="866"/>
      <c r="N30" s="864"/>
      <c r="O30" s="867"/>
      <c r="P30" s="865"/>
      <c r="Q30" s="867"/>
    </row>
    <row r="31" spans="1:23" x14ac:dyDescent="0.35">
      <c r="A31" s="4"/>
      <c r="B31" s="820"/>
      <c r="C31" s="826"/>
      <c r="D31" s="107"/>
      <c r="E31" s="866"/>
      <c r="F31" s="866"/>
      <c r="G31" s="866"/>
      <c r="H31" s="864"/>
      <c r="I31" s="866"/>
      <c r="J31" s="864"/>
      <c r="K31" s="866"/>
      <c r="L31" s="864"/>
      <c r="M31" s="866"/>
      <c r="N31" s="864"/>
      <c r="O31" s="867"/>
      <c r="P31" s="865"/>
      <c r="Q31" s="867"/>
    </row>
    <row r="32" spans="1:23" ht="12.75" customHeight="1" x14ac:dyDescent="0.35">
      <c r="A32" s="819"/>
      <c r="B32" s="820"/>
      <c r="C32" s="826"/>
      <c r="D32" s="107"/>
      <c r="E32" s="866"/>
      <c r="F32" s="866"/>
      <c r="G32" s="866"/>
      <c r="H32" s="868"/>
      <c r="I32" s="107"/>
      <c r="J32" s="869"/>
      <c r="K32" s="107"/>
      <c r="L32" s="868"/>
      <c r="M32" s="108"/>
      <c r="N32" s="868"/>
      <c r="O32" s="12"/>
      <c r="P32" s="823"/>
    </row>
    <row r="33" spans="1:28" x14ac:dyDescent="0.35">
      <c r="A33" s="819">
        <v>7</v>
      </c>
      <c r="B33" s="819" t="s">
        <v>58</v>
      </c>
      <c r="C33" s="819"/>
      <c r="D33" s="4648" t="s">
        <v>363</v>
      </c>
      <c r="E33" s="4649"/>
      <c r="F33" s="4649"/>
      <c r="G33" s="4649"/>
      <c r="H33" s="4649"/>
      <c r="I33" s="4649"/>
      <c r="J33" s="4649"/>
      <c r="K33" s="4649"/>
      <c r="L33" s="4649"/>
      <c r="M33" s="4649"/>
      <c r="N33" s="4649"/>
      <c r="O33" s="4649"/>
      <c r="P33" s="4649"/>
      <c r="Q33" s="4649"/>
      <c r="R33" s="4649"/>
      <c r="S33" s="4649"/>
      <c r="T33" s="4649"/>
      <c r="U33" s="4649"/>
      <c r="V33" s="4649"/>
      <c r="W33" s="4650"/>
    </row>
    <row r="34" spans="1:28" ht="13.25" customHeight="1" x14ac:dyDescent="0.35">
      <c r="A34" s="819">
        <v>8</v>
      </c>
      <c r="B34" s="870" t="s">
        <v>60</v>
      </c>
      <c r="C34" s="870"/>
      <c r="D34" s="4648" t="s">
        <v>364</v>
      </c>
      <c r="E34" s="4649"/>
      <c r="F34" s="4649"/>
      <c r="G34" s="4649"/>
      <c r="H34" s="4649"/>
      <c r="I34" s="4649"/>
      <c r="J34" s="4649"/>
      <c r="K34" s="4649"/>
      <c r="L34" s="4649"/>
      <c r="M34" s="4649"/>
      <c r="N34" s="4649"/>
      <c r="O34" s="4649"/>
      <c r="P34" s="4649"/>
      <c r="Q34" s="4649"/>
      <c r="R34" s="4649"/>
      <c r="S34" s="4649"/>
      <c r="T34" s="4649"/>
      <c r="U34" s="4649"/>
      <c r="V34" s="4649"/>
      <c r="W34" s="4650"/>
    </row>
    <row r="35" spans="1:28" ht="57.65" customHeight="1" x14ac:dyDescent="0.35">
      <c r="A35" s="819">
        <v>9</v>
      </c>
      <c r="B35" s="870" t="s">
        <v>278</v>
      </c>
      <c r="C35" s="870"/>
      <c r="D35" s="4651" t="s">
        <v>371</v>
      </c>
      <c r="E35" s="4652"/>
      <c r="F35" s="4652"/>
      <c r="G35" s="4652"/>
      <c r="H35" s="4652"/>
      <c r="I35" s="4652"/>
      <c r="J35" s="4652"/>
      <c r="K35" s="4652"/>
      <c r="L35" s="4652"/>
      <c r="M35" s="4652"/>
      <c r="N35" s="4652"/>
      <c r="O35" s="4652"/>
      <c r="P35" s="4652"/>
      <c r="Q35" s="4652"/>
      <c r="R35" s="4652"/>
      <c r="S35" s="4652"/>
      <c r="T35" s="4652"/>
      <c r="U35" s="4652"/>
      <c r="V35" s="4652"/>
      <c r="W35" s="4653"/>
      <c r="AB35" s="116"/>
    </row>
    <row r="36" spans="1:28" ht="13.25" customHeight="1" x14ac:dyDescent="0.35">
      <c r="A36" s="819">
        <v>10</v>
      </c>
      <c r="B36" s="819" t="s">
        <v>62</v>
      </c>
      <c r="C36" s="819"/>
      <c r="D36" s="4648" t="s">
        <v>365</v>
      </c>
      <c r="E36" s="4649"/>
      <c r="F36" s="4649"/>
      <c r="G36" s="4649"/>
      <c r="H36" s="4649"/>
      <c r="I36" s="4649"/>
      <c r="J36" s="4649"/>
      <c r="K36" s="4649"/>
      <c r="L36" s="4649"/>
      <c r="M36" s="4649"/>
      <c r="N36" s="4649"/>
      <c r="O36" s="4649"/>
      <c r="P36" s="4649"/>
      <c r="Q36" s="4649"/>
      <c r="R36" s="4649"/>
      <c r="S36" s="4649"/>
      <c r="T36" s="4649"/>
      <c r="U36" s="4649"/>
      <c r="V36" s="4649"/>
      <c r="W36" s="4650"/>
    </row>
    <row r="37" spans="1:28" x14ac:dyDescent="0.35">
      <c r="D37" s="871"/>
      <c r="L37" s="868"/>
      <c r="M37" s="108"/>
      <c r="N37" s="868"/>
      <c r="O37" s="12"/>
      <c r="P37" s="823"/>
    </row>
    <row r="38" spans="1:28" x14ac:dyDescent="0.35">
      <c r="L38" s="868"/>
      <c r="M38" s="108"/>
      <c r="N38" s="868"/>
      <c r="O38" s="12"/>
      <c r="P38" s="823"/>
    </row>
    <row r="39" spans="1:28" x14ac:dyDescent="0.35">
      <c r="D39" s="85"/>
      <c r="E39" s="109"/>
      <c r="F39" s="109"/>
      <c r="G39" s="109"/>
      <c r="H39" s="825"/>
      <c r="I39" s="109"/>
      <c r="J39" s="825"/>
      <c r="K39" s="85"/>
      <c r="L39" s="868"/>
      <c r="M39" s="108"/>
      <c r="N39" s="868"/>
      <c r="O39" s="12"/>
      <c r="P39" s="823"/>
    </row>
    <row r="40" spans="1:28" x14ac:dyDescent="0.35">
      <c r="L40" s="823"/>
      <c r="M40" s="12"/>
      <c r="N40" s="823"/>
      <c r="O40" s="12"/>
      <c r="P40" s="823"/>
    </row>
    <row r="41" spans="1:28" x14ac:dyDescent="0.35">
      <c r="L41" s="868"/>
      <c r="M41" s="12"/>
      <c r="N41" s="868"/>
    </row>
    <row r="43" spans="1:28" x14ac:dyDescent="0.35">
      <c r="B43" s="872"/>
      <c r="C43" s="117"/>
      <c r="D43" s="59"/>
      <c r="E43" s="59"/>
      <c r="F43" s="59"/>
      <c r="G43" s="59"/>
      <c r="H43" s="59"/>
      <c r="I43" s="59"/>
      <c r="J43" s="59"/>
      <c r="K43" s="59"/>
      <c r="L43" s="59"/>
      <c r="M43" s="59"/>
      <c r="N43" s="59"/>
      <c r="O43" s="59"/>
      <c r="P43" s="59"/>
      <c r="Q43" s="59"/>
      <c r="R43" s="59"/>
      <c r="S43" s="59"/>
      <c r="T43" s="59"/>
      <c r="U43" s="59"/>
      <c r="V43" s="59"/>
      <c r="W43" s="59"/>
    </row>
    <row r="44" spans="1:28" x14ac:dyDescent="0.35">
      <c r="B44" s="872"/>
      <c r="C44" s="117"/>
      <c r="D44" s="59"/>
      <c r="E44" s="59"/>
      <c r="F44" s="59"/>
      <c r="G44" s="59"/>
      <c r="H44" s="59"/>
      <c r="I44" s="59"/>
      <c r="J44" s="59"/>
      <c r="K44" s="59"/>
      <c r="L44" s="59"/>
      <c r="M44" s="59"/>
      <c r="N44" s="59"/>
      <c r="O44" s="59"/>
      <c r="P44" s="59"/>
      <c r="Q44" s="59"/>
      <c r="R44" s="59"/>
      <c r="S44" s="59"/>
      <c r="T44" s="59"/>
      <c r="U44" s="59"/>
      <c r="V44" s="59"/>
      <c r="W44" s="59"/>
    </row>
    <row r="45" spans="1:28" x14ac:dyDescent="0.35">
      <c r="B45" s="872"/>
      <c r="C45" s="117"/>
      <c r="D45" s="59"/>
      <c r="E45" s="59"/>
      <c r="F45" s="59"/>
      <c r="G45" s="59"/>
      <c r="H45" s="59"/>
      <c r="I45" s="59"/>
      <c r="J45" s="59"/>
      <c r="K45" s="59"/>
      <c r="L45" s="59"/>
      <c r="M45" s="59"/>
      <c r="N45" s="59"/>
      <c r="O45" s="59"/>
      <c r="P45" s="59"/>
      <c r="Q45" s="59"/>
      <c r="R45" s="59"/>
      <c r="S45" s="59"/>
      <c r="T45" s="59"/>
      <c r="U45" s="59"/>
      <c r="V45" s="59"/>
      <c r="W45" s="59"/>
    </row>
    <row r="46" spans="1:28" x14ac:dyDescent="0.35">
      <c r="B46" s="872"/>
      <c r="C46" s="117"/>
      <c r="D46" s="111" t="s">
        <v>85</v>
      </c>
      <c r="E46" s="111" t="s">
        <v>366</v>
      </c>
      <c r="F46" s="111"/>
      <c r="G46" s="111"/>
      <c r="H46" s="111"/>
      <c r="I46" s="109"/>
      <c r="J46" s="111"/>
      <c r="K46" s="109"/>
      <c r="L46" s="109"/>
      <c r="M46" s="873"/>
      <c r="N46" s="873"/>
      <c r="O46" s="873"/>
      <c r="P46" s="873"/>
      <c r="Q46" s="873"/>
      <c r="R46" s="874"/>
      <c r="S46" s="874"/>
      <c r="T46" s="874"/>
      <c r="U46" s="874"/>
      <c r="V46" s="874"/>
      <c r="W46" s="874"/>
    </row>
    <row r="47" spans="1:28" x14ac:dyDescent="0.35">
      <c r="B47" s="872"/>
      <c r="C47" s="117"/>
      <c r="D47" s="875"/>
      <c r="E47" s="876" t="s">
        <v>14</v>
      </c>
      <c r="F47" s="876" t="s">
        <v>15</v>
      </c>
      <c r="G47" s="876" t="s">
        <v>16</v>
      </c>
      <c r="H47" s="876" t="s">
        <v>17</v>
      </c>
      <c r="I47" s="876" t="s">
        <v>18</v>
      </c>
      <c r="J47" s="876" t="s">
        <v>19</v>
      </c>
      <c r="K47" s="876" t="s">
        <v>20</v>
      </c>
      <c r="L47" s="876" t="s">
        <v>21</v>
      </c>
      <c r="M47" s="876" t="s">
        <v>22</v>
      </c>
      <c r="N47" s="876" t="s">
        <v>23</v>
      </c>
      <c r="O47" s="876" t="s">
        <v>24</v>
      </c>
      <c r="P47" s="876" t="s">
        <v>25</v>
      </c>
      <c r="Q47" s="876" t="s">
        <v>26</v>
      </c>
      <c r="R47" s="876">
        <v>2013</v>
      </c>
      <c r="S47" s="876" t="s">
        <v>28</v>
      </c>
      <c r="T47" s="877" t="s">
        <v>29</v>
      </c>
      <c r="U47" s="876" t="s">
        <v>30</v>
      </c>
      <c r="V47" s="850" t="s">
        <v>31</v>
      </c>
      <c r="W47" s="848" t="s">
        <v>32</v>
      </c>
      <c r="X47" s="832" t="s">
        <v>33</v>
      </c>
    </row>
    <row r="48" spans="1:28" x14ac:dyDescent="0.35">
      <c r="B48" s="872"/>
      <c r="C48" s="117"/>
      <c r="D48" s="107" t="s">
        <v>367</v>
      </c>
      <c r="E48" s="866">
        <v>0.127</v>
      </c>
      <c r="F48" s="866">
        <v>0.251</v>
      </c>
      <c r="G48" s="866">
        <f>+(10+3.4+5)%</f>
        <v>0.184</v>
      </c>
      <c r="H48" s="866">
        <f>+(14.9+4+4.9)%</f>
        <v>0.23799999999999996</v>
      </c>
      <c r="I48" s="866">
        <f>+(11.8+3.7+5.6)%</f>
        <v>0.21100000000000002</v>
      </c>
      <c r="J48" s="866">
        <f>+(17.9+3.7+5.6)%</f>
        <v>0.27199999999999996</v>
      </c>
      <c r="K48" s="866">
        <f>(11.3+4.7+6.2)%</f>
        <v>0.222</v>
      </c>
      <c r="L48" s="866">
        <f>+(18.8+3.9+6.1)%</f>
        <v>0.28799999999999998</v>
      </c>
      <c r="M48" s="866">
        <f>+(13.6+4.7+5.9)%</f>
        <v>0.24200000000000002</v>
      </c>
      <c r="N48" s="866">
        <f>+(20.3+5+6.9)%</f>
        <v>0.32200000000000001</v>
      </c>
      <c r="O48" s="867">
        <f>(12.7+4.6+6.8)%</f>
        <v>0.24099999999999999</v>
      </c>
      <c r="P48" s="867">
        <f>+(18.5+4.8+7.5)%</f>
        <v>0.308</v>
      </c>
      <c r="Q48" s="866">
        <f>(12.3+4.6+7.3)%</f>
        <v>0.24199999999999999</v>
      </c>
      <c r="R48" s="866">
        <f>+(19.8+5.1+8.4)%</f>
        <v>0.33299999999999996</v>
      </c>
      <c r="S48" s="878">
        <v>0.26700000000000002</v>
      </c>
      <c r="T48" s="878">
        <v>0.27600000000000002</v>
      </c>
      <c r="U48" s="878">
        <v>0.28199999999999997</v>
      </c>
      <c r="V48" s="879">
        <v>0.28799999999999998</v>
      </c>
      <c r="W48" s="880">
        <v>0.30099999999999999</v>
      </c>
      <c r="X48" s="838">
        <v>0.311</v>
      </c>
    </row>
    <row r="49" spans="2:29" ht="21.5" x14ac:dyDescent="0.35">
      <c r="B49" s="872"/>
      <c r="C49" s="117"/>
      <c r="D49" s="881" t="s">
        <v>368</v>
      </c>
      <c r="E49" s="882">
        <v>0.185</v>
      </c>
      <c r="F49" s="882">
        <v>0.191</v>
      </c>
      <c r="G49" s="882">
        <f>(10.8+5.7+6.3)%</f>
        <v>0.22800000000000001</v>
      </c>
      <c r="H49" s="882">
        <f>+(14.2+6.3+6.8)%</f>
        <v>0.27300000000000002</v>
      </c>
      <c r="I49" s="882">
        <f>+(13.1+5.4+7.2)%</f>
        <v>0.25700000000000001</v>
      </c>
      <c r="J49" s="882">
        <f>+(14.5+6+7)%</f>
        <v>0.27500000000000002</v>
      </c>
      <c r="K49" s="882">
        <f>+(13.4+5.8+7.7)%</f>
        <v>0.26899999999999996</v>
      </c>
      <c r="L49" s="882">
        <f>+(18.1+6.1+8.2)%</f>
        <v>0.32400000000000007</v>
      </c>
      <c r="M49" s="882">
        <f>+(17.3+6.9+8.3)%</f>
        <v>0.32500000000000001</v>
      </c>
      <c r="N49" s="882">
        <f>+(20+6.4+9.1)%</f>
        <v>0.35499999999999998</v>
      </c>
      <c r="O49" s="883">
        <f>+(12.7+4.6+6.8)%</f>
        <v>0.24099999999999999</v>
      </c>
      <c r="P49" s="883">
        <f>+(12.8+7+9.6)%</f>
        <v>0.29399999999999998</v>
      </c>
      <c r="Q49" s="884">
        <f>+(18.4+7.1+9.5)%</f>
        <v>0.35</v>
      </c>
      <c r="R49" s="884">
        <f>(23+7+10.1)%</f>
        <v>0.40100000000000002</v>
      </c>
      <c r="S49" s="885">
        <v>0.376</v>
      </c>
      <c r="T49" s="885">
        <v>0.38800000000000001</v>
      </c>
      <c r="U49" s="885">
        <v>0.40400000000000003</v>
      </c>
      <c r="V49" s="886">
        <v>0.40699999999999997</v>
      </c>
      <c r="W49" s="840">
        <v>0.42299999999999999</v>
      </c>
      <c r="X49" s="842">
        <v>0.42899999999999999</v>
      </c>
    </row>
    <row r="50" spans="2:29" x14ac:dyDescent="0.35">
      <c r="B50" s="872"/>
      <c r="C50" s="117"/>
      <c r="D50" s="107"/>
      <c r="E50" s="866"/>
      <c r="F50" s="866"/>
      <c r="G50" s="866"/>
      <c r="H50" s="866"/>
      <c r="I50" s="866"/>
      <c r="J50" s="866"/>
      <c r="K50" s="866"/>
      <c r="L50" s="866"/>
      <c r="M50" s="866"/>
      <c r="N50" s="866"/>
      <c r="O50" s="867"/>
      <c r="P50" s="867"/>
      <c r="Q50" s="867"/>
      <c r="R50" s="874"/>
      <c r="S50" s="874"/>
      <c r="T50" s="874"/>
      <c r="U50" s="874"/>
      <c r="V50" s="874"/>
      <c r="W50" s="874"/>
    </row>
    <row r="51" spans="2:29" x14ac:dyDescent="0.35">
      <c r="B51" s="872"/>
      <c r="C51" s="117"/>
      <c r="D51" s="164" t="s">
        <v>74</v>
      </c>
      <c r="E51" s="887" t="s">
        <v>361</v>
      </c>
      <c r="F51" s="866"/>
      <c r="G51" s="866"/>
      <c r="H51" s="866"/>
      <c r="I51" s="866"/>
      <c r="J51" s="866"/>
      <c r="K51" s="866"/>
      <c r="L51" s="866"/>
      <c r="M51" s="866"/>
      <c r="N51" s="866"/>
      <c r="O51" s="867"/>
      <c r="P51" s="867"/>
      <c r="Q51" s="867"/>
      <c r="R51" s="874"/>
      <c r="S51" s="874"/>
      <c r="T51" s="874"/>
      <c r="U51" s="874"/>
      <c r="V51" s="874"/>
      <c r="W51" s="874"/>
    </row>
    <row r="52" spans="2:29" x14ac:dyDescent="0.35">
      <c r="B52" s="872"/>
      <c r="C52" s="117"/>
      <c r="D52" s="888"/>
      <c r="E52" s="876" t="s">
        <v>14</v>
      </c>
      <c r="F52" s="876" t="s">
        <v>15</v>
      </c>
      <c r="G52" s="876" t="s">
        <v>16</v>
      </c>
      <c r="H52" s="876" t="s">
        <v>17</v>
      </c>
      <c r="I52" s="876" t="s">
        <v>18</v>
      </c>
      <c r="J52" s="876" t="s">
        <v>19</v>
      </c>
      <c r="K52" s="876" t="s">
        <v>20</v>
      </c>
      <c r="L52" s="876" t="s">
        <v>21</v>
      </c>
      <c r="M52" s="876" t="s">
        <v>22</v>
      </c>
      <c r="N52" s="876" t="s">
        <v>23</v>
      </c>
      <c r="O52" s="889" t="s">
        <v>24</v>
      </c>
      <c r="P52" s="889" t="s">
        <v>25</v>
      </c>
      <c r="Q52" s="889" t="s">
        <v>26</v>
      </c>
      <c r="R52" s="889">
        <v>2013</v>
      </c>
      <c r="S52" s="876" t="s">
        <v>28</v>
      </c>
      <c r="T52" s="876" t="s">
        <v>29</v>
      </c>
      <c r="U52" s="876" t="s">
        <v>30</v>
      </c>
      <c r="V52" s="850" t="s">
        <v>31</v>
      </c>
      <c r="W52" s="848" t="s">
        <v>32</v>
      </c>
      <c r="X52" s="832" t="s">
        <v>33</v>
      </c>
    </row>
    <row r="53" spans="2:29" ht="21.5" x14ac:dyDescent="0.35">
      <c r="B53" s="872"/>
      <c r="C53" s="117"/>
      <c r="D53" s="107" t="s">
        <v>369</v>
      </c>
      <c r="E53" s="866">
        <v>0.124</v>
      </c>
      <c r="F53" s="866">
        <v>0.11899999999999999</v>
      </c>
      <c r="G53" s="866">
        <v>0.13700000000000001</v>
      </c>
      <c r="H53" s="866">
        <v>0.14000000000000001</v>
      </c>
      <c r="I53" s="866">
        <v>0.151</v>
      </c>
      <c r="J53" s="866">
        <v>0.17</v>
      </c>
      <c r="K53" s="866">
        <v>0.216</v>
      </c>
      <c r="L53" s="866">
        <v>0.20599999999999999</v>
      </c>
      <c r="M53" s="866">
        <v>0.182</v>
      </c>
      <c r="N53" s="866">
        <v>0.184</v>
      </c>
      <c r="O53" s="866">
        <v>0.19</v>
      </c>
      <c r="P53" s="867">
        <v>0.19</v>
      </c>
      <c r="Q53" s="866">
        <v>0.19800000000000001</v>
      </c>
      <c r="R53" s="866">
        <v>0.20599999999999999</v>
      </c>
      <c r="S53" s="878">
        <v>0.20899999999999999</v>
      </c>
      <c r="T53" s="878">
        <v>0.214</v>
      </c>
      <c r="U53" s="878">
        <v>0.22</v>
      </c>
      <c r="V53" s="855">
        <v>0.22900000000000001</v>
      </c>
      <c r="W53" s="837">
        <v>0.23499999999999999</v>
      </c>
      <c r="X53" s="856">
        <v>0.24399999999999999</v>
      </c>
    </row>
    <row r="54" spans="2:29" ht="21.5" x14ac:dyDescent="0.35">
      <c r="B54" s="872"/>
      <c r="C54" s="117"/>
      <c r="D54" s="881" t="s">
        <v>370</v>
      </c>
      <c r="E54" s="882">
        <v>0.21</v>
      </c>
      <c r="F54" s="882">
        <v>0.17699999999999999</v>
      </c>
      <c r="G54" s="882">
        <v>0.216</v>
      </c>
      <c r="H54" s="882">
        <v>0.223</v>
      </c>
      <c r="I54" s="882">
        <v>0.23699999999999999</v>
      </c>
      <c r="J54" s="882">
        <v>0.23699999999999999</v>
      </c>
      <c r="K54" s="882">
        <v>0.27400000000000002</v>
      </c>
      <c r="L54" s="882">
        <v>0.253</v>
      </c>
      <c r="M54" s="882">
        <v>0.28299999999999997</v>
      </c>
      <c r="N54" s="882">
        <v>0.27200000000000002</v>
      </c>
      <c r="O54" s="882">
        <v>0.19</v>
      </c>
      <c r="P54" s="883">
        <v>0.28199999999999997</v>
      </c>
      <c r="Q54" s="882">
        <v>0.307</v>
      </c>
      <c r="R54" s="882">
        <v>0.29899999999999999</v>
      </c>
      <c r="S54" s="890">
        <v>0.32100000000000001</v>
      </c>
      <c r="T54" s="890">
        <v>0.32400000000000001</v>
      </c>
      <c r="U54" s="890">
        <v>0.33329999999999999</v>
      </c>
      <c r="V54" s="861">
        <v>0.33800000000000002</v>
      </c>
      <c r="W54" s="858">
        <v>0.34499999999999997</v>
      </c>
      <c r="X54" s="862">
        <v>0.35299999999999998</v>
      </c>
    </row>
    <row r="55" spans="2:29" x14ac:dyDescent="0.35">
      <c r="B55" s="872"/>
      <c r="C55" s="117"/>
      <c r="D55" s="874"/>
      <c r="E55" s="874"/>
      <c r="F55" s="874"/>
      <c r="G55" s="874"/>
      <c r="H55" s="874"/>
      <c r="I55" s="874"/>
      <c r="J55" s="874"/>
      <c r="K55" s="874"/>
      <c r="L55" s="874"/>
      <c r="M55" s="874"/>
      <c r="N55" s="874"/>
      <c r="O55" s="874"/>
      <c r="P55" s="874"/>
      <c r="Q55" s="874"/>
      <c r="R55" s="874"/>
      <c r="S55" s="874"/>
      <c r="T55" s="874"/>
      <c r="U55" s="874"/>
      <c r="V55" s="874"/>
      <c r="W55" s="874"/>
    </row>
    <row r="56" spans="2:29" x14ac:dyDescent="0.35">
      <c r="B56" s="872"/>
      <c r="C56" s="117"/>
      <c r="D56" s="59"/>
      <c r="E56" s="59"/>
      <c r="F56" s="59"/>
      <c r="G56" s="59"/>
      <c r="H56" s="59"/>
      <c r="I56" s="59"/>
      <c r="J56" s="59"/>
      <c r="K56" s="59"/>
      <c r="L56" s="59"/>
      <c r="M56" s="59"/>
      <c r="N56" s="59"/>
      <c r="O56" s="59"/>
      <c r="P56" s="59"/>
      <c r="Q56" s="59"/>
      <c r="R56" s="59"/>
      <c r="S56" s="59"/>
      <c r="T56" s="59"/>
      <c r="U56" s="59"/>
      <c r="V56" s="59"/>
      <c r="W56" s="59"/>
    </row>
    <row r="57" spans="2:29" x14ac:dyDescent="0.35">
      <c r="B57" s="872"/>
      <c r="C57" s="117"/>
      <c r="D57" s="59"/>
      <c r="E57" s="59"/>
      <c r="F57" s="59"/>
      <c r="G57" s="59"/>
      <c r="H57" s="59"/>
      <c r="I57" s="59"/>
      <c r="J57" s="59"/>
      <c r="K57" s="59"/>
      <c r="L57" s="59"/>
      <c r="M57" s="59"/>
      <c r="N57" s="59"/>
      <c r="O57" s="59"/>
      <c r="P57" s="59"/>
      <c r="Q57" s="59"/>
      <c r="R57" s="59"/>
      <c r="S57" s="59"/>
      <c r="T57" s="59"/>
      <c r="U57" s="59"/>
      <c r="V57" s="59"/>
      <c r="W57" s="59"/>
    </row>
    <row r="58" spans="2:29" x14ac:dyDescent="0.35">
      <c r="B58" s="872"/>
      <c r="C58" s="117"/>
      <c r="D58" s="59"/>
      <c r="E58" s="59"/>
      <c r="F58" s="59"/>
      <c r="G58" s="59"/>
      <c r="H58" s="59"/>
      <c r="I58" s="59"/>
      <c r="J58" s="59"/>
      <c r="K58" s="59"/>
      <c r="L58" s="59"/>
      <c r="M58" s="59"/>
      <c r="N58" s="59"/>
      <c r="O58" s="59"/>
      <c r="P58" s="59"/>
      <c r="Q58" s="59"/>
      <c r="R58" s="59"/>
      <c r="S58" s="59"/>
      <c r="T58" s="59"/>
      <c r="U58" s="59"/>
      <c r="V58" s="59"/>
      <c r="W58" s="59"/>
    </row>
    <row r="59" spans="2:29" x14ac:dyDescent="0.35">
      <c r="B59" s="872"/>
      <c r="C59" s="117"/>
      <c r="D59" s="59"/>
      <c r="E59" s="59"/>
      <c r="F59" s="59"/>
      <c r="G59" s="59"/>
      <c r="H59" s="59"/>
      <c r="I59" s="59"/>
      <c r="J59" s="59"/>
      <c r="K59" s="59"/>
      <c r="L59" s="59"/>
      <c r="M59" s="59"/>
      <c r="N59" s="59"/>
      <c r="O59" s="59"/>
      <c r="P59" s="59"/>
      <c r="Q59" s="59"/>
      <c r="R59" s="59"/>
      <c r="S59" s="59"/>
      <c r="T59" s="59"/>
      <c r="U59" s="59"/>
      <c r="V59" s="59"/>
      <c r="W59" s="59"/>
    </row>
    <row r="61" spans="2:29" x14ac:dyDescent="0.35">
      <c r="AC61" s="4" t="s">
        <v>67</v>
      </c>
    </row>
  </sheetData>
  <mergeCells count="9">
    <mergeCell ref="D35:W35"/>
    <mergeCell ref="D36:W36"/>
    <mergeCell ref="D2:W2"/>
    <mergeCell ref="D3:W3"/>
    <mergeCell ref="D4:W4"/>
    <mergeCell ref="D6:W6"/>
    <mergeCell ref="D33:W33"/>
    <mergeCell ref="D34:W34"/>
    <mergeCell ref="D5:W5"/>
  </mergeCells>
  <pageMargins left="0.74803149606299202" right="0.74803149606299202" top="0.98425196850393704" bottom="0.98425196850393704" header="0.511811023622047" footer="0.511811023622047"/>
  <pageSetup paperSize="9" scale="5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0099"/>
    <pageSetUpPr fitToPage="1"/>
  </sheetPr>
  <dimension ref="A1:Y117"/>
  <sheetViews>
    <sheetView showGridLines="0" view="pageBreakPreview" zoomScale="90" zoomScaleNormal="100" zoomScaleSheetLayoutView="90" workbookViewId="0">
      <selection activeCell="M17" sqref="M17"/>
    </sheetView>
  </sheetViews>
  <sheetFormatPr defaultColWidth="9.26953125" defaultRowHeight="13" x14ac:dyDescent="0.25"/>
  <cols>
    <col min="1" max="1" width="3.7265625" style="956" customWidth="1"/>
    <col min="2" max="2" width="14.453125" style="957" customWidth="1"/>
    <col min="3" max="3" width="3.7265625" style="957" customWidth="1"/>
    <col min="4" max="4" width="29.54296875" style="959" customWidth="1"/>
    <col min="5" max="9" width="9.26953125" style="959" customWidth="1"/>
    <col min="10" max="10" width="7" style="959" customWidth="1"/>
    <col min="11" max="21" width="9.26953125" style="959" customWidth="1"/>
    <col min="22" max="16384" width="9.26953125" style="959"/>
  </cols>
  <sheetData>
    <row r="1" spans="1:25" x14ac:dyDescent="0.25">
      <c r="D1" s="958"/>
      <c r="E1" s="958"/>
      <c r="F1" s="958"/>
      <c r="G1" s="958"/>
      <c r="H1" s="958"/>
      <c r="I1" s="958"/>
      <c r="J1" s="958"/>
      <c r="K1" s="958"/>
    </row>
    <row r="2" spans="1:25" ht="15" customHeight="1" x14ac:dyDescent="0.25">
      <c r="A2" s="956">
        <v>1</v>
      </c>
      <c r="B2" s="956" t="s">
        <v>0</v>
      </c>
      <c r="C2" s="956">
        <v>16</v>
      </c>
      <c r="D2" s="4727" t="s">
        <v>389</v>
      </c>
      <c r="E2" s="4728"/>
      <c r="F2" s="4728"/>
      <c r="G2" s="4728"/>
      <c r="H2" s="4728"/>
      <c r="I2" s="4728"/>
      <c r="J2" s="4728"/>
      <c r="K2" s="4728"/>
      <c r="L2" s="4728"/>
      <c r="M2" s="4728"/>
      <c r="N2" s="4728"/>
      <c r="O2" s="4728"/>
      <c r="P2" s="4728"/>
      <c r="Q2" s="4728"/>
      <c r="R2" s="4728"/>
      <c r="S2" s="4728"/>
      <c r="T2" s="4728"/>
      <c r="U2" s="4728"/>
      <c r="V2" s="4728"/>
      <c r="W2" s="4729"/>
    </row>
    <row r="3" spans="1:25" ht="15" customHeight="1" x14ac:dyDescent="0.25">
      <c r="A3" s="956">
        <v>2</v>
      </c>
      <c r="B3" s="956" t="s">
        <v>2</v>
      </c>
      <c r="C3" s="956"/>
      <c r="D3" s="4727" t="s">
        <v>389</v>
      </c>
      <c r="E3" s="4728"/>
      <c r="F3" s="4728"/>
      <c r="G3" s="4728"/>
      <c r="H3" s="4728"/>
      <c r="I3" s="4728"/>
      <c r="J3" s="4728"/>
      <c r="K3" s="4728"/>
      <c r="L3" s="4728"/>
      <c r="M3" s="4728"/>
      <c r="N3" s="4728"/>
      <c r="O3" s="4728"/>
      <c r="P3" s="4728"/>
      <c r="Q3" s="4728"/>
      <c r="R3" s="4728"/>
      <c r="S3" s="4728"/>
      <c r="T3" s="4728"/>
      <c r="U3" s="4728"/>
      <c r="V3" s="4728"/>
      <c r="W3" s="4729"/>
    </row>
    <row r="4" spans="1:25" ht="12.75" customHeight="1" x14ac:dyDescent="0.25">
      <c r="A4" s="956">
        <v>3</v>
      </c>
      <c r="B4" s="956" t="s">
        <v>4</v>
      </c>
      <c r="C4" s="956"/>
      <c r="D4" s="4727" t="s">
        <v>390</v>
      </c>
      <c r="E4" s="4728"/>
      <c r="F4" s="4728"/>
      <c r="G4" s="4728"/>
      <c r="H4" s="4728"/>
      <c r="I4" s="4728"/>
      <c r="J4" s="4728"/>
      <c r="K4" s="4728"/>
      <c r="L4" s="4728"/>
      <c r="M4" s="4728"/>
      <c r="N4" s="4728"/>
      <c r="O4" s="4728"/>
      <c r="P4" s="4728"/>
      <c r="Q4" s="4728"/>
      <c r="R4" s="4728"/>
      <c r="S4" s="4728"/>
      <c r="T4" s="4728"/>
      <c r="U4" s="4728"/>
      <c r="V4" s="4728"/>
      <c r="W4" s="4729"/>
    </row>
    <row r="5" spans="1:25" ht="14.5" customHeight="1" x14ac:dyDescent="0.25">
      <c r="B5" s="956"/>
      <c r="C5" s="956"/>
      <c r="D5" s="4727"/>
      <c r="E5" s="4728"/>
      <c r="F5" s="4728"/>
      <c r="G5" s="4728"/>
      <c r="H5" s="4728"/>
      <c r="I5" s="4728"/>
      <c r="J5" s="4728"/>
      <c r="K5" s="4728"/>
      <c r="L5" s="4728"/>
      <c r="M5" s="4728"/>
      <c r="N5" s="4728"/>
      <c r="O5" s="4728"/>
      <c r="P5" s="4728"/>
      <c r="Q5" s="4728"/>
      <c r="R5" s="4728"/>
      <c r="S5" s="4728"/>
      <c r="T5" s="4728"/>
      <c r="U5" s="4728"/>
      <c r="V5" s="4728"/>
      <c r="W5" s="4729"/>
    </row>
    <row r="6" spans="1:25" x14ac:dyDescent="0.25">
      <c r="C6" s="956"/>
      <c r="K6" s="960"/>
      <c r="L6" s="961"/>
      <c r="M6" s="961"/>
      <c r="N6" s="961"/>
      <c r="O6" s="961"/>
      <c r="P6" s="961"/>
      <c r="Q6" s="961"/>
      <c r="R6" s="961"/>
      <c r="S6" s="961"/>
      <c r="T6" s="961"/>
      <c r="U6" s="961"/>
      <c r="V6" s="962"/>
    </row>
    <row r="7" spans="1:25" x14ac:dyDescent="0.25">
      <c r="A7" s="956">
        <v>5</v>
      </c>
      <c r="B7" s="956" t="s">
        <v>6</v>
      </c>
      <c r="D7" s="963" t="s">
        <v>85</v>
      </c>
      <c r="E7" s="963" t="s">
        <v>389</v>
      </c>
      <c r="F7" s="963"/>
      <c r="G7" s="963"/>
      <c r="H7" s="963"/>
      <c r="I7" s="964"/>
      <c r="J7" s="964"/>
      <c r="K7" s="965"/>
      <c r="L7" s="961"/>
      <c r="M7" s="966"/>
      <c r="N7" s="966"/>
      <c r="O7" s="966"/>
      <c r="P7" s="966"/>
      <c r="Q7" s="966"/>
      <c r="R7" s="966"/>
      <c r="S7" s="966"/>
      <c r="T7" s="966"/>
      <c r="U7" s="966"/>
      <c r="V7" s="962"/>
    </row>
    <row r="8" spans="1:25" ht="14.65" customHeight="1" x14ac:dyDescent="0.25">
      <c r="D8" s="967"/>
      <c r="E8" s="968">
        <v>2001</v>
      </c>
      <c r="F8" s="968">
        <v>2002</v>
      </c>
      <c r="G8" s="968">
        <v>2003</v>
      </c>
      <c r="H8" s="968">
        <v>2004</v>
      </c>
      <c r="I8" s="968">
        <v>2005</v>
      </c>
      <c r="J8" s="968">
        <v>2006</v>
      </c>
      <c r="K8" s="968">
        <v>2007</v>
      </c>
      <c r="L8" s="968">
        <v>2008</v>
      </c>
      <c r="M8" s="968">
        <v>2009</v>
      </c>
      <c r="N8" s="968">
        <v>2010</v>
      </c>
      <c r="O8" s="968">
        <v>2011</v>
      </c>
      <c r="P8" s="968">
        <v>2012</v>
      </c>
      <c r="Q8" s="968">
        <v>2013</v>
      </c>
      <c r="R8" s="968">
        <v>2014</v>
      </c>
      <c r="S8" s="968">
        <v>2015</v>
      </c>
      <c r="T8" s="968">
        <v>2016</v>
      </c>
      <c r="U8" s="968">
        <v>2017</v>
      </c>
      <c r="V8" s="968">
        <v>2018</v>
      </c>
      <c r="W8" s="968">
        <v>2019</v>
      </c>
    </row>
    <row r="9" spans="1:25" x14ac:dyDescent="0.25">
      <c r="D9" s="969" t="s">
        <v>391</v>
      </c>
      <c r="E9" s="970"/>
      <c r="F9" s="970"/>
      <c r="G9" s="970"/>
      <c r="H9" s="970"/>
      <c r="I9" s="970"/>
      <c r="J9" s="970"/>
      <c r="K9" s="970"/>
      <c r="L9" s="970"/>
      <c r="M9" s="970"/>
      <c r="N9" s="970"/>
      <c r="O9" s="970"/>
      <c r="P9" s="970"/>
      <c r="Q9" s="970"/>
      <c r="R9" s="970"/>
      <c r="S9" s="970"/>
      <c r="T9" s="970"/>
      <c r="U9" s="970"/>
      <c r="V9" s="970"/>
      <c r="W9" s="970"/>
    </row>
    <row r="10" spans="1:25" ht="14.5" x14ac:dyDescent="0.35">
      <c r="D10" s="971" t="s">
        <v>392</v>
      </c>
      <c r="E10" s="972">
        <v>2129</v>
      </c>
      <c r="F10" s="972">
        <v>2177.5</v>
      </c>
      <c r="G10" s="972">
        <v>2006</v>
      </c>
      <c r="H10" s="972">
        <v>1998</v>
      </c>
      <c r="I10" s="972">
        <v>2440.5</v>
      </c>
      <c r="J10" s="972">
        <v>2573</v>
      </c>
      <c r="K10" s="972">
        <v>2325</v>
      </c>
      <c r="L10" s="972">
        <v>2379.9844079402401</v>
      </c>
      <c r="M10" s="972">
        <v>2220.9082455121093</v>
      </c>
      <c r="N10" s="972">
        <v>2258.5948090345109</v>
      </c>
      <c r="O10" s="972">
        <v>2269.9426425158872</v>
      </c>
      <c r="P10" s="972">
        <v>2274.6988455800774</v>
      </c>
      <c r="Q10" s="972">
        <v>2365.6091728737533</v>
      </c>
      <c r="R10" s="972">
        <v>2392.6113034777945</v>
      </c>
      <c r="S10" s="972">
        <v>2637</v>
      </c>
      <c r="T10" s="972">
        <v>2602</v>
      </c>
      <c r="U10" s="972">
        <v>2735</v>
      </c>
      <c r="V10" s="972">
        <v>2937</v>
      </c>
      <c r="W10" s="972">
        <v>2973.4868872338693</v>
      </c>
      <c r="X10" s="973"/>
      <c r="Y10" s="973"/>
    </row>
    <row r="11" spans="1:25" ht="15.75" customHeight="1" x14ac:dyDescent="0.35">
      <c r="D11" s="971" t="s">
        <v>393</v>
      </c>
      <c r="E11" s="972">
        <v>7404</v>
      </c>
      <c r="F11" s="972">
        <v>7410</v>
      </c>
      <c r="G11" s="972">
        <v>7725</v>
      </c>
      <c r="H11" s="972">
        <v>8039</v>
      </c>
      <c r="I11" s="972">
        <v>8336.5</v>
      </c>
      <c r="J11" s="972">
        <v>8675.5</v>
      </c>
      <c r="K11" s="972">
        <v>9146.5</v>
      </c>
      <c r="L11" s="972">
        <v>10083.17665144513</v>
      </c>
      <c r="M11" s="972">
        <v>9966.943254108277</v>
      </c>
      <c r="N11" s="972">
        <v>9626.6474084566908</v>
      </c>
      <c r="O11" s="972">
        <v>9942.385411183106</v>
      </c>
      <c r="P11" s="972">
        <v>10222.218489834988</v>
      </c>
      <c r="Q11" s="972">
        <v>10524.415223359194</v>
      </c>
      <c r="R11" s="972">
        <v>10822.210861710188</v>
      </c>
      <c r="S11" s="972">
        <v>10935</v>
      </c>
      <c r="T11" s="972">
        <v>11021</v>
      </c>
      <c r="U11" s="972">
        <v>11288</v>
      </c>
      <c r="V11" s="972">
        <v>11319</v>
      </c>
      <c r="W11" s="972">
        <v>11234.282909197042</v>
      </c>
      <c r="X11" s="973"/>
      <c r="Y11" s="973"/>
    </row>
    <row r="12" spans="1:25" ht="14.5" x14ac:dyDescent="0.35">
      <c r="D12" s="974" t="s">
        <v>394</v>
      </c>
      <c r="E12" s="972">
        <v>861</v>
      </c>
      <c r="F12" s="972">
        <v>1116.5</v>
      </c>
      <c r="G12" s="972">
        <v>851</v>
      </c>
      <c r="H12" s="972">
        <v>800.5</v>
      </c>
      <c r="I12" s="972">
        <v>740</v>
      </c>
      <c r="J12" s="972">
        <v>859.5</v>
      </c>
      <c r="K12" s="972">
        <v>736.5</v>
      </c>
      <c r="L12" s="972">
        <v>818.61495003769858</v>
      </c>
      <c r="M12" s="972">
        <v>714.6480947219294</v>
      </c>
      <c r="N12" s="972">
        <v>665.29209048298367</v>
      </c>
      <c r="O12" s="972">
        <v>644.1343415675841</v>
      </c>
      <c r="P12" s="972">
        <v>696.24244234158959</v>
      </c>
      <c r="Q12" s="972">
        <v>739.95601888918736</v>
      </c>
      <c r="R12" s="972">
        <v>701.50574996723083</v>
      </c>
      <c r="S12" s="972">
        <v>880</v>
      </c>
      <c r="T12" s="972">
        <v>874</v>
      </c>
      <c r="U12" s="972">
        <v>843</v>
      </c>
      <c r="V12" s="972">
        <v>845</v>
      </c>
      <c r="W12" s="972">
        <v>861.0405655408083</v>
      </c>
      <c r="X12" s="973"/>
      <c r="Y12" s="973"/>
    </row>
    <row r="13" spans="1:25" ht="14.5" x14ac:dyDescent="0.35">
      <c r="C13" s="956"/>
      <c r="D13" s="975" t="s">
        <v>395</v>
      </c>
      <c r="E13" s="976">
        <v>1267</v>
      </c>
      <c r="F13" s="976">
        <v>1260.5</v>
      </c>
      <c r="G13" s="976">
        <v>1230.5</v>
      </c>
      <c r="H13" s="976">
        <v>1206.5</v>
      </c>
      <c r="I13" s="976">
        <v>1251.5</v>
      </c>
      <c r="J13" s="976">
        <v>1311</v>
      </c>
      <c r="K13" s="976">
        <v>1258.5</v>
      </c>
      <c r="L13" s="976">
        <v>1303.0850276473977</v>
      </c>
      <c r="M13" s="976">
        <v>1291.3246197177054</v>
      </c>
      <c r="N13" s="976">
        <v>1237.4418465182118</v>
      </c>
      <c r="O13" s="976">
        <v>1213.5877452405825</v>
      </c>
      <c r="P13" s="976">
        <v>1231.7294365782625</v>
      </c>
      <c r="Q13" s="976">
        <v>1235.6474196773265</v>
      </c>
      <c r="R13" s="976">
        <v>1229.9756276517362</v>
      </c>
      <c r="S13" s="976">
        <v>1288</v>
      </c>
      <c r="T13" s="976">
        <v>1283</v>
      </c>
      <c r="U13" s="976">
        <v>1303</v>
      </c>
      <c r="V13" s="976">
        <v>1292</v>
      </c>
      <c r="W13" s="976">
        <v>1281.0443941266335</v>
      </c>
      <c r="X13" s="973"/>
      <c r="Y13" s="973"/>
    </row>
    <row r="14" spans="1:25" ht="14.5" x14ac:dyDescent="0.35">
      <c r="D14" s="977" t="s">
        <v>396</v>
      </c>
      <c r="E14" s="978">
        <v>11659.564736131906</v>
      </c>
      <c r="F14" s="978">
        <v>11965.041438403612</v>
      </c>
      <c r="G14" s="978">
        <v>11812.429745588339</v>
      </c>
      <c r="H14" s="978">
        <v>12043.837496420887</v>
      </c>
      <c r="I14" s="978">
        <v>12768.858708318956</v>
      </c>
      <c r="J14" s="978">
        <v>13418.80723334651</v>
      </c>
      <c r="K14" s="978">
        <v>13467.260828648677</v>
      </c>
      <c r="L14" s="978">
        <v>14584.861037070465</v>
      </c>
      <c r="M14" s="978">
        <v>14193.824214060021</v>
      </c>
      <c r="N14" s="978">
        <v>13787.976154492397</v>
      </c>
      <c r="O14" s="978">
        <v>14070.050140507159</v>
      </c>
      <c r="P14" s="978">
        <v>14424.889214334915</v>
      </c>
      <c r="Q14" s="978">
        <v>14865.627834799463</v>
      </c>
      <c r="R14" s="978">
        <v>15146.303542806947</v>
      </c>
      <c r="S14" s="979">
        <v>15741</v>
      </c>
      <c r="T14" s="979">
        <v>15780</v>
      </c>
      <c r="U14" s="979">
        <v>16169</v>
      </c>
      <c r="V14" s="979">
        <v>16394</v>
      </c>
      <c r="W14" s="979">
        <v>16349.854756098353</v>
      </c>
      <c r="X14" s="976"/>
      <c r="Y14" s="980"/>
    </row>
    <row r="15" spans="1:25" ht="15" customHeight="1" x14ac:dyDescent="0.25">
      <c r="D15" s="981" t="s">
        <v>397</v>
      </c>
      <c r="E15" s="982"/>
      <c r="F15" s="983"/>
      <c r="G15" s="983"/>
      <c r="H15" s="983"/>
      <c r="I15" s="983"/>
      <c r="J15" s="983"/>
      <c r="K15" s="982"/>
      <c r="L15" s="984"/>
      <c r="M15" s="985"/>
      <c r="N15" s="985"/>
      <c r="O15" s="986"/>
      <c r="P15" s="986"/>
      <c r="Q15" s="987"/>
      <c r="R15" s="987"/>
      <c r="S15" s="987"/>
      <c r="T15" s="987"/>
      <c r="U15" s="987"/>
      <c r="V15" s="962"/>
      <c r="W15" s="962"/>
    </row>
    <row r="16" spans="1:25" ht="13.5" customHeight="1" x14ac:dyDescent="0.25">
      <c r="D16" s="988" t="s">
        <v>398</v>
      </c>
      <c r="E16" s="989">
        <v>45.8</v>
      </c>
      <c r="F16" s="989">
        <v>43.1</v>
      </c>
      <c r="G16" s="989">
        <v>41.2</v>
      </c>
      <c r="H16" s="989">
        <v>41</v>
      </c>
      <c r="I16" s="989">
        <v>42.6</v>
      </c>
      <c r="J16" s="989">
        <v>44.4</v>
      </c>
      <c r="K16" s="989">
        <v>44.1</v>
      </c>
      <c r="L16" s="989">
        <v>46</v>
      </c>
      <c r="M16" s="989">
        <v>44.5</v>
      </c>
      <c r="N16" s="989">
        <v>42</v>
      </c>
      <c r="O16" s="989">
        <v>41.6</v>
      </c>
      <c r="P16" s="989">
        <v>42.2</v>
      </c>
      <c r="Q16" s="989">
        <v>42.7</v>
      </c>
      <c r="R16" s="989">
        <v>42.8</v>
      </c>
      <c r="S16" s="989">
        <v>43.7</v>
      </c>
      <c r="T16" s="989">
        <v>43</v>
      </c>
      <c r="U16" s="989">
        <v>43.4</v>
      </c>
      <c r="V16" s="989">
        <v>43.2</v>
      </c>
      <c r="W16" s="989">
        <v>42.5</v>
      </c>
    </row>
    <row r="17" spans="1:23" ht="13.5" customHeight="1" x14ac:dyDescent="0.25">
      <c r="D17" s="990" t="s">
        <v>399</v>
      </c>
      <c r="E17" s="991">
        <v>60.8</v>
      </c>
      <c r="F17" s="991">
        <v>59.7</v>
      </c>
      <c r="G17" s="991">
        <v>58.3</v>
      </c>
      <c r="H17" s="991">
        <v>55.7</v>
      </c>
      <c r="I17" s="991">
        <v>56.3</v>
      </c>
      <c r="J17" s="991">
        <v>57.8</v>
      </c>
      <c r="K17" s="991">
        <v>57.7</v>
      </c>
      <c r="L17" s="991">
        <v>59.5</v>
      </c>
      <c r="M17" s="991">
        <v>57.9</v>
      </c>
      <c r="N17" s="991">
        <v>56.1</v>
      </c>
      <c r="O17" s="991">
        <v>55.9</v>
      </c>
      <c r="P17" s="991">
        <v>56.2</v>
      </c>
      <c r="Q17" s="991">
        <v>56.8</v>
      </c>
      <c r="R17" s="991">
        <v>57.1</v>
      </c>
      <c r="S17" s="991">
        <v>58.5</v>
      </c>
      <c r="T17" s="991">
        <v>58.7</v>
      </c>
      <c r="U17" s="991">
        <v>59.8</v>
      </c>
      <c r="V17" s="991">
        <v>59.3</v>
      </c>
      <c r="W17" s="991">
        <v>59.5</v>
      </c>
    </row>
    <row r="18" spans="1:23" ht="13.5" customHeight="1" x14ac:dyDescent="0.25">
      <c r="D18" s="992"/>
      <c r="E18" s="993"/>
      <c r="F18" s="993"/>
      <c r="G18" s="993"/>
      <c r="H18" s="993"/>
      <c r="I18" s="993"/>
      <c r="J18" s="993"/>
      <c r="K18" s="993"/>
      <c r="L18" s="994"/>
      <c r="M18" s="994"/>
      <c r="N18" s="994"/>
      <c r="O18" s="995"/>
      <c r="P18" s="996"/>
    </row>
    <row r="19" spans="1:23" ht="13.5" customHeight="1" x14ac:dyDescent="0.25">
      <c r="D19" s="997" t="s">
        <v>74</v>
      </c>
      <c r="E19" s="998" t="s">
        <v>400</v>
      </c>
      <c r="F19" s="993"/>
      <c r="G19" s="993"/>
      <c r="H19" s="993"/>
      <c r="I19" s="993"/>
      <c r="J19" s="993"/>
      <c r="K19" s="993"/>
      <c r="L19" s="999"/>
      <c r="M19" s="999"/>
      <c r="N19" s="999"/>
      <c r="O19" s="1000"/>
      <c r="P19" s="1000"/>
      <c r="Q19" s="1001"/>
      <c r="R19" s="1001"/>
      <c r="S19" s="1001"/>
      <c r="T19" s="1001"/>
      <c r="U19" s="1001"/>
    </row>
    <row r="20" spans="1:23" ht="13.5" customHeight="1" x14ac:dyDescent="0.25">
      <c r="D20" s="967"/>
      <c r="E20" s="968">
        <v>2001</v>
      </c>
      <c r="F20" s="968">
        <v>2002</v>
      </c>
      <c r="G20" s="968">
        <v>2003</v>
      </c>
      <c r="H20" s="968">
        <v>2004</v>
      </c>
      <c r="I20" s="968">
        <v>2005</v>
      </c>
      <c r="J20" s="968">
        <v>2006</v>
      </c>
      <c r="K20" s="968">
        <v>2007</v>
      </c>
      <c r="L20" s="968">
        <v>2008</v>
      </c>
      <c r="M20" s="968">
        <v>2009</v>
      </c>
      <c r="N20" s="968">
        <v>2010</v>
      </c>
      <c r="O20" s="968">
        <v>2011</v>
      </c>
      <c r="P20" s="968">
        <v>2012</v>
      </c>
      <c r="Q20" s="968">
        <v>2013</v>
      </c>
      <c r="R20" s="968">
        <v>2014</v>
      </c>
      <c r="S20" s="968">
        <v>2015</v>
      </c>
      <c r="T20" s="968">
        <v>2016</v>
      </c>
      <c r="U20" s="968">
        <v>2017</v>
      </c>
      <c r="V20" s="968">
        <v>2018</v>
      </c>
      <c r="W20" s="968">
        <v>2019</v>
      </c>
    </row>
    <row r="21" spans="1:23" ht="13.5" customHeight="1" x14ac:dyDescent="0.25">
      <c r="D21" s="1002" t="s">
        <v>401</v>
      </c>
      <c r="E21" s="1003">
        <v>31.756281049710992</v>
      </c>
      <c r="F21" s="1003">
        <v>35.43249249356613</v>
      </c>
      <c r="G21" s="1003">
        <v>30.136307155246108</v>
      </c>
      <c r="H21" s="1003">
        <v>28.770622196134873</v>
      </c>
      <c r="I21" s="1003">
        <v>33.969438150414064</v>
      </c>
      <c r="J21" s="1003">
        <v>37.002732376839717</v>
      </c>
      <c r="K21" s="1003">
        <v>33.089802916964068</v>
      </c>
      <c r="L21" s="1003">
        <v>55.357592625292291</v>
      </c>
      <c r="M21" s="1003">
        <v>54.734771226159026</v>
      </c>
      <c r="N21" s="1003">
        <v>52.827080856504722</v>
      </c>
      <c r="O21" s="1003">
        <v>52.597569564881354</v>
      </c>
      <c r="P21" s="1003">
        <v>52.187546959623788</v>
      </c>
      <c r="Q21" s="1003">
        <v>52.253103496242204</v>
      </c>
      <c r="R21" s="1003">
        <v>52.420076534080252</v>
      </c>
      <c r="S21" s="1003">
        <v>53.8</v>
      </c>
      <c r="T21" s="1003">
        <v>53.3</v>
      </c>
      <c r="U21" s="1003">
        <v>54.2</v>
      </c>
      <c r="V21" s="1003">
        <v>54.92536195077745</v>
      </c>
      <c r="W21" s="1003">
        <v>53.883920762034244</v>
      </c>
    </row>
    <row r="22" spans="1:23" ht="13.5" customHeight="1" x14ac:dyDescent="0.25">
      <c r="D22" s="1002" t="s">
        <v>402</v>
      </c>
      <c r="E22" s="1003">
        <v>48.118986816943426</v>
      </c>
      <c r="F22" s="1003">
        <v>46.957257464035337</v>
      </c>
      <c r="G22" s="1003">
        <v>46.827743982924439</v>
      </c>
      <c r="H22" s="1003">
        <v>45.574803488252464</v>
      </c>
      <c r="I22" s="1003">
        <v>44.506987053543853</v>
      </c>
      <c r="J22" s="1003">
        <v>43.966376783882851</v>
      </c>
      <c r="K22" s="1003">
        <v>45.187549606072579</v>
      </c>
      <c r="L22" s="1003">
        <v>36.076712667771332</v>
      </c>
      <c r="M22" s="1003">
        <v>34.312294153866802</v>
      </c>
      <c r="N22" s="1003">
        <v>32.921125528464493</v>
      </c>
      <c r="O22" s="1003">
        <v>32.608633294489302</v>
      </c>
      <c r="P22" s="1003">
        <v>31.313589373415507</v>
      </c>
      <c r="Q22" s="1003">
        <v>32</v>
      </c>
      <c r="R22" s="1003">
        <v>33.1</v>
      </c>
      <c r="S22" s="1003">
        <v>33.5</v>
      </c>
      <c r="T22" s="1003">
        <v>33.799999999999997</v>
      </c>
      <c r="U22" s="1003">
        <v>33.799999999999997</v>
      </c>
      <c r="V22" s="1003">
        <v>32.75805581950997</v>
      </c>
      <c r="W22" s="1003">
        <v>31.907378236813649</v>
      </c>
    </row>
    <row r="23" spans="1:23" ht="13.5" customHeight="1" x14ac:dyDescent="0.25">
      <c r="D23" s="1002" t="s">
        <v>403</v>
      </c>
      <c r="E23" s="1003">
        <v>52.146434149121035</v>
      </c>
      <c r="F23" s="1003">
        <v>51.363396371286235</v>
      </c>
      <c r="G23" s="1003">
        <v>50.688894562453441</v>
      </c>
      <c r="H23" s="1003">
        <v>51.945681228477355</v>
      </c>
      <c r="I23" s="1003">
        <v>55.653331725658894</v>
      </c>
      <c r="J23" s="1003">
        <v>56.63234431213921</v>
      </c>
      <c r="K23" s="1003">
        <v>56.750446157612728</v>
      </c>
      <c r="L23" s="1003">
        <v>44.835318802074795</v>
      </c>
      <c r="M23" s="1003">
        <v>40.237470817564521</v>
      </c>
      <c r="N23" s="1003">
        <v>39.053352141657605</v>
      </c>
      <c r="O23" s="1003">
        <v>38.612926530474425</v>
      </c>
      <c r="P23" s="1003">
        <v>40.159138048603552</v>
      </c>
      <c r="Q23" s="1003">
        <v>41.51464292508112</v>
      </c>
      <c r="R23" s="1003">
        <v>40.519908465462024</v>
      </c>
      <c r="S23" s="1003">
        <v>39.700000000000003</v>
      </c>
      <c r="T23" s="1003">
        <v>39.299999999999997</v>
      </c>
      <c r="U23" s="1003">
        <v>38.799999999999997</v>
      </c>
      <c r="V23" s="1003">
        <v>40.346393012149456</v>
      </c>
      <c r="W23" s="1003">
        <v>39.809240831403905</v>
      </c>
    </row>
    <row r="24" spans="1:23" ht="13.5" customHeight="1" x14ac:dyDescent="0.25">
      <c r="D24" s="1002" t="s">
        <v>404</v>
      </c>
      <c r="E24" s="1003">
        <v>37.84026634307228</v>
      </c>
      <c r="F24" s="1003">
        <v>39.650391495348266</v>
      </c>
      <c r="G24" s="1003">
        <v>38.55608012857013</v>
      </c>
      <c r="H24" s="1003">
        <v>37.953896252788667</v>
      </c>
      <c r="I24" s="1003">
        <v>39.145001543319552</v>
      </c>
      <c r="J24" s="1003">
        <v>41.884000698801046</v>
      </c>
      <c r="K24" s="1003">
        <v>40.648125503875114</v>
      </c>
      <c r="L24" s="1003">
        <v>46.259960967314186</v>
      </c>
      <c r="M24" s="1003">
        <v>43.370560560041454</v>
      </c>
      <c r="N24" s="1003">
        <v>42.493113913762208</v>
      </c>
      <c r="O24" s="1003">
        <v>42.627430205625508</v>
      </c>
      <c r="P24" s="1003">
        <v>39.797085637587955</v>
      </c>
      <c r="Q24" s="1003">
        <v>40.59486098934692</v>
      </c>
      <c r="R24" s="1003">
        <v>40.33378683985886</v>
      </c>
      <c r="S24" s="1003">
        <v>43</v>
      </c>
      <c r="T24" s="1003">
        <v>41.5</v>
      </c>
      <c r="U24" s="1003">
        <v>42</v>
      </c>
      <c r="V24" s="1003">
        <v>41.909273864218797</v>
      </c>
      <c r="W24" s="1003">
        <v>41.838103035648047</v>
      </c>
    </row>
    <row r="25" spans="1:23" ht="13.5" customHeight="1" x14ac:dyDescent="0.25">
      <c r="D25" s="1002" t="s">
        <v>405</v>
      </c>
      <c r="E25" s="1003">
        <v>29.66547048021247</v>
      </c>
      <c r="F25" s="1003">
        <v>29.008284216250146</v>
      </c>
      <c r="G25" s="1003">
        <v>27.39046632847014</v>
      </c>
      <c r="H25" s="1003">
        <v>29.2355170313513</v>
      </c>
      <c r="I25" s="1003">
        <v>28.547980818177294</v>
      </c>
      <c r="J25" s="1003">
        <v>28.041642076381422</v>
      </c>
      <c r="K25" s="1003">
        <v>29.912676109281428</v>
      </c>
      <c r="L25" s="1003">
        <v>42.340741467452318</v>
      </c>
      <c r="M25" s="1003">
        <v>39.740398793954242</v>
      </c>
      <c r="N25" s="1003">
        <v>37.594927570092402</v>
      </c>
      <c r="O25" s="1003">
        <v>38.053899242808754</v>
      </c>
      <c r="P25" s="1003">
        <v>37.744007954394768</v>
      </c>
      <c r="Q25" s="1003">
        <v>38.22127571640268</v>
      </c>
      <c r="R25" s="1003">
        <v>37.633076187065654</v>
      </c>
      <c r="S25" s="1003">
        <v>38.1</v>
      </c>
      <c r="T25" s="1003">
        <v>36.9</v>
      </c>
      <c r="U25" s="1003">
        <v>36.9</v>
      </c>
      <c r="V25" s="1003">
        <v>37.48527489783369</v>
      </c>
      <c r="W25" s="1003">
        <v>37.107144157836217</v>
      </c>
    </row>
    <row r="26" spans="1:23" ht="13.5" customHeight="1" x14ac:dyDescent="0.25">
      <c r="D26" s="1002" t="s">
        <v>406</v>
      </c>
      <c r="E26" s="1003">
        <v>40.929994905922378</v>
      </c>
      <c r="F26" s="1003">
        <v>41.342464175175635</v>
      </c>
      <c r="G26" s="1003">
        <v>41.047497216286835</v>
      </c>
      <c r="H26" s="1003">
        <v>41.009779526760113</v>
      </c>
      <c r="I26" s="1003">
        <v>41.117690100945417</v>
      </c>
      <c r="J26" s="1003">
        <v>42.524456603313482</v>
      </c>
      <c r="K26" s="1003">
        <v>42.979141009662492</v>
      </c>
      <c r="L26" s="1003">
        <v>42.198658810393695</v>
      </c>
      <c r="M26" s="1003">
        <v>38.861365321401635</v>
      </c>
      <c r="N26" s="1003">
        <v>36.532931475532138</v>
      </c>
      <c r="O26" s="1003">
        <v>34.773477252342254</v>
      </c>
      <c r="P26" s="1003">
        <v>35.571194971079393</v>
      </c>
      <c r="Q26" s="1003">
        <v>36.299999999999997</v>
      </c>
      <c r="R26" s="1003">
        <v>37.938704259310029</v>
      </c>
      <c r="S26" s="1003">
        <v>38.5</v>
      </c>
      <c r="T26" s="1003">
        <v>37.4</v>
      </c>
      <c r="U26" s="1003">
        <v>39.1</v>
      </c>
      <c r="V26" s="1003">
        <v>38.274880509852778</v>
      </c>
      <c r="W26" s="1003">
        <v>36.863633057128681</v>
      </c>
    </row>
    <row r="27" spans="1:23" ht="13.5" customHeight="1" x14ac:dyDescent="0.25">
      <c r="D27" s="1002" t="s">
        <v>407</v>
      </c>
      <c r="E27" s="1003">
        <v>36.579526202896787</v>
      </c>
      <c r="F27" s="1003">
        <v>37.698776845275788</v>
      </c>
      <c r="G27" s="1003">
        <v>35.878175548593717</v>
      </c>
      <c r="H27" s="1003">
        <v>37.143136712459516</v>
      </c>
      <c r="I27" s="1003">
        <v>40.090768969994727</v>
      </c>
      <c r="J27" s="1003">
        <v>39.405559710359753</v>
      </c>
      <c r="K27" s="1003">
        <v>39.934393024234069</v>
      </c>
      <c r="L27" s="1003">
        <v>57.600698240728605</v>
      </c>
      <c r="M27" s="1003">
        <v>54.465065341165477</v>
      </c>
      <c r="N27" s="1003">
        <v>51.442640658544228</v>
      </c>
      <c r="O27" s="1003">
        <v>51.632854370450275</v>
      </c>
      <c r="P27" s="1003">
        <v>52.645299237483364</v>
      </c>
      <c r="Q27" s="1003">
        <v>52.469354894865276</v>
      </c>
      <c r="R27" s="1003">
        <v>51.699735538642386</v>
      </c>
      <c r="S27" s="1003">
        <v>52.3</v>
      </c>
      <c r="T27" s="1003">
        <v>51.2</v>
      </c>
      <c r="U27" s="1003">
        <v>50.8</v>
      </c>
      <c r="V27" s="1003">
        <v>49.987648159748005</v>
      </c>
      <c r="W27" s="1003">
        <v>49.079053226271967</v>
      </c>
    </row>
    <row r="28" spans="1:23" ht="13.5" customHeight="1" x14ac:dyDescent="0.25">
      <c r="D28" s="1002" t="s">
        <v>408</v>
      </c>
      <c r="E28" s="1003">
        <v>46.439078334423655</v>
      </c>
      <c r="F28" s="1003">
        <v>48.151308918118247</v>
      </c>
      <c r="G28" s="1003">
        <v>46.500448351222161</v>
      </c>
      <c r="H28" s="1003">
        <v>44.9244010462305</v>
      </c>
      <c r="I28" s="1003">
        <v>41.569521739447126</v>
      </c>
      <c r="J28" s="1003">
        <v>44.957282631949141</v>
      </c>
      <c r="K28" s="1003">
        <v>44.288761888488338</v>
      </c>
      <c r="L28" s="1003">
        <v>42.703224644637942</v>
      </c>
      <c r="M28" s="1003">
        <v>41.543210943839583</v>
      </c>
      <c r="N28" s="1003">
        <v>39.029207354418162</v>
      </c>
      <c r="O28" s="1003">
        <v>39.00176365509482</v>
      </c>
      <c r="P28" s="1003">
        <v>40.144686143569061</v>
      </c>
      <c r="Q28" s="1003">
        <v>42.405584759613625</v>
      </c>
      <c r="R28" s="1003">
        <v>41.875781452544615</v>
      </c>
      <c r="S28" s="1003">
        <v>42.7</v>
      </c>
      <c r="T28" s="1003">
        <v>41.5</v>
      </c>
      <c r="U28" s="1003">
        <v>42.6</v>
      </c>
      <c r="V28" s="1003">
        <v>42.016785103354252</v>
      </c>
      <c r="W28" s="1003">
        <v>41.751701033628521</v>
      </c>
    </row>
    <row r="29" spans="1:23" ht="13.5" customHeight="1" x14ac:dyDescent="0.25">
      <c r="D29" s="1004" t="s">
        <v>409</v>
      </c>
      <c r="E29" s="1005">
        <v>54.627211637990555</v>
      </c>
      <c r="F29" s="1005">
        <v>52.717945664570912</v>
      </c>
      <c r="G29" s="1005">
        <v>53.547606020872365</v>
      </c>
      <c r="H29" s="1005">
        <v>52.900933297850607</v>
      </c>
      <c r="I29" s="1005">
        <v>52.857809310955346</v>
      </c>
      <c r="J29" s="1005">
        <v>55.451761485237647</v>
      </c>
      <c r="K29" s="1005">
        <v>55.09392751546099</v>
      </c>
      <c r="L29" s="1005">
        <v>29.849987055280184</v>
      </c>
      <c r="M29" s="1005">
        <v>30.422230394348638</v>
      </c>
      <c r="N29" s="1005">
        <v>29.428922963203796</v>
      </c>
      <c r="O29" s="1005">
        <v>30.16726620524032</v>
      </c>
      <c r="P29" s="1005">
        <v>32.128848030470451</v>
      </c>
      <c r="Q29" s="1005">
        <v>32.760004435444145</v>
      </c>
      <c r="R29" s="1005">
        <v>34.17533411739273</v>
      </c>
      <c r="S29" s="1005">
        <v>36.200000000000003</v>
      </c>
      <c r="T29" s="1005">
        <v>37.5</v>
      </c>
      <c r="U29" s="1005">
        <v>38.1</v>
      </c>
      <c r="V29" s="1005">
        <v>39.00925353383095</v>
      </c>
      <c r="W29" s="1005">
        <v>37.584671952649721</v>
      </c>
    </row>
    <row r="30" spans="1:23" s="1009" customFormat="1" ht="13.5" customHeight="1" x14ac:dyDescent="0.3">
      <c r="A30" s="956"/>
      <c r="B30" s="1006"/>
      <c r="C30" s="1006"/>
      <c r="D30" s="1007" t="s">
        <v>306</v>
      </c>
      <c r="E30" s="1008">
        <v>42.354965011895132</v>
      </c>
      <c r="F30" s="1008">
        <v>42.835676155122613</v>
      </c>
      <c r="G30" s="1008">
        <v>41.509571594326673</v>
      </c>
      <c r="H30" s="1008">
        <v>41.590244863339571</v>
      </c>
      <c r="I30" s="1008">
        <v>43.373047458502697</v>
      </c>
      <c r="J30" s="1008">
        <v>44.893965416879325</v>
      </c>
      <c r="K30" s="1008">
        <v>44.429330064917863</v>
      </c>
      <c r="L30" s="1008">
        <v>45.914560268885651</v>
      </c>
      <c r="M30" s="1008">
        <v>43.868181939782929</v>
      </c>
      <c r="N30" s="1008">
        <v>41.836006429942699</v>
      </c>
      <c r="O30" s="1008">
        <v>41.919411185819413</v>
      </c>
      <c r="P30" s="1008">
        <v>42.208199263417832</v>
      </c>
      <c r="Q30" s="1008">
        <v>42.727179824361301</v>
      </c>
      <c r="R30" s="1008">
        <v>42.773691749481927</v>
      </c>
      <c r="S30" s="1008">
        <v>43.7</v>
      </c>
      <c r="T30" s="1008">
        <v>43</v>
      </c>
      <c r="U30" s="1008">
        <v>43.4</v>
      </c>
      <c r="V30" s="1008">
        <v>43.246534740421055</v>
      </c>
      <c r="W30" s="1008">
        <v>42.460107390735018</v>
      </c>
    </row>
    <row r="31" spans="1:23" x14ac:dyDescent="0.25">
      <c r="N31" s="962"/>
    </row>
    <row r="32" spans="1:23" x14ac:dyDescent="0.25">
      <c r="D32" s="958"/>
      <c r="E32" s="1010"/>
      <c r="F32" s="965"/>
      <c r="G32" s="1010"/>
      <c r="H32" s="1010"/>
      <c r="I32" s="1011"/>
      <c r="J32" s="1010"/>
      <c r="K32" s="1010"/>
    </row>
    <row r="33" spans="1:11" x14ac:dyDescent="0.25">
      <c r="A33" s="956">
        <v>6</v>
      </c>
      <c r="B33" s="956" t="s">
        <v>56</v>
      </c>
      <c r="D33" s="958"/>
      <c r="E33" s="1010"/>
      <c r="F33" s="965"/>
      <c r="G33" s="1010"/>
      <c r="H33" s="1010"/>
      <c r="I33" s="1011"/>
      <c r="J33" s="1010"/>
      <c r="K33" s="1010"/>
    </row>
    <row r="34" spans="1:11" x14ac:dyDescent="0.25">
      <c r="D34" s="958"/>
      <c r="E34" s="1010"/>
      <c r="F34" s="1010"/>
      <c r="G34" s="1010"/>
      <c r="H34" s="1010"/>
      <c r="I34" s="1010"/>
      <c r="J34" s="1010"/>
      <c r="K34" s="1010"/>
    </row>
    <row r="35" spans="1:11" x14ac:dyDescent="0.25">
      <c r="D35" s="958"/>
      <c r="E35" s="1010"/>
      <c r="F35" s="1010"/>
      <c r="G35" s="1010"/>
      <c r="H35" s="1010"/>
      <c r="I35" s="1010"/>
      <c r="J35" s="1010"/>
      <c r="K35" s="1010"/>
    </row>
    <row r="36" spans="1:11" x14ac:dyDescent="0.25">
      <c r="D36" s="958"/>
      <c r="E36" s="1010"/>
      <c r="F36" s="1010"/>
      <c r="G36" s="1010"/>
      <c r="H36" s="1010"/>
      <c r="I36" s="1010"/>
      <c r="J36" s="1010"/>
      <c r="K36" s="1010"/>
    </row>
    <row r="37" spans="1:11" x14ac:dyDescent="0.25">
      <c r="D37" s="958"/>
      <c r="E37" s="1010"/>
      <c r="F37" s="1010"/>
      <c r="G37" s="1010"/>
      <c r="H37" s="1010"/>
      <c r="I37" s="1010"/>
      <c r="J37" s="1010"/>
      <c r="K37" s="1010"/>
    </row>
    <row r="38" spans="1:11" x14ac:dyDescent="0.25">
      <c r="D38" s="958"/>
      <c r="E38" s="1010"/>
      <c r="F38" s="1010"/>
      <c r="G38" s="1010"/>
      <c r="H38" s="1010"/>
      <c r="I38" s="1010"/>
      <c r="J38" s="1010"/>
      <c r="K38" s="1010"/>
    </row>
    <row r="39" spans="1:11" x14ac:dyDescent="0.25">
      <c r="D39" s="958"/>
      <c r="E39" s="1010"/>
      <c r="F39" s="1010"/>
      <c r="G39" s="1010"/>
      <c r="H39" s="1010"/>
      <c r="I39" s="1010"/>
      <c r="J39" s="1010"/>
      <c r="K39" s="1010"/>
    </row>
    <row r="40" spans="1:11" x14ac:dyDescent="0.25">
      <c r="D40" s="958"/>
      <c r="E40" s="1010"/>
      <c r="F40" s="1010"/>
      <c r="G40" s="1010"/>
      <c r="H40" s="1010"/>
      <c r="I40" s="1010"/>
      <c r="J40" s="1010"/>
      <c r="K40" s="1010"/>
    </row>
    <row r="41" spans="1:11" x14ac:dyDescent="0.25">
      <c r="D41" s="958"/>
      <c r="E41" s="1010"/>
      <c r="F41" s="1010"/>
      <c r="G41" s="1010"/>
      <c r="H41" s="1010"/>
      <c r="I41" s="1010"/>
      <c r="J41" s="1010"/>
      <c r="K41" s="1010"/>
    </row>
    <row r="42" spans="1:11" x14ac:dyDescent="0.25">
      <c r="D42" s="958"/>
      <c r="E42" s="1010"/>
      <c r="F42" s="1010"/>
      <c r="G42" s="1010"/>
      <c r="H42" s="1010"/>
      <c r="I42" s="1010"/>
      <c r="J42" s="1010"/>
      <c r="K42" s="1010"/>
    </row>
    <row r="43" spans="1:11" x14ac:dyDescent="0.25">
      <c r="D43" s="958"/>
      <c r="E43" s="1010"/>
      <c r="F43" s="1010"/>
      <c r="G43" s="1010"/>
      <c r="H43" s="1010"/>
      <c r="I43" s="1010"/>
      <c r="J43" s="1010"/>
      <c r="K43" s="1010"/>
    </row>
    <row r="44" spans="1:11" x14ac:dyDescent="0.25">
      <c r="D44" s="958"/>
      <c r="E44" s="958"/>
      <c r="F44" s="958"/>
      <c r="G44" s="958"/>
      <c r="H44" s="958"/>
      <c r="I44" s="958"/>
      <c r="J44" s="958"/>
      <c r="K44" s="958"/>
    </row>
    <row r="45" spans="1:11" x14ac:dyDescent="0.25">
      <c r="D45" s="958"/>
      <c r="E45" s="958"/>
      <c r="F45" s="958"/>
      <c r="G45" s="958"/>
      <c r="H45" s="958"/>
      <c r="I45" s="958"/>
      <c r="J45" s="958"/>
      <c r="K45" s="958"/>
    </row>
    <row r="46" spans="1:11" x14ac:dyDescent="0.25">
      <c r="D46" s="958"/>
      <c r="E46" s="958"/>
      <c r="F46" s="958"/>
      <c r="G46" s="958"/>
      <c r="H46" s="958"/>
      <c r="I46" s="958"/>
      <c r="J46" s="958"/>
      <c r="K46" s="958"/>
    </row>
    <row r="47" spans="1:11" x14ac:dyDescent="0.25">
      <c r="D47" s="958"/>
      <c r="E47" s="958"/>
      <c r="F47" s="958"/>
      <c r="G47" s="958"/>
      <c r="H47" s="958"/>
      <c r="I47" s="958"/>
      <c r="J47" s="958"/>
      <c r="K47" s="958"/>
    </row>
    <row r="48" spans="1:11" x14ac:dyDescent="0.25">
      <c r="D48" s="958"/>
      <c r="E48" s="958"/>
      <c r="F48" s="958"/>
      <c r="G48" s="958"/>
      <c r="H48" s="958"/>
      <c r="I48" s="958"/>
      <c r="J48" s="958"/>
      <c r="K48" s="958"/>
    </row>
    <row r="49" spans="1:22" x14ac:dyDescent="0.25">
      <c r="D49" s="958"/>
      <c r="E49" s="958"/>
      <c r="F49" s="958"/>
      <c r="G49" s="958"/>
      <c r="H49" s="958"/>
      <c r="I49" s="958"/>
      <c r="J49" s="958"/>
      <c r="K49" s="958"/>
    </row>
    <row r="50" spans="1:22" x14ac:dyDescent="0.25">
      <c r="D50" s="958"/>
      <c r="E50" s="958"/>
      <c r="F50" s="958"/>
      <c r="G50" s="958"/>
      <c r="H50" s="958"/>
      <c r="I50" s="958"/>
      <c r="J50" s="958"/>
      <c r="K50" s="958"/>
    </row>
    <row r="51" spans="1:22" x14ac:dyDescent="0.25">
      <c r="D51" s="958"/>
      <c r="E51" s="958"/>
      <c r="F51" s="958"/>
      <c r="G51" s="958"/>
      <c r="H51" s="958"/>
      <c r="I51" s="958"/>
      <c r="J51" s="958"/>
      <c r="K51" s="958"/>
    </row>
    <row r="52" spans="1:22" x14ac:dyDescent="0.25">
      <c r="D52" s="958"/>
      <c r="E52" s="958"/>
      <c r="F52" s="958"/>
      <c r="G52" s="958"/>
      <c r="H52" s="958"/>
      <c r="I52" s="958"/>
      <c r="J52" s="958"/>
      <c r="K52" s="958"/>
    </row>
    <row r="53" spans="1:22" ht="15" customHeight="1" x14ac:dyDescent="0.25">
      <c r="A53" s="956">
        <v>7</v>
      </c>
      <c r="B53" s="956" t="s">
        <v>58</v>
      </c>
      <c r="C53" s="956"/>
      <c r="D53" s="4727" t="s">
        <v>263</v>
      </c>
      <c r="E53" s="4728"/>
      <c r="F53" s="4728"/>
      <c r="G53" s="4728"/>
      <c r="H53" s="4728"/>
      <c r="I53" s="4728"/>
      <c r="J53" s="4728"/>
      <c r="K53" s="4728"/>
      <c r="L53" s="4728"/>
      <c r="M53" s="4728"/>
      <c r="N53" s="4728"/>
      <c r="O53" s="4728"/>
      <c r="P53" s="4728"/>
      <c r="Q53" s="4728"/>
      <c r="R53" s="4728"/>
      <c r="S53" s="4728"/>
      <c r="T53" s="4728"/>
      <c r="U53" s="4728"/>
      <c r="V53" s="4729"/>
    </row>
    <row r="54" spans="1:22" ht="57" customHeight="1" x14ac:dyDescent="0.25">
      <c r="A54" s="1012">
        <v>8</v>
      </c>
      <c r="B54" s="1012" t="s">
        <v>60</v>
      </c>
      <c r="C54" s="1012"/>
      <c r="D54" s="4727" t="s">
        <v>410</v>
      </c>
      <c r="E54" s="4728"/>
      <c r="F54" s="4728"/>
      <c r="G54" s="4728"/>
      <c r="H54" s="4728"/>
      <c r="I54" s="4728"/>
      <c r="J54" s="4728"/>
      <c r="K54" s="4728"/>
      <c r="L54" s="4728"/>
      <c r="M54" s="4728"/>
      <c r="N54" s="4728"/>
      <c r="O54" s="4728"/>
      <c r="P54" s="4728"/>
      <c r="Q54" s="4728"/>
      <c r="R54" s="4728"/>
      <c r="S54" s="4728"/>
      <c r="T54" s="4728"/>
      <c r="U54" s="4728"/>
      <c r="V54" s="4729"/>
    </row>
    <row r="55" spans="1:22" ht="17.649999999999999" customHeight="1" x14ac:dyDescent="0.25">
      <c r="A55" s="956">
        <v>9</v>
      </c>
      <c r="B55" s="956" t="s">
        <v>62</v>
      </c>
      <c r="C55" s="956"/>
      <c r="D55" s="4727" t="s">
        <v>411</v>
      </c>
      <c r="E55" s="4728"/>
      <c r="F55" s="4728"/>
      <c r="G55" s="4728"/>
      <c r="H55" s="4728"/>
      <c r="I55" s="4728"/>
      <c r="J55" s="4728"/>
      <c r="K55" s="4728"/>
      <c r="L55" s="4728"/>
      <c r="M55" s="4728"/>
      <c r="N55" s="4728"/>
      <c r="O55" s="4728"/>
      <c r="P55" s="4728"/>
      <c r="Q55" s="4728"/>
      <c r="R55" s="4728"/>
      <c r="S55" s="4728"/>
      <c r="T55" s="4728"/>
      <c r="U55" s="4728"/>
      <c r="V55" s="4729"/>
    </row>
    <row r="56" spans="1:22" ht="19.899999999999999" customHeight="1" x14ac:dyDescent="0.25">
      <c r="A56" s="956">
        <v>10</v>
      </c>
      <c r="B56" s="956" t="s">
        <v>278</v>
      </c>
      <c r="C56" s="956"/>
      <c r="D56" s="4727" t="s">
        <v>412</v>
      </c>
      <c r="E56" s="4728"/>
      <c r="F56" s="4728"/>
      <c r="G56" s="4728"/>
      <c r="H56" s="4728"/>
      <c r="I56" s="4728"/>
      <c r="J56" s="4728"/>
      <c r="K56" s="4728"/>
      <c r="L56" s="4728"/>
      <c r="M56" s="4728"/>
      <c r="N56" s="4728"/>
      <c r="O56" s="4728"/>
      <c r="P56" s="4728"/>
      <c r="Q56" s="4728"/>
      <c r="R56" s="4728"/>
      <c r="S56" s="4728"/>
      <c r="T56" s="4728"/>
      <c r="U56" s="4728"/>
      <c r="V56" s="4729"/>
    </row>
    <row r="58" spans="1:22" s="996" customFormat="1" hidden="1" x14ac:dyDescent="0.25">
      <c r="A58" s="1013"/>
      <c r="B58" s="1014"/>
      <c r="C58" s="1014"/>
      <c r="D58" s="1015" t="s">
        <v>74</v>
      </c>
      <c r="E58" s="1015" t="s">
        <v>413</v>
      </c>
      <c r="F58" s="1016"/>
      <c r="G58" s="1016"/>
      <c r="H58" s="1016"/>
      <c r="I58" s="1016"/>
      <c r="J58" s="1016"/>
      <c r="K58" s="1016"/>
      <c r="L58" s="1017"/>
      <c r="M58" s="1016"/>
      <c r="O58" s="995"/>
      <c r="Q58" s="995"/>
    </row>
    <row r="59" spans="1:22" s="996" customFormat="1" hidden="1" x14ac:dyDescent="0.25">
      <c r="A59" s="1013"/>
      <c r="B59" s="1014"/>
      <c r="C59" s="1014"/>
      <c r="D59" s="1018"/>
      <c r="E59" s="968">
        <v>2001</v>
      </c>
      <c r="F59" s="968">
        <v>2002</v>
      </c>
      <c r="G59" s="968">
        <v>2003</v>
      </c>
      <c r="H59" s="968">
        <v>2004</v>
      </c>
      <c r="I59" s="968">
        <v>2005</v>
      </c>
      <c r="J59" s="968">
        <v>2006</v>
      </c>
      <c r="K59" s="968">
        <v>2007</v>
      </c>
      <c r="L59" s="968">
        <v>2008</v>
      </c>
      <c r="M59" s="968">
        <v>2009</v>
      </c>
      <c r="N59" s="968">
        <v>2010</v>
      </c>
      <c r="O59" s="968">
        <v>2011</v>
      </c>
      <c r="P59" s="968">
        <v>2012</v>
      </c>
      <c r="Q59" s="968">
        <v>2013</v>
      </c>
      <c r="R59" s="968">
        <v>2014</v>
      </c>
      <c r="S59" s="968">
        <v>2015</v>
      </c>
      <c r="T59" s="968"/>
      <c r="U59" s="968">
        <v>2015</v>
      </c>
    </row>
    <row r="60" spans="1:22" s="996" customFormat="1" hidden="1" x14ac:dyDescent="0.25">
      <c r="A60" s="1013"/>
      <c r="B60" s="1014"/>
      <c r="C60" s="1014"/>
      <c r="D60" s="1019"/>
      <c r="E60" s="970"/>
      <c r="F60" s="970"/>
      <c r="G60" s="970"/>
      <c r="H60" s="970"/>
      <c r="I60" s="970"/>
      <c r="J60" s="970"/>
      <c r="K60" s="970"/>
      <c r="L60" s="970"/>
      <c r="M60" s="970"/>
      <c r="N60" s="970"/>
      <c r="O60" s="970"/>
      <c r="P60" s="970"/>
      <c r="Q60" s="970"/>
      <c r="R60" s="970"/>
      <c r="S60" s="970"/>
      <c r="T60" s="970"/>
      <c r="U60" s="970"/>
    </row>
    <row r="61" spans="1:22" s="996" customFormat="1" hidden="1" x14ac:dyDescent="0.25">
      <c r="A61" s="1013"/>
      <c r="B61" s="1014"/>
      <c r="C61" s="1014"/>
      <c r="D61" s="1002"/>
      <c r="E61" s="1020"/>
      <c r="F61" s="1020"/>
      <c r="G61" s="1020"/>
      <c r="H61" s="1020"/>
      <c r="I61" s="1020"/>
      <c r="J61" s="1020"/>
      <c r="K61" s="1020"/>
      <c r="L61" s="1020"/>
      <c r="M61" s="1020"/>
      <c r="N61" s="1020"/>
      <c r="O61" s="1020"/>
      <c r="P61" s="1020"/>
      <c r="Q61" s="1020"/>
      <c r="R61" s="1020"/>
      <c r="S61" s="1020"/>
      <c r="T61" s="1020"/>
      <c r="U61" s="1020"/>
    </row>
    <row r="62" spans="1:22" s="996" customFormat="1" hidden="1" x14ac:dyDescent="0.25">
      <c r="A62" s="1013"/>
      <c r="B62" s="1014"/>
      <c r="C62" s="1014"/>
      <c r="D62" s="1002" t="s">
        <v>401</v>
      </c>
      <c r="E62" s="1003">
        <v>31.756281049710992</v>
      </c>
      <c r="F62" s="1003">
        <v>35.43249249356613</v>
      </c>
      <c r="G62" s="1003">
        <v>30.136307155246108</v>
      </c>
      <c r="H62" s="1003">
        <v>28.770622196134873</v>
      </c>
      <c r="I62" s="1003">
        <v>33.969438150414064</v>
      </c>
      <c r="J62" s="1003">
        <v>37.002732376839717</v>
      </c>
      <c r="K62" s="1003">
        <v>33.089802916964068</v>
      </c>
      <c r="L62" s="1003">
        <v>67.402334420097162</v>
      </c>
      <c r="M62" s="1003">
        <v>68.71309365932602</v>
      </c>
      <c r="N62" s="1003">
        <v>67.181331381611528</v>
      </c>
      <c r="O62" s="1003">
        <v>67.268438124564341</v>
      </c>
      <c r="P62" s="1003">
        <v>68.133064522252837</v>
      </c>
      <c r="Q62" s="1003">
        <v>67.5710171210428</v>
      </c>
      <c r="R62" s="1003">
        <v>67.849999999999994</v>
      </c>
      <c r="S62" s="1003">
        <v>67.849999999999994</v>
      </c>
      <c r="T62" s="1003"/>
      <c r="U62" s="1003">
        <v>67.849999999999994</v>
      </c>
    </row>
    <row r="63" spans="1:22" s="996" customFormat="1" hidden="1" x14ac:dyDescent="0.25">
      <c r="A63" s="1013"/>
      <c r="B63" s="1014"/>
      <c r="C63" s="1014"/>
      <c r="D63" s="1002" t="s">
        <v>402</v>
      </c>
      <c r="E63" s="1003">
        <v>48.118986816943426</v>
      </c>
      <c r="F63" s="1003">
        <v>46.957257464035337</v>
      </c>
      <c r="G63" s="1003">
        <v>46.827743982924439</v>
      </c>
      <c r="H63" s="1003">
        <v>45.574803488252464</v>
      </c>
      <c r="I63" s="1003">
        <v>44.506987053543853</v>
      </c>
      <c r="J63" s="1003">
        <v>43.966376783882851</v>
      </c>
      <c r="K63" s="1003">
        <v>45.187549606072579</v>
      </c>
      <c r="L63" s="1003">
        <v>47.081367823634537</v>
      </c>
      <c r="M63" s="1003">
        <v>45.79748647809906</v>
      </c>
      <c r="N63" s="1003">
        <v>44.136744911398822</v>
      </c>
      <c r="O63" s="1003">
        <v>44.271779811641132</v>
      </c>
      <c r="P63" s="1003">
        <v>43.899267479668282</v>
      </c>
      <c r="Q63" s="1003">
        <v>45.459701462787912</v>
      </c>
      <c r="R63" s="1003">
        <v>47.024999999999999</v>
      </c>
      <c r="S63" s="1003">
        <v>47.075000000000003</v>
      </c>
      <c r="T63" s="1003"/>
      <c r="U63" s="1003">
        <v>47.075000000000003</v>
      </c>
    </row>
    <row r="64" spans="1:22" s="996" customFormat="1" hidden="1" x14ac:dyDescent="0.25">
      <c r="A64" s="1013"/>
      <c r="B64" s="1014"/>
      <c r="C64" s="1014"/>
      <c r="D64" s="1002" t="s">
        <v>403</v>
      </c>
      <c r="E64" s="1003">
        <v>52.146434149121035</v>
      </c>
      <c r="F64" s="1003">
        <v>51.363396371286235</v>
      </c>
      <c r="G64" s="1003">
        <v>50.688894562453441</v>
      </c>
      <c r="H64" s="1003">
        <v>51.945681228477355</v>
      </c>
      <c r="I64" s="1003">
        <v>55.653331725658894</v>
      </c>
      <c r="J64" s="1003">
        <v>56.63234431213921</v>
      </c>
      <c r="K64" s="1003">
        <v>56.750446157612728</v>
      </c>
      <c r="L64" s="1003">
        <v>58.105532134282548</v>
      </c>
      <c r="M64" s="1003">
        <v>54.787157000735576</v>
      </c>
      <c r="N64" s="1003">
        <v>53.089707151141681</v>
      </c>
      <c r="O64" s="1003">
        <v>53.967248891981811</v>
      </c>
      <c r="P64" s="1003">
        <v>56.00434808136383</v>
      </c>
      <c r="Q64" s="1003">
        <v>57.564949089607296</v>
      </c>
      <c r="R64" s="1003">
        <v>57.85</v>
      </c>
      <c r="S64" s="1003">
        <v>58.349999999999994</v>
      </c>
      <c r="T64" s="1003"/>
      <c r="U64" s="1003">
        <v>58.349999999999994</v>
      </c>
    </row>
    <row r="65" spans="1:21" s="996" customFormat="1" hidden="1" x14ac:dyDescent="0.25">
      <c r="A65" s="1013"/>
      <c r="B65" s="1014"/>
      <c r="C65" s="1014"/>
      <c r="D65" s="1002" t="s">
        <v>404</v>
      </c>
      <c r="E65" s="1003">
        <v>37.84026634307228</v>
      </c>
      <c r="F65" s="1003">
        <v>39.650391495348266</v>
      </c>
      <c r="G65" s="1003">
        <v>38.55608012857013</v>
      </c>
      <c r="H65" s="1003">
        <v>37.953896252788667</v>
      </c>
      <c r="I65" s="1003">
        <v>39.145001543319552</v>
      </c>
      <c r="J65" s="1003">
        <v>41.884000698801046</v>
      </c>
      <c r="K65" s="1003">
        <v>40.648125503875114</v>
      </c>
      <c r="L65" s="1003">
        <v>60.587454841631043</v>
      </c>
      <c r="M65" s="1003">
        <v>58.616953159557525</v>
      </c>
      <c r="N65" s="1003">
        <v>58.858286858247077</v>
      </c>
      <c r="O65" s="1003">
        <v>58.783585537164079</v>
      </c>
      <c r="P65" s="1003">
        <v>58.720660619177458</v>
      </c>
      <c r="Q65" s="1003">
        <v>60.276779482107699</v>
      </c>
      <c r="R65" s="1003">
        <v>61.199999999999996</v>
      </c>
      <c r="S65" s="1003">
        <v>62.2</v>
      </c>
      <c r="T65" s="1003"/>
      <c r="U65" s="1003">
        <v>62.2</v>
      </c>
    </row>
    <row r="66" spans="1:21" s="996" customFormat="1" hidden="1" x14ac:dyDescent="0.25">
      <c r="A66" s="1013"/>
      <c r="B66" s="1014"/>
      <c r="C66" s="1014"/>
      <c r="D66" s="1002" t="s">
        <v>405</v>
      </c>
      <c r="E66" s="1003">
        <v>29.66547048021247</v>
      </c>
      <c r="F66" s="1003">
        <v>29.008284216250146</v>
      </c>
      <c r="G66" s="1003">
        <v>27.39046632847014</v>
      </c>
      <c r="H66" s="1003">
        <v>29.2355170313513</v>
      </c>
      <c r="I66" s="1003">
        <v>28.547980818177294</v>
      </c>
      <c r="J66" s="1003">
        <v>28.041642076381422</v>
      </c>
      <c r="K66" s="1003">
        <v>29.912676109281428</v>
      </c>
      <c r="L66" s="1003">
        <v>54.048818956118303</v>
      </c>
      <c r="M66" s="1003">
        <v>49.430295200031111</v>
      </c>
      <c r="N66" s="1003">
        <v>46.792543708363787</v>
      </c>
      <c r="O66" s="1003">
        <v>47.183343604032075</v>
      </c>
      <c r="P66" s="1003">
        <v>47.436524626204005</v>
      </c>
      <c r="Q66" s="1003">
        <v>48.25520582701089</v>
      </c>
      <c r="R66" s="1003">
        <v>48.45</v>
      </c>
      <c r="S66" s="1003">
        <v>48.325000000000003</v>
      </c>
      <c r="T66" s="1003"/>
      <c r="U66" s="1003">
        <v>48.325000000000003</v>
      </c>
    </row>
    <row r="67" spans="1:21" s="996" customFormat="1" hidden="1" x14ac:dyDescent="0.25">
      <c r="A67" s="1013"/>
      <c r="B67" s="1014"/>
      <c r="C67" s="1014"/>
      <c r="D67" s="1002" t="s">
        <v>406</v>
      </c>
      <c r="E67" s="1003">
        <v>40.929994905922378</v>
      </c>
      <c r="F67" s="1003">
        <v>41.342464175175635</v>
      </c>
      <c r="G67" s="1003">
        <v>41.047497216286835</v>
      </c>
      <c r="H67" s="1003">
        <v>41.009779526760113</v>
      </c>
      <c r="I67" s="1003">
        <v>41.117690100945417</v>
      </c>
      <c r="J67" s="1003">
        <v>42.524456603313482</v>
      </c>
      <c r="K67" s="1003">
        <v>42.979141009662492</v>
      </c>
      <c r="L67" s="1003">
        <v>55.735171620413055</v>
      </c>
      <c r="M67" s="1003">
        <v>53.40959874334353</v>
      </c>
      <c r="N67" s="1003">
        <v>49.673576483168198</v>
      </c>
      <c r="O67" s="1003">
        <v>47.137520254371054</v>
      </c>
      <c r="P67" s="1003">
        <v>47.489980766126294</v>
      </c>
      <c r="Q67" s="1003">
        <v>49.435493960628463</v>
      </c>
      <c r="R67" s="1003">
        <v>51.55</v>
      </c>
      <c r="S67" s="1003">
        <v>51.9</v>
      </c>
      <c r="T67" s="1003"/>
      <c r="U67" s="1003">
        <v>51.9</v>
      </c>
    </row>
    <row r="68" spans="1:21" s="996" customFormat="1" hidden="1" x14ac:dyDescent="0.25">
      <c r="A68" s="1013"/>
      <c r="B68" s="1014"/>
      <c r="C68" s="1014"/>
      <c r="D68" s="1002" t="s">
        <v>407</v>
      </c>
      <c r="E68" s="1003">
        <v>36.579526202896787</v>
      </c>
      <c r="F68" s="1003">
        <v>37.698776845275788</v>
      </c>
      <c r="G68" s="1003">
        <v>35.878175548593717</v>
      </c>
      <c r="H68" s="1003">
        <v>37.143136712459516</v>
      </c>
      <c r="I68" s="1003">
        <v>40.090768969994727</v>
      </c>
      <c r="J68" s="1003">
        <v>39.405559710359753</v>
      </c>
      <c r="K68" s="1003">
        <v>39.934393024234069</v>
      </c>
      <c r="L68" s="1003">
        <v>73.392508774971361</v>
      </c>
      <c r="M68" s="1003">
        <v>71.556116454128556</v>
      </c>
      <c r="N68" s="1003">
        <v>70.570018644927956</v>
      </c>
      <c r="O68" s="1003">
        <v>70.815583560683365</v>
      </c>
      <c r="P68" s="1003">
        <v>70.14305864277928</v>
      </c>
      <c r="Q68" s="1003">
        <v>69.8824688933435</v>
      </c>
      <c r="R68" s="1003">
        <v>68.850000000000009</v>
      </c>
      <c r="S68" s="1003">
        <v>72.474999999999994</v>
      </c>
      <c r="T68" s="1003"/>
      <c r="U68" s="1003">
        <v>72.474999999999994</v>
      </c>
    </row>
    <row r="69" spans="1:21" s="996" customFormat="1" hidden="1" x14ac:dyDescent="0.25">
      <c r="A69" s="1013"/>
      <c r="B69" s="1014"/>
      <c r="C69" s="1014"/>
      <c r="D69" s="1002" t="s">
        <v>408</v>
      </c>
      <c r="E69" s="1003">
        <v>46.439078334423655</v>
      </c>
      <c r="F69" s="1003">
        <v>48.151308918118247</v>
      </c>
      <c r="G69" s="1003">
        <v>46.500448351222161</v>
      </c>
      <c r="H69" s="1003">
        <v>44.9244010462305</v>
      </c>
      <c r="I69" s="1003">
        <v>41.569521739447126</v>
      </c>
      <c r="J69" s="1003">
        <v>44.957282631949141</v>
      </c>
      <c r="K69" s="1003">
        <v>44.288761888488338</v>
      </c>
      <c r="L69" s="1003">
        <v>55.747256729499959</v>
      </c>
      <c r="M69" s="1003">
        <v>55.739634143491365</v>
      </c>
      <c r="N69" s="1003">
        <v>54.366991964327262</v>
      </c>
      <c r="O69" s="1003">
        <v>55.115238141098018</v>
      </c>
      <c r="P69" s="1003">
        <v>56.913954577713284</v>
      </c>
      <c r="Q69" s="1003">
        <v>58.865436022511339</v>
      </c>
      <c r="R69" s="1003">
        <v>58.975000000000001</v>
      </c>
      <c r="S69" s="1003">
        <v>58.45</v>
      </c>
      <c r="T69" s="1003"/>
      <c r="U69" s="1003">
        <v>58.45</v>
      </c>
    </row>
    <row r="70" spans="1:21" s="996" customFormat="1" hidden="1" x14ac:dyDescent="0.25">
      <c r="A70" s="1013"/>
      <c r="B70" s="1014"/>
      <c r="C70" s="1014"/>
      <c r="D70" s="1002" t="s">
        <v>409</v>
      </c>
      <c r="E70" s="1003">
        <v>54.627211637990555</v>
      </c>
      <c r="F70" s="1003">
        <v>52.717945664570912</v>
      </c>
      <c r="G70" s="1003">
        <v>53.547606020872365</v>
      </c>
      <c r="H70" s="1003">
        <v>52.900933297850607</v>
      </c>
      <c r="I70" s="1003">
        <v>52.857809310955346</v>
      </c>
      <c r="J70" s="1003">
        <v>55.451761485237647</v>
      </c>
      <c r="K70" s="1003">
        <v>55.09392751546099</v>
      </c>
      <c r="L70" s="1003">
        <v>42.477564972253234</v>
      </c>
      <c r="M70" s="1003">
        <v>41.068008902965502</v>
      </c>
      <c r="N70" s="1003">
        <v>37.985657210378477</v>
      </c>
      <c r="O70" s="1003">
        <v>37.531726069560555</v>
      </c>
      <c r="P70" s="1003">
        <v>40.402616924759705</v>
      </c>
      <c r="Q70" s="1003">
        <v>39.945110444803397</v>
      </c>
      <c r="R70" s="1003">
        <v>40.924999999999997</v>
      </c>
      <c r="S70" s="1003">
        <v>44.924999999999997</v>
      </c>
      <c r="T70" s="1003"/>
      <c r="U70" s="1003">
        <v>44.924999999999997</v>
      </c>
    </row>
    <row r="71" spans="1:21" s="996" customFormat="1" hidden="1" x14ac:dyDescent="0.25">
      <c r="A71" s="1013"/>
      <c r="B71" s="1014"/>
      <c r="C71" s="1014"/>
      <c r="D71" s="1021" t="s">
        <v>306</v>
      </c>
      <c r="E71" s="1022">
        <v>42.354965011895132</v>
      </c>
      <c r="F71" s="1022">
        <v>42.835676155122613</v>
      </c>
      <c r="G71" s="1022">
        <v>41.509571594326673</v>
      </c>
      <c r="H71" s="1022">
        <v>41.590244863339571</v>
      </c>
      <c r="I71" s="1022">
        <v>43.373047458502697</v>
      </c>
      <c r="J71" s="1022">
        <v>44.893965416879325</v>
      </c>
      <c r="K71" s="1022">
        <v>44.429330064917863</v>
      </c>
      <c r="L71" s="1022">
        <v>59.284120220350218</v>
      </c>
      <c r="M71" s="1022">
        <v>57.474348716026704</v>
      </c>
      <c r="N71" s="1022">
        <v>55.686260729101676</v>
      </c>
      <c r="O71" s="1022">
        <v>55.734168268463293</v>
      </c>
      <c r="P71" s="1022">
        <v>56.180874434130402</v>
      </c>
      <c r="Q71" s="1022">
        <v>56.772236332336774</v>
      </c>
      <c r="R71" s="1022">
        <v>57.1</v>
      </c>
      <c r="S71" s="1022">
        <v>58.5</v>
      </c>
      <c r="T71" s="1022"/>
      <c r="U71" s="1022">
        <v>58.5</v>
      </c>
    </row>
    <row r="72" spans="1:21" s="996" customFormat="1" hidden="1" x14ac:dyDescent="0.25">
      <c r="A72" s="1013"/>
      <c r="B72" s="1014"/>
      <c r="C72" s="1014"/>
      <c r="L72" s="1023"/>
    </row>
    <row r="73" spans="1:21" s="996" customFormat="1" hidden="1" x14ac:dyDescent="0.25">
      <c r="A73" s="1013"/>
      <c r="B73" s="1014"/>
      <c r="C73" s="1014"/>
      <c r="D73" s="1015" t="s">
        <v>74</v>
      </c>
      <c r="E73" s="1015" t="s">
        <v>414</v>
      </c>
      <c r="F73" s="1016"/>
      <c r="G73" s="1016"/>
      <c r="H73" s="1016"/>
      <c r="I73" s="1016"/>
      <c r="J73" s="1016"/>
      <c r="K73" s="1016"/>
      <c r="L73" s="1017"/>
      <c r="M73" s="1016"/>
      <c r="O73" s="995"/>
    </row>
    <row r="74" spans="1:21" s="996" customFormat="1" hidden="1" x14ac:dyDescent="0.25">
      <c r="A74" s="1013"/>
      <c r="B74" s="1014"/>
      <c r="C74" s="1014"/>
      <c r="D74" s="1018"/>
      <c r="E74" s="968">
        <v>2001</v>
      </c>
      <c r="F74" s="968">
        <v>2002</v>
      </c>
      <c r="G74" s="968">
        <v>2003</v>
      </c>
      <c r="H74" s="968">
        <v>2004</v>
      </c>
      <c r="I74" s="968">
        <v>2005</v>
      </c>
      <c r="J74" s="968">
        <v>2006</v>
      </c>
      <c r="K74" s="968">
        <v>2007</v>
      </c>
      <c r="L74" s="968">
        <v>2008</v>
      </c>
      <c r="M74" s="968">
        <v>2009</v>
      </c>
      <c r="N74" s="968">
        <v>2010</v>
      </c>
      <c r="O74" s="968">
        <v>2011</v>
      </c>
      <c r="P74" s="968">
        <v>2012</v>
      </c>
      <c r="Q74" s="968">
        <v>2013</v>
      </c>
      <c r="R74" s="968">
        <v>2014</v>
      </c>
      <c r="S74" s="968">
        <v>2015</v>
      </c>
      <c r="T74" s="968"/>
      <c r="U74" s="968">
        <v>2015</v>
      </c>
    </row>
    <row r="75" spans="1:21" s="996" customFormat="1" hidden="1" x14ac:dyDescent="0.25">
      <c r="A75" s="1013"/>
      <c r="B75" s="1014"/>
      <c r="C75" s="1014"/>
      <c r="D75" s="1019"/>
      <c r="E75" s="970"/>
      <c r="F75" s="970"/>
      <c r="G75" s="970"/>
      <c r="H75" s="970"/>
      <c r="I75" s="970"/>
      <c r="J75" s="970"/>
      <c r="K75" s="970"/>
      <c r="L75" s="970"/>
      <c r="M75" s="970"/>
      <c r="N75" s="970"/>
      <c r="O75" s="970"/>
      <c r="P75" s="970"/>
      <c r="Q75" s="970"/>
      <c r="R75" s="970"/>
      <c r="S75" s="970"/>
      <c r="T75" s="970"/>
      <c r="U75" s="970"/>
    </row>
    <row r="76" spans="1:21" s="996" customFormat="1" hidden="1" x14ac:dyDescent="0.25">
      <c r="A76" s="1013"/>
      <c r="B76" s="1014"/>
      <c r="C76" s="1014"/>
      <c r="D76" s="1002"/>
      <c r="E76" s="1003"/>
      <c r="F76" s="1003"/>
      <c r="G76" s="1003"/>
      <c r="H76" s="1003"/>
      <c r="I76" s="1003"/>
      <c r="J76" s="1003"/>
      <c r="K76" s="1003"/>
      <c r="L76" s="1003"/>
      <c r="M76" s="1003"/>
      <c r="N76" s="1003"/>
      <c r="O76" s="1003"/>
      <c r="P76" s="1003"/>
      <c r="Q76" s="1003"/>
      <c r="R76" s="1003"/>
      <c r="S76" s="1003"/>
      <c r="T76" s="1003"/>
      <c r="U76" s="1003"/>
    </row>
    <row r="77" spans="1:21" s="996" customFormat="1" hidden="1" x14ac:dyDescent="0.25">
      <c r="A77" s="1013"/>
      <c r="B77" s="1014"/>
      <c r="C77" s="1014"/>
      <c r="D77" s="1002" t="s">
        <v>415</v>
      </c>
      <c r="E77" s="1003">
        <v>64.634882591007894</v>
      </c>
      <c r="F77" s="1003">
        <v>65.881555094493478</v>
      </c>
      <c r="G77" s="1003">
        <v>64.222196856013809</v>
      </c>
      <c r="H77" s="1003">
        <v>62.90828400072138</v>
      </c>
      <c r="I77" s="1003">
        <v>64.269517733194078</v>
      </c>
      <c r="J77" s="1003">
        <v>64.819535832597623</v>
      </c>
      <c r="K77" s="1003">
        <v>64.289810349309136</v>
      </c>
      <c r="L77" s="1003">
        <v>67.139957670086019</v>
      </c>
      <c r="M77" s="1003">
        <v>65.1807105856943</v>
      </c>
      <c r="N77" s="1003">
        <v>63.29066644762019</v>
      </c>
      <c r="O77" s="1003">
        <v>62.751425987964531</v>
      </c>
      <c r="P77" s="1003">
        <v>63.264202089679777</v>
      </c>
      <c r="Q77" s="1003">
        <v>63.4</v>
      </c>
      <c r="R77" s="1003">
        <v>63.7</v>
      </c>
      <c r="S77" s="1003">
        <v>65.099999999999994</v>
      </c>
      <c r="T77" s="1003"/>
      <c r="U77" s="1003">
        <v>65.099999999999994</v>
      </c>
    </row>
    <row r="78" spans="1:21" s="996" customFormat="1" hidden="1" x14ac:dyDescent="0.25">
      <c r="A78" s="1013"/>
      <c r="B78" s="1014"/>
      <c r="C78" s="1014"/>
      <c r="D78" s="1002" t="s">
        <v>416</v>
      </c>
      <c r="E78" s="1024">
        <v>50.863602910453288</v>
      </c>
      <c r="F78" s="1024">
        <v>52.522343788908231</v>
      </c>
      <c r="G78" s="1024">
        <v>50.456671538930962</v>
      </c>
      <c r="H78" s="1024">
        <v>48.313009661265255</v>
      </c>
      <c r="I78" s="1024">
        <v>50.362207992727534</v>
      </c>
      <c r="J78" s="1024">
        <v>51.872240541787932</v>
      </c>
      <c r="K78" s="1024">
        <v>50.783509209581993</v>
      </c>
      <c r="L78" s="1024">
        <v>51.861720551692891</v>
      </c>
      <c r="M78" s="1024">
        <v>50.15960471751044</v>
      </c>
      <c r="N78" s="1024">
        <v>48.435273610623248</v>
      </c>
      <c r="O78" s="1024">
        <v>49.014293685902487</v>
      </c>
      <c r="P78" s="1024">
        <v>49.369475219699751</v>
      </c>
      <c r="Q78" s="1024">
        <v>50.4</v>
      </c>
      <c r="R78" s="1024">
        <v>50.7</v>
      </c>
      <c r="S78" s="1024">
        <v>52.1</v>
      </c>
      <c r="T78" s="1024"/>
      <c r="U78" s="1024">
        <v>52.1</v>
      </c>
    </row>
    <row r="79" spans="1:21" s="996" customFormat="1" hidden="1" x14ac:dyDescent="0.25">
      <c r="A79" s="1013"/>
      <c r="B79" s="1014"/>
      <c r="C79" s="1014"/>
      <c r="D79" s="1021" t="s">
        <v>232</v>
      </c>
      <c r="E79" s="1025">
        <v>57.356284207845135</v>
      </c>
      <c r="F79" s="1025">
        <v>58.826644319925983</v>
      </c>
      <c r="G79" s="1025">
        <v>56.960750812611295</v>
      </c>
      <c r="H79" s="1025">
        <v>55.218047341957032</v>
      </c>
      <c r="I79" s="1025">
        <v>56.950978913340322</v>
      </c>
      <c r="J79" s="1025">
        <v>58.015775618251745</v>
      </c>
      <c r="K79" s="1025">
        <v>57.203361484734934</v>
      </c>
      <c r="L79" s="1025">
        <v>57.844721106008087</v>
      </c>
      <c r="M79" s="1025">
        <v>55.851479746204291</v>
      </c>
      <c r="N79" s="1025">
        <v>54.274999999999999</v>
      </c>
      <c r="O79" s="1025">
        <v>54.375</v>
      </c>
      <c r="P79" s="1025">
        <v>54.824999999999996</v>
      </c>
      <c r="Q79" s="1025">
        <v>56.8</v>
      </c>
      <c r="R79" s="1025">
        <v>57.1</v>
      </c>
      <c r="S79" s="1025">
        <v>58.5</v>
      </c>
      <c r="T79" s="1025"/>
      <c r="U79" s="1025">
        <v>58.5</v>
      </c>
    </row>
    <row r="80" spans="1:21" s="996" customFormat="1" hidden="1" x14ac:dyDescent="0.25">
      <c r="A80" s="1013"/>
      <c r="B80" s="1014"/>
      <c r="C80" s="1014"/>
      <c r="L80" s="1023"/>
      <c r="N80" s="995"/>
    </row>
    <row r="81" spans="1:21" s="996" customFormat="1" hidden="1" x14ac:dyDescent="0.25">
      <c r="A81" s="1013"/>
      <c r="B81" s="1014"/>
      <c r="C81" s="1014"/>
      <c r="D81" s="1015" t="s">
        <v>74</v>
      </c>
      <c r="E81" s="1015" t="s">
        <v>417</v>
      </c>
      <c r="F81" s="1016"/>
      <c r="G81" s="1016"/>
      <c r="H81" s="1016"/>
      <c r="I81" s="1016"/>
      <c r="J81" s="1016"/>
      <c r="K81" s="1016"/>
      <c r="L81" s="1017"/>
      <c r="M81" s="1016"/>
      <c r="O81" s="995"/>
    </row>
    <row r="82" spans="1:21" s="996" customFormat="1" hidden="1" x14ac:dyDescent="0.25">
      <c r="A82" s="1013"/>
      <c r="B82" s="1014"/>
      <c r="C82" s="1014"/>
      <c r="D82" s="1018"/>
      <c r="E82" s="968">
        <v>2001</v>
      </c>
      <c r="F82" s="968">
        <v>2002</v>
      </c>
      <c r="G82" s="968">
        <v>2003</v>
      </c>
      <c r="H82" s="968">
        <v>2004</v>
      </c>
      <c r="I82" s="968">
        <v>2005</v>
      </c>
      <c r="J82" s="968">
        <v>2006</v>
      </c>
      <c r="K82" s="968">
        <v>2007</v>
      </c>
      <c r="L82" s="968">
        <v>2008</v>
      </c>
      <c r="M82" s="968">
        <v>2009</v>
      </c>
      <c r="N82" s="968">
        <v>2010</v>
      </c>
      <c r="O82" s="968">
        <v>2011</v>
      </c>
      <c r="P82" s="968">
        <v>2012</v>
      </c>
      <c r="Q82" s="968">
        <v>2013</v>
      </c>
      <c r="R82" s="968">
        <v>2014</v>
      </c>
      <c r="S82" s="968">
        <v>2015</v>
      </c>
      <c r="T82" s="968"/>
      <c r="U82" s="968">
        <v>2015</v>
      </c>
    </row>
    <row r="83" spans="1:21" s="996" customFormat="1" hidden="1" x14ac:dyDescent="0.25">
      <c r="A83" s="1013"/>
      <c r="B83" s="1014"/>
      <c r="C83" s="1014"/>
      <c r="D83" s="1019"/>
      <c r="E83" s="970"/>
      <c r="F83" s="970"/>
      <c r="G83" s="970"/>
      <c r="H83" s="970"/>
      <c r="I83" s="970"/>
      <c r="J83" s="970"/>
      <c r="K83" s="970"/>
      <c r="L83" s="970"/>
      <c r="M83" s="970"/>
      <c r="N83" s="970"/>
      <c r="O83" s="970"/>
      <c r="P83" s="970"/>
      <c r="Q83" s="970"/>
      <c r="R83" s="970"/>
      <c r="S83" s="970"/>
      <c r="T83" s="970"/>
      <c r="U83" s="970"/>
    </row>
    <row r="84" spans="1:21" s="996" customFormat="1" hidden="1" x14ac:dyDescent="0.25">
      <c r="A84" s="1013"/>
      <c r="B84" s="1014"/>
      <c r="C84" s="1014"/>
      <c r="D84" s="1002"/>
      <c r="E84" s="1003"/>
      <c r="F84" s="1003"/>
      <c r="G84" s="1003"/>
      <c r="H84" s="1003"/>
      <c r="I84" s="1003"/>
      <c r="J84" s="1003"/>
      <c r="K84" s="1003"/>
      <c r="L84" s="1003"/>
      <c r="M84" s="1003"/>
      <c r="N84" s="1003"/>
      <c r="O84" s="1003"/>
      <c r="P84" s="1003"/>
      <c r="Q84" s="1003"/>
      <c r="R84" s="1003"/>
      <c r="S84" s="1003"/>
      <c r="T84" s="1003"/>
      <c r="U84" s="1003"/>
    </row>
    <row r="85" spans="1:21" s="996" customFormat="1" hidden="1" x14ac:dyDescent="0.25">
      <c r="A85" s="1013"/>
      <c r="B85" s="1014"/>
      <c r="C85" s="1014"/>
      <c r="D85" s="1002" t="s">
        <v>415</v>
      </c>
      <c r="E85" s="1003">
        <v>49.606207108573123</v>
      </c>
      <c r="F85" s="1003">
        <v>50.401527470003458</v>
      </c>
      <c r="G85" s="1003">
        <v>49.027663411262964</v>
      </c>
      <c r="H85" s="1003">
        <v>49.545315257937595</v>
      </c>
      <c r="I85" s="1003">
        <v>51.38563234543367</v>
      </c>
      <c r="J85" s="1003">
        <v>52.759333827456722</v>
      </c>
      <c r="K85" s="1003">
        <v>52.215789906638648</v>
      </c>
      <c r="L85" s="1003">
        <v>53.833932272650983</v>
      </c>
      <c r="M85" s="1003">
        <v>50.814126444390496</v>
      </c>
      <c r="N85" s="1003">
        <v>48.723896886955586</v>
      </c>
      <c r="O85" s="1003">
        <v>48.508201688170104</v>
      </c>
      <c r="P85" s="1003">
        <v>48.711927975809793</v>
      </c>
      <c r="Q85" s="1003">
        <v>48.7</v>
      </c>
      <c r="R85" s="1003">
        <v>48.9</v>
      </c>
      <c r="S85" s="1003">
        <v>49.9</v>
      </c>
      <c r="T85" s="1003"/>
      <c r="U85" s="1003">
        <v>49.9</v>
      </c>
    </row>
    <row r="86" spans="1:21" s="996" customFormat="1" hidden="1" x14ac:dyDescent="0.25">
      <c r="A86" s="1013"/>
      <c r="B86" s="1014"/>
      <c r="C86" s="1014"/>
      <c r="D86" s="1002" t="s">
        <v>416</v>
      </c>
      <c r="E86" s="1024">
        <v>35.886686166771682</v>
      </c>
      <c r="F86" s="1024">
        <v>36.074717402600719</v>
      </c>
      <c r="G86" s="1024">
        <v>34.775731393866749</v>
      </c>
      <c r="H86" s="1024">
        <v>34.447517775213868</v>
      </c>
      <c r="I86" s="1024">
        <v>36.159352757809472</v>
      </c>
      <c r="J86" s="1024">
        <v>37.791675161772957</v>
      </c>
      <c r="K86" s="1024">
        <v>37.375718793690574</v>
      </c>
      <c r="L86" s="1024">
        <v>38.43212045613128</v>
      </c>
      <c r="M86" s="1024">
        <v>37.275527749134227</v>
      </c>
      <c r="N86" s="1024">
        <v>35.268155185829563</v>
      </c>
      <c r="O86" s="1024">
        <v>35.609978504611377</v>
      </c>
      <c r="P86" s="1024">
        <v>35.954082398788827</v>
      </c>
      <c r="Q86" s="1024">
        <v>37</v>
      </c>
      <c r="R86" s="1024">
        <v>36.9</v>
      </c>
      <c r="S86" s="1024">
        <v>37.700000000000003</v>
      </c>
      <c r="T86" s="1024"/>
      <c r="U86" s="1024">
        <v>37.700000000000003</v>
      </c>
    </row>
    <row r="87" spans="1:21" s="996" customFormat="1" hidden="1" x14ac:dyDescent="0.25">
      <c r="A87" s="1013"/>
      <c r="B87" s="1014"/>
      <c r="C87" s="1014"/>
      <c r="D87" s="1021" t="s">
        <v>232</v>
      </c>
      <c r="E87" s="1025">
        <v>42.354965011895125</v>
      </c>
      <c r="F87" s="1025">
        <v>42.835676155122592</v>
      </c>
      <c r="G87" s="1025">
        <v>41.509571594326594</v>
      </c>
      <c r="H87" s="1025">
        <v>41.590244863339606</v>
      </c>
      <c r="I87" s="1025">
        <v>43.373047458502704</v>
      </c>
      <c r="J87" s="1025">
        <v>44.893965416879368</v>
      </c>
      <c r="K87" s="1025">
        <v>44.42933006491787</v>
      </c>
      <c r="L87" s="1025">
        <v>44.591633791139799</v>
      </c>
      <c r="M87" s="1025">
        <v>42.464870064073523</v>
      </c>
      <c r="N87" s="1025">
        <v>40.75</v>
      </c>
      <c r="O87" s="1025">
        <v>40.825000000000003</v>
      </c>
      <c r="P87" s="1025">
        <v>41.024999999999999</v>
      </c>
      <c r="Q87" s="1025">
        <v>42.7</v>
      </c>
      <c r="R87" s="1025">
        <v>42.8</v>
      </c>
      <c r="S87" s="1025">
        <v>43.7</v>
      </c>
      <c r="T87" s="1025"/>
      <c r="U87" s="1025">
        <v>43.7</v>
      </c>
    </row>
    <row r="88" spans="1:21" hidden="1" x14ac:dyDescent="0.25">
      <c r="D88" s="1026" t="s">
        <v>74</v>
      </c>
      <c r="E88" s="1026" t="s">
        <v>417</v>
      </c>
      <c r="F88" s="1027"/>
      <c r="G88" s="1027"/>
      <c r="H88" s="1027"/>
      <c r="I88" s="1027"/>
      <c r="J88" s="1027"/>
      <c r="K88" s="1027"/>
      <c r="L88" s="1027"/>
      <c r="M88" s="1027"/>
      <c r="O88" s="962"/>
    </row>
    <row r="89" spans="1:21" ht="12.75" hidden="1" customHeight="1" x14ac:dyDescent="0.25">
      <c r="D89" s="967"/>
      <c r="E89" s="1028">
        <v>2001</v>
      </c>
      <c r="F89" s="1029"/>
      <c r="G89" s="1029"/>
      <c r="H89" s="1029"/>
      <c r="I89" s="1029"/>
      <c r="J89" s="1029"/>
      <c r="K89" s="1030"/>
      <c r="L89" s="1031"/>
      <c r="M89" s="1032"/>
      <c r="N89" s="1033"/>
      <c r="O89" s="1034"/>
    </row>
    <row r="90" spans="1:21" hidden="1" x14ac:dyDescent="0.25">
      <c r="D90" s="969"/>
      <c r="E90" s="1035" t="s">
        <v>418</v>
      </c>
      <c r="F90" s="1036"/>
      <c r="G90" s="1036"/>
      <c r="H90" s="1036"/>
      <c r="I90" s="1036"/>
      <c r="J90" s="1036"/>
      <c r="K90" s="1036"/>
      <c r="L90" s="1037"/>
      <c r="M90" s="1038"/>
      <c r="N90" s="1039"/>
      <c r="O90" s="969"/>
    </row>
    <row r="91" spans="1:21" hidden="1" x14ac:dyDescent="0.25">
      <c r="D91" s="971"/>
      <c r="E91" s="1040"/>
      <c r="F91" s="1041"/>
      <c r="G91" s="1041"/>
      <c r="H91" s="1041"/>
      <c r="I91" s="1041"/>
      <c r="J91" s="1041"/>
      <c r="K91" s="1041"/>
      <c r="L91" s="1042"/>
      <c r="M91" s="1043"/>
      <c r="N91" s="1044"/>
      <c r="O91" s="962"/>
    </row>
    <row r="92" spans="1:21" hidden="1" x14ac:dyDescent="0.25">
      <c r="D92" s="971" t="s">
        <v>415</v>
      </c>
      <c r="E92" s="1040">
        <v>49.606207108573123</v>
      </c>
      <c r="F92" s="1041"/>
      <c r="G92" s="1041"/>
      <c r="H92" s="1041"/>
      <c r="I92" s="1041"/>
      <c r="J92" s="1041"/>
      <c r="K92" s="1041"/>
      <c r="L92" s="1042"/>
      <c r="M92" s="1043"/>
      <c r="N92" s="1044"/>
      <c r="O92" s="960"/>
    </row>
    <row r="93" spans="1:21" hidden="1" x14ac:dyDescent="0.25">
      <c r="D93" s="971" t="s">
        <v>416</v>
      </c>
      <c r="E93" s="1040">
        <v>35.886686166771682</v>
      </c>
      <c r="F93" s="1041"/>
      <c r="G93" s="1041"/>
      <c r="H93" s="1041"/>
      <c r="I93" s="1041"/>
      <c r="J93" s="1041"/>
      <c r="K93" s="1041"/>
      <c r="L93" s="1042"/>
      <c r="M93" s="1043"/>
      <c r="N93" s="1044"/>
      <c r="O93" s="960"/>
    </row>
    <row r="94" spans="1:21" hidden="1" x14ac:dyDescent="0.25">
      <c r="D94" s="1045" t="s">
        <v>232</v>
      </c>
      <c r="E94" s="1046">
        <v>42.354965011895125</v>
      </c>
      <c r="F94" s="1047"/>
      <c r="G94" s="1047"/>
      <c r="H94" s="1047"/>
      <c r="I94" s="1047"/>
      <c r="J94" s="1047"/>
      <c r="K94" s="1047"/>
      <c r="L94" s="1048"/>
      <c r="M94" s="1049"/>
      <c r="N94" s="1050"/>
      <c r="O94" s="1051"/>
    </row>
    <row r="95" spans="1:21" hidden="1" x14ac:dyDescent="0.25"/>
    <row r="96" spans="1:21" hidden="1" x14ac:dyDescent="0.25"/>
    <row r="97" spans="1:21" hidden="1" x14ac:dyDescent="0.25"/>
    <row r="98" spans="1:21" hidden="1" x14ac:dyDescent="0.25"/>
    <row r="99" spans="1:21" hidden="1" x14ac:dyDescent="0.25"/>
    <row r="100" spans="1:21" hidden="1" x14ac:dyDescent="0.25">
      <c r="E100" s="1052"/>
      <c r="F100" s="1052"/>
      <c r="G100" s="1052"/>
      <c r="H100" s="1052"/>
      <c r="I100" s="1052"/>
      <c r="J100" s="1052"/>
      <c r="K100" s="1052"/>
      <c r="L100" s="1052"/>
      <c r="M100" s="1052"/>
      <c r="N100" s="1052"/>
      <c r="O100" s="1052"/>
      <c r="P100" s="1052"/>
      <c r="Q100" s="1052"/>
    </row>
    <row r="101" spans="1:21" s="1055" customFormat="1" hidden="1" x14ac:dyDescent="0.25">
      <c r="A101" s="1053"/>
      <c r="B101" s="1054"/>
      <c r="C101" s="1054"/>
    </row>
    <row r="102" spans="1:21" s="1064" customFormat="1" ht="13.5" hidden="1" customHeight="1" x14ac:dyDescent="0.25">
      <c r="A102" s="1056"/>
      <c r="B102" s="1057"/>
      <c r="C102" s="1057"/>
      <c r="D102" s="1058"/>
      <c r="E102" s="1059">
        <v>2001</v>
      </c>
      <c r="F102" s="1060"/>
      <c r="G102" s="1060"/>
      <c r="H102" s="1060"/>
      <c r="I102" s="1060"/>
      <c r="J102" s="1060"/>
      <c r="K102" s="1061"/>
      <c r="L102" s="1062"/>
      <c r="M102" s="1063"/>
      <c r="N102" s="1061"/>
      <c r="O102" s="1061"/>
      <c r="P102" s="1061"/>
      <c r="Q102" s="1061"/>
      <c r="R102" s="1061"/>
      <c r="S102" s="1061"/>
      <c r="T102" s="1061"/>
      <c r="U102" s="1061"/>
    </row>
    <row r="103" spans="1:21" s="1064" customFormat="1" ht="13.5" hidden="1" customHeight="1" x14ac:dyDescent="0.25">
      <c r="A103" s="1056"/>
      <c r="B103" s="1057"/>
      <c r="C103" s="1057"/>
      <c r="D103" s="1065"/>
      <c r="E103" s="1066" t="s">
        <v>68</v>
      </c>
      <c r="F103" s="1066"/>
      <c r="G103" s="1066"/>
      <c r="H103" s="1066"/>
      <c r="I103" s="1066"/>
      <c r="J103" s="1066"/>
      <c r="K103" s="1066"/>
      <c r="L103" s="1067"/>
      <c r="M103" s="1067"/>
      <c r="N103" s="1067"/>
      <c r="O103" s="1067"/>
      <c r="P103" s="1067"/>
      <c r="Q103" s="1067"/>
      <c r="R103" s="1067"/>
      <c r="S103" s="1067"/>
      <c r="T103" s="1067"/>
      <c r="U103" s="1067"/>
    </row>
    <row r="104" spans="1:21" s="1064" customFormat="1" hidden="1" x14ac:dyDescent="0.25">
      <c r="A104" s="1056"/>
      <c r="B104" s="1057"/>
      <c r="C104" s="1057"/>
      <c r="M104" s="1068"/>
      <c r="N104" s="1069"/>
    </row>
    <row r="105" spans="1:21" s="962" customFormat="1" hidden="1" x14ac:dyDescent="0.25">
      <c r="A105" s="1070"/>
      <c r="B105" s="1071"/>
      <c r="C105" s="1071"/>
      <c r="M105" s="994"/>
      <c r="N105" s="993"/>
    </row>
    <row r="106" spans="1:21" s="962" customFormat="1" hidden="1" x14ac:dyDescent="0.25">
      <c r="A106" s="1070"/>
      <c r="B106" s="1071"/>
      <c r="C106" s="1071"/>
      <c r="M106" s="1072"/>
      <c r="N106" s="1073"/>
    </row>
    <row r="107" spans="1:21" s="962" customFormat="1" hidden="1" x14ac:dyDescent="0.25">
      <c r="A107" s="1070"/>
      <c r="B107" s="1071"/>
      <c r="C107" s="1071"/>
    </row>
    <row r="108" spans="1:21" s="962" customFormat="1" hidden="1" x14ac:dyDescent="0.25">
      <c r="A108" s="1070"/>
      <c r="B108" s="1071"/>
      <c r="C108" s="1071"/>
    </row>
    <row r="109" spans="1:21" hidden="1" x14ac:dyDescent="0.25"/>
    <row r="110" spans="1:21" hidden="1" x14ac:dyDescent="0.25"/>
    <row r="111" spans="1:21" hidden="1" x14ac:dyDescent="0.25"/>
    <row r="112" spans="1:21" hidden="1" x14ac:dyDescent="0.25"/>
    <row r="113" hidden="1" x14ac:dyDescent="0.25"/>
    <row r="114" hidden="1" x14ac:dyDescent="0.25"/>
    <row r="115" hidden="1" x14ac:dyDescent="0.25"/>
    <row r="116" hidden="1" x14ac:dyDescent="0.25"/>
    <row r="117" hidden="1" x14ac:dyDescent="0.25"/>
  </sheetData>
  <sheetProtection selectLockedCells="1"/>
  <mergeCells count="8">
    <mergeCell ref="D55:V55"/>
    <mergeCell ref="D56:V56"/>
    <mergeCell ref="D2:W2"/>
    <mergeCell ref="D3:W3"/>
    <mergeCell ref="D4:W4"/>
    <mergeCell ref="D5:W5"/>
    <mergeCell ref="D53:V53"/>
    <mergeCell ref="D54:V54"/>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0099"/>
    <pageSetUpPr fitToPage="1"/>
  </sheetPr>
  <dimension ref="A1:W106"/>
  <sheetViews>
    <sheetView showGridLines="0" view="pageBreakPreview" zoomScaleNormal="100" zoomScaleSheetLayoutView="100" workbookViewId="0">
      <selection activeCell="M17" sqref="M17"/>
    </sheetView>
  </sheetViews>
  <sheetFormatPr defaultColWidth="9.26953125" defaultRowHeight="13" x14ac:dyDescent="0.25"/>
  <cols>
    <col min="1" max="1" width="3.7265625" style="956" customWidth="1"/>
    <col min="2" max="2" width="14.453125" style="957" customWidth="1"/>
    <col min="3" max="3" width="3.7265625" style="957" customWidth="1"/>
    <col min="4" max="4" width="25.26953125" style="958" customWidth="1"/>
    <col min="5" max="21" width="9.26953125" style="958" customWidth="1"/>
    <col min="22" max="16384" width="9.26953125" style="958"/>
  </cols>
  <sheetData>
    <row r="1" spans="1:23" x14ac:dyDescent="0.25">
      <c r="D1" s="1074"/>
      <c r="E1" s="1074"/>
      <c r="F1" s="1074"/>
      <c r="G1" s="1074"/>
      <c r="H1" s="1074"/>
      <c r="I1" s="1074"/>
      <c r="J1" s="1074"/>
    </row>
    <row r="2" spans="1:23" ht="12.75" customHeight="1" x14ac:dyDescent="0.25">
      <c r="A2" s="956">
        <v>1</v>
      </c>
      <c r="B2" s="956" t="s">
        <v>0</v>
      </c>
      <c r="C2" s="956">
        <v>17</v>
      </c>
      <c r="D2" s="4730" t="s">
        <v>419</v>
      </c>
      <c r="E2" s="4731"/>
      <c r="F2" s="4731"/>
      <c r="G2" s="4731"/>
      <c r="H2" s="4731"/>
      <c r="I2" s="4731"/>
      <c r="J2" s="4731"/>
      <c r="K2" s="4731"/>
      <c r="L2" s="4731"/>
      <c r="M2" s="4731"/>
      <c r="N2" s="4731"/>
      <c r="O2" s="4731"/>
      <c r="P2" s="4731"/>
      <c r="Q2" s="4731"/>
      <c r="R2" s="4731"/>
      <c r="S2" s="4731"/>
      <c r="T2" s="4731"/>
      <c r="U2" s="4731"/>
      <c r="V2" s="4731"/>
      <c r="W2" s="4732"/>
    </row>
    <row r="3" spans="1:23" ht="15" customHeight="1" x14ac:dyDescent="0.25">
      <c r="A3" s="956">
        <v>2</v>
      </c>
      <c r="B3" s="956" t="s">
        <v>2</v>
      </c>
      <c r="C3" s="956"/>
      <c r="D3" s="4730" t="s">
        <v>389</v>
      </c>
      <c r="E3" s="4731"/>
      <c r="F3" s="4731"/>
      <c r="G3" s="4731"/>
      <c r="H3" s="4731"/>
      <c r="I3" s="4731"/>
      <c r="J3" s="4731"/>
      <c r="K3" s="4731"/>
      <c r="L3" s="4731"/>
      <c r="M3" s="4731"/>
      <c r="N3" s="4731"/>
      <c r="O3" s="4731"/>
      <c r="P3" s="4731"/>
      <c r="Q3" s="4731"/>
      <c r="R3" s="4731"/>
      <c r="S3" s="4731"/>
      <c r="T3" s="4731"/>
      <c r="U3" s="4731"/>
      <c r="V3" s="4731"/>
      <c r="W3" s="4732"/>
    </row>
    <row r="4" spans="1:23" ht="12.75" customHeight="1" x14ac:dyDescent="0.25">
      <c r="A4" s="956">
        <v>3</v>
      </c>
      <c r="B4" s="956" t="s">
        <v>4</v>
      </c>
      <c r="C4" s="956"/>
      <c r="D4" s="4730" t="s">
        <v>420</v>
      </c>
      <c r="E4" s="4731"/>
      <c r="F4" s="4731"/>
      <c r="G4" s="4731"/>
      <c r="H4" s="4731"/>
      <c r="I4" s="4731"/>
      <c r="J4" s="4731"/>
      <c r="K4" s="4731"/>
      <c r="L4" s="4731"/>
      <c r="M4" s="4731"/>
      <c r="N4" s="4731"/>
      <c r="O4" s="4731"/>
      <c r="P4" s="4731"/>
      <c r="Q4" s="4731"/>
      <c r="R4" s="4731"/>
      <c r="S4" s="4731"/>
      <c r="T4" s="4731"/>
      <c r="U4" s="4731"/>
      <c r="V4" s="4731"/>
      <c r="W4" s="4732"/>
    </row>
    <row r="5" spans="1:23" ht="12.75" customHeight="1" x14ac:dyDescent="0.25">
      <c r="B5" s="956"/>
      <c r="C5" s="956"/>
      <c r="D5" s="4730"/>
      <c r="E5" s="4731"/>
      <c r="F5" s="4731"/>
      <c r="G5" s="4731"/>
      <c r="H5" s="4731"/>
      <c r="I5" s="4731"/>
      <c r="J5" s="4731"/>
      <c r="K5" s="4731"/>
      <c r="L5" s="4731"/>
      <c r="M5" s="4731"/>
      <c r="N5" s="4731"/>
      <c r="O5" s="4731"/>
      <c r="P5" s="4731"/>
      <c r="Q5" s="4731"/>
      <c r="R5" s="4731"/>
      <c r="S5" s="4731"/>
      <c r="T5" s="4731"/>
      <c r="U5" s="4731"/>
      <c r="V5" s="4731"/>
      <c r="W5" s="4732"/>
    </row>
    <row r="6" spans="1:23" ht="12.75" customHeight="1" x14ac:dyDescent="0.25">
      <c r="B6" s="956"/>
      <c r="C6" s="956"/>
      <c r="D6" s="1075"/>
      <c r="E6" s="1075"/>
      <c r="F6" s="1075"/>
      <c r="G6" s="1075"/>
      <c r="H6" s="1075"/>
      <c r="I6" s="1075"/>
      <c r="J6" s="1075"/>
      <c r="K6" s="1075"/>
      <c r="L6" s="1075"/>
      <c r="M6" s="1075"/>
      <c r="N6" s="1075"/>
      <c r="O6" s="1075"/>
      <c r="P6" s="1075"/>
      <c r="Q6" s="1075"/>
      <c r="R6" s="1075"/>
      <c r="S6" s="1075"/>
      <c r="T6" s="1075"/>
      <c r="U6" s="1075"/>
      <c r="V6" s="1075"/>
    </row>
    <row r="7" spans="1:23" ht="14.5" x14ac:dyDescent="0.35">
      <c r="A7" s="956">
        <v>5</v>
      </c>
      <c r="B7" s="956" t="s">
        <v>6</v>
      </c>
      <c r="C7" s="956"/>
      <c r="L7" s="23"/>
    </row>
    <row r="8" spans="1:23" ht="14.5" x14ac:dyDescent="0.35">
      <c r="D8" s="1076" t="s">
        <v>7</v>
      </c>
      <c r="E8" s="1076" t="s">
        <v>419</v>
      </c>
      <c r="F8" s="1076"/>
      <c r="G8" s="1076"/>
      <c r="H8" s="1076"/>
      <c r="I8" s="23"/>
      <c r="J8" s="23"/>
      <c r="K8" s="23"/>
      <c r="L8" s="23"/>
      <c r="O8" s="1077"/>
    </row>
    <row r="9" spans="1:23" x14ac:dyDescent="0.25">
      <c r="D9" s="1078"/>
      <c r="E9" s="1079">
        <v>2001</v>
      </c>
      <c r="F9" s="1079">
        <v>2002</v>
      </c>
      <c r="G9" s="1079">
        <v>2003</v>
      </c>
      <c r="H9" s="1079">
        <v>2004</v>
      </c>
      <c r="I9" s="1079">
        <v>2005</v>
      </c>
      <c r="J9" s="1079">
        <v>2006</v>
      </c>
      <c r="K9" s="1080">
        <v>2007</v>
      </c>
      <c r="L9" s="1079">
        <v>2008</v>
      </c>
      <c r="M9" s="1079">
        <v>2009</v>
      </c>
      <c r="N9" s="1079">
        <v>2010</v>
      </c>
      <c r="O9" s="1079">
        <v>2011</v>
      </c>
      <c r="P9" s="1079">
        <v>2012</v>
      </c>
      <c r="Q9" s="1079">
        <v>2013</v>
      </c>
      <c r="R9" s="1079">
        <v>2014</v>
      </c>
      <c r="S9" s="1079">
        <v>2015</v>
      </c>
      <c r="T9" s="1079">
        <v>2016</v>
      </c>
      <c r="U9" s="1079">
        <v>2017</v>
      </c>
      <c r="V9" s="1079">
        <v>2018</v>
      </c>
      <c r="W9" s="1079">
        <v>2019</v>
      </c>
    </row>
    <row r="10" spans="1:23" ht="13.15" customHeight="1" x14ac:dyDescent="0.25">
      <c r="D10" s="992" t="s">
        <v>421</v>
      </c>
      <c r="E10" s="1081">
        <v>25.370740413489695</v>
      </c>
      <c r="F10" s="1081">
        <v>27.18050850150826</v>
      </c>
      <c r="G10" s="1081">
        <v>27.11576670202453</v>
      </c>
      <c r="H10" s="1081">
        <v>24.7</v>
      </c>
      <c r="I10" s="1081">
        <v>23.8</v>
      </c>
      <c r="J10" s="1081">
        <v>22.6</v>
      </c>
      <c r="K10" s="1081">
        <v>22.3</v>
      </c>
      <c r="L10" s="1081">
        <v>22.5</v>
      </c>
      <c r="M10" s="1081">
        <v>23.7</v>
      </c>
      <c r="N10" s="1081">
        <v>24.9</v>
      </c>
      <c r="O10" s="1081">
        <v>24.8</v>
      </c>
      <c r="P10" s="1081">
        <v>24.9</v>
      </c>
      <c r="Q10" s="1081">
        <v>24.7</v>
      </c>
      <c r="R10" s="1081">
        <v>25.1</v>
      </c>
      <c r="S10" s="1081">
        <v>25.3</v>
      </c>
      <c r="T10" s="1081">
        <v>26.7</v>
      </c>
      <c r="U10" s="1081">
        <v>27.5</v>
      </c>
      <c r="V10" s="1081">
        <v>27.1</v>
      </c>
      <c r="W10" s="1081">
        <v>28.7</v>
      </c>
    </row>
    <row r="11" spans="1:23" x14ac:dyDescent="0.25">
      <c r="D11" s="1082" t="s">
        <v>422</v>
      </c>
      <c r="E11" s="1083">
        <v>36.109673419085098</v>
      </c>
      <c r="F11" s="1083">
        <v>38.371714052141307</v>
      </c>
      <c r="G11" s="1083">
        <v>39.851131873400583</v>
      </c>
      <c r="H11" s="1083">
        <v>39.037150298905452</v>
      </c>
      <c r="I11" s="1083">
        <v>36.915376875247134</v>
      </c>
      <c r="J11" s="1083">
        <v>35.025767928507051</v>
      </c>
      <c r="K11" s="1083">
        <v>35.29933054501911</v>
      </c>
      <c r="L11" s="1083">
        <v>29.660461123966297</v>
      </c>
      <c r="M11" s="1083">
        <v>32.4</v>
      </c>
      <c r="N11" s="1083">
        <v>35.4</v>
      </c>
      <c r="O11" s="1083">
        <v>35.6</v>
      </c>
      <c r="P11" s="1083">
        <v>35.6</v>
      </c>
      <c r="Q11" s="1083">
        <v>35.299999999999997</v>
      </c>
      <c r="R11" s="1083">
        <v>35.299999999999997</v>
      </c>
      <c r="S11" s="1083">
        <v>34.799999999999997</v>
      </c>
      <c r="T11" s="1083">
        <v>36.1</v>
      </c>
      <c r="U11" s="1083">
        <v>36.5</v>
      </c>
      <c r="V11" s="1084">
        <v>37</v>
      </c>
      <c r="W11" s="1084">
        <v>38.5</v>
      </c>
    </row>
    <row r="12" spans="1:23" x14ac:dyDescent="0.25">
      <c r="D12" s="965"/>
      <c r="E12" s="1085"/>
      <c r="F12" s="1086"/>
      <c r="G12" s="1085"/>
      <c r="H12" s="1085"/>
      <c r="I12" s="1087"/>
      <c r="J12" s="1087"/>
      <c r="K12" s="1088"/>
      <c r="L12" s="1089"/>
      <c r="M12" s="1089"/>
      <c r="N12" s="1088"/>
    </row>
    <row r="13" spans="1:23" x14ac:dyDescent="0.25">
      <c r="B13" s="956"/>
      <c r="C13" s="956"/>
      <c r="D13" s="963" t="s">
        <v>35</v>
      </c>
      <c r="E13" s="997" t="s">
        <v>423</v>
      </c>
      <c r="F13" s="1086"/>
      <c r="G13" s="1085"/>
      <c r="H13" s="1090"/>
      <c r="I13" s="1090"/>
      <c r="J13" s="1090"/>
      <c r="K13" s="1090"/>
      <c r="L13" s="1085"/>
      <c r="M13" s="1091"/>
      <c r="N13" s="1091"/>
      <c r="O13" s="1077"/>
    </row>
    <row r="14" spans="1:23" x14ac:dyDescent="0.25">
      <c r="D14" s="1078"/>
      <c r="E14" s="1079">
        <v>2001</v>
      </c>
      <c r="F14" s="1079">
        <v>2002</v>
      </c>
      <c r="G14" s="1079">
        <v>2003</v>
      </c>
      <c r="H14" s="1079">
        <v>2004</v>
      </c>
      <c r="I14" s="1079">
        <v>2005</v>
      </c>
      <c r="J14" s="1079">
        <v>2006</v>
      </c>
      <c r="K14" s="1080">
        <v>2007</v>
      </c>
      <c r="L14" s="1079">
        <v>2008</v>
      </c>
      <c r="M14" s="1079">
        <v>2009</v>
      </c>
      <c r="N14" s="1079">
        <v>2010</v>
      </c>
      <c r="O14" s="1079">
        <v>2011</v>
      </c>
      <c r="P14" s="1079">
        <v>2012</v>
      </c>
      <c r="Q14" s="1079">
        <v>2013</v>
      </c>
      <c r="R14" s="1079">
        <v>2014</v>
      </c>
      <c r="S14" s="1079">
        <v>2015</v>
      </c>
      <c r="T14" s="1079">
        <v>2016</v>
      </c>
      <c r="U14" s="1079">
        <v>2017</v>
      </c>
      <c r="V14" s="1079">
        <v>2018</v>
      </c>
      <c r="W14" s="1079">
        <v>2019</v>
      </c>
    </row>
    <row r="15" spans="1:23" x14ac:dyDescent="0.25">
      <c r="D15" s="997" t="s">
        <v>424</v>
      </c>
      <c r="E15" s="1092"/>
      <c r="F15" s="1093"/>
      <c r="G15" s="1092"/>
      <c r="H15" s="1092"/>
      <c r="I15" s="1094"/>
      <c r="J15" s="1094"/>
      <c r="K15" s="1095"/>
      <c r="L15" s="1094"/>
      <c r="M15" s="1094"/>
      <c r="N15" s="1094"/>
      <c r="O15" s="1094"/>
      <c r="P15" s="1094"/>
      <c r="Q15" s="1094"/>
      <c r="R15" s="1094"/>
      <c r="S15" s="1094"/>
      <c r="T15" s="1094"/>
      <c r="U15" s="1094"/>
      <c r="V15" s="1094"/>
      <c r="W15" s="1094"/>
    </row>
    <row r="16" spans="1:23" x14ac:dyDescent="0.25">
      <c r="D16" s="965" t="s">
        <v>401</v>
      </c>
      <c r="E16" s="1081">
        <v>20.421721305015698</v>
      </c>
      <c r="F16" s="1081">
        <v>21.440093725358981</v>
      </c>
      <c r="G16" s="1081">
        <v>21.870334912843795</v>
      </c>
      <c r="H16" s="1081">
        <v>20.119035393924058</v>
      </c>
      <c r="I16" s="1081">
        <v>20.388248729984809</v>
      </c>
      <c r="J16" s="1081">
        <v>17.592022016917625</v>
      </c>
      <c r="K16" s="1081">
        <v>18.774264382034378</v>
      </c>
      <c r="L16" s="1081">
        <v>17.867740516716722</v>
      </c>
      <c r="M16" s="1081">
        <v>20.399999999999999</v>
      </c>
      <c r="N16" s="1081">
        <v>21.4</v>
      </c>
      <c r="O16" s="1081">
        <v>21.8</v>
      </c>
      <c r="P16" s="1081">
        <v>23.4</v>
      </c>
      <c r="Q16" s="1081">
        <v>22.7</v>
      </c>
      <c r="R16" s="1081">
        <v>22.7</v>
      </c>
      <c r="S16" s="1081">
        <v>20.67328519543479</v>
      </c>
      <c r="T16" s="1081">
        <v>21.3</v>
      </c>
      <c r="U16" s="1081">
        <v>20.9</v>
      </c>
      <c r="V16" s="1081">
        <v>20.009115674995527</v>
      </c>
      <c r="W16" s="1081">
        <v>20.588852399940947</v>
      </c>
    </row>
    <row r="17" spans="1:23" x14ac:dyDescent="0.25">
      <c r="D17" s="965" t="s">
        <v>402</v>
      </c>
      <c r="E17" s="1081">
        <v>30.017800711599207</v>
      </c>
      <c r="F17" s="1081">
        <v>29.269471621251874</v>
      </c>
      <c r="G17" s="1081">
        <v>31.930099963409038</v>
      </c>
      <c r="H17" s="1081">
        <v>31.845863621412363</v>
      </c>
      <c r="I17" s="1081">
        <v>28.287244551431247</v>
      </c>
      <c r="J17" s="1081">
        <v>26.537371075316418</v>
      </c>
      <c r="K17" s="1081">
        <v>26.78131321465133</v>
      </c>
      <c r="L17" s="1081">
        <v>26.301489319020988</v>
      </c>
      <c r="M17" s="1081">
        <v>27.4</v>
      </c>
      <c r="N17" s="1081">
        <v>27</v>
      </c>
      <c r="O17" s="1081">
        <v>27.2</v>
      </c>
      <c r="P17" s="1081">
        <v>28.7</v>
      </c>
      <c r="Q17" s="1081">
        <v>29.6</v>
      </c>
      <c r="R17" s="1081">
        <v>29.6</v>
      </c>
      <c r="S17" s="1081">
        <v>28.843039967611343</v>
      </c>
      <c r="T17" s="1081">
        <v>28.4</v>
      </c>
      <c r="U17" s="1081">
        <v>34.299999999999997</v>
      </c>
      <c r="V17" s="1081">
        <v>35.386621288037183</v>
      </c>
      <c r="W17" s="1081">
        <v>37.224911910228727</v>
      </c>
    </row>
    <row r="18" spans="1:23" x14ac:dyDescent="0.25">
      <c r="D18" s="992" t="s">
        <v>403</v>
      </c>
      <c r="E18" s="1081">
        <v>21.33447654957601</v>
      </c>
      <c r="F18" s="1081">
        <v>22.144211213283548</v>
      </c>
      <c r="G18" s="1081">
        <v>23.168922495717922</v>
      </c>
      <c r="H18" s="1081">
        <v>19.740232744233531</v>
      </c>
      <c r="I18" s="1081">
        <v>23.239900584024596</v>
      </c>
      <c r="J18" s="1081">
        <v>22.165417560034872</v>
      </c>
      <c r="K18" s="1081">
        <v>22.810249280613967</v>
      </c>
      <c r="L18" s="1081">
        <v>22.833632476514122</v>
      </c>
      <c r="M18" s="1081">
        <v>26.6</v>
      </c>
      <c r="N18" s="1081">
        <v>26.4</v>
      </c>
      <c r="O18" s="1081">
        <v>28.4</v>
      </c>
      <c r="P18" s="1081">
        <v>28.3</v>
      </c>
      <c r="Q18" s="1081">
        <v>27.9</v>
      </c>
      <c r="R18" s="1081">
        <v>29.9</v>
      </c>
      <c r="S18" s="1081">
        <v>31.96754499323718</v>
      </c>
      <c r="T18" s="1081">
        <v>29.2</v>
      </c>
      <c r="U18" s="1081">
        <v>29.5</v>
      </c>
      <c r="V18" s="1081">
        <v>27.629968977781783</v>
      </c>
      <c r="W18" s="1081">
        <v>28.021436104843715</v>
      </c>
    </row>
    <row r="19" spans="1:23" x14ac:dyDescent="0.25">
      <c r="D19" s="992" t="s">
        <v>404</v>
      </c>
      <c r="E19" s="1081">
        <v>23.880766105909334</v>
      </c>
      <c r="F19" s="1081">
        <v>26.21938576147399</v>
      </c>
      <c r="G19" s="1081">
        <v>25.513622917857496</v>
      </c>
      <c r="H19" s="1081">
        <v>23.855804532201113</v>
      </c>
      <c r="I19" s="1081">
        <v>27.188403482298479</v>
      </c>
      <c r="J19" s="1081">
        <v>23.653566959737816</v>
      </c>
      <c r="K19" s="1081">
        <v>22.484505475660139</v>
      </c>
      <c r="L19" s="1081">
        <v>23.645774949514102</v>
      </c>
      <c r="M19" s="1081">
        <v>26</v>
      </c>
      <c r="N19" s="1081">
        <v>27.8</v>
      </c>
      <c r="O19" s="1081">
        <v>27.5</v>
      </c>
      <c r="P19" s="1081">
        <v>32.200000000000003</v>
      </c>
      <c r="Q19" s="1081">
        <v>32.700000000000003</v>
      </c>
      <c r="R19" s="1081">
        <v>34.1</v>
      </c>
      <c r="S19" s="1081">
        <v>30.793872941347146</v>
      </c>
      <c r="T19" s="1081">
        <v>33.700000000000003</v>
      </c>
      <c r="U19" s="1081">
        <v>33.6</v>
      </c>
      <c r="V19" s="1081">
        <v>34.111971672220704</v>
      </c>
      <c r="W19" s="1081">
        <v>34.690597512827672</v>
      </c>
    </row>
    <row r="20" spans="1:23" x14ac:dyDescent="0.25">
      <c r="D20" s="992" t="s">
        <v>405</v>
      </c>
      <c r="E20" s="1081">
        <v>22.527274871789412</v>
      </c>
      <c r="F20" s="1081">
        <v>27.168131696003272</v>
      </c>
      <c r="G20" s="1081">
        <v>25.906291478652999</v>
      </c>
      <c r="H20" s="1081">
        <v>23.345840723796108</v>
      </c>
      <c r="I20" s="1081">
        <v>24.355061594576114</v>
      </c>
      <c r="J20" s="1081">
        <v>20.562587050497136</v>
      </c>
      <c r="K20" s="1081">
        <v>22.43773479970644</v>
      </c>
      <c r="L20" s="1081">
        <v>21.658956111840201</v>
      </c>
      <c r="M20" s="1081">
        <v>19.600000000000001</v>
      </c>
      <c r="N20" s="1081">
        <v>19.7</v>
      </c>
      <c r="O20" s="1081">
        <v>19.3</v>
      </c>
      <c r="P20" s="1081">
        <v>20.399999999999999</v>
      </c>
      <c r="Q20" s="1081">
        <v>20.8</v>
      </c>
      <c r="R20" s="1081">
        <v>22.3</v>
      </c>
      <c r="S20" s="1081">
        <v>21.252057747888546</v>
      </c>
      <c r="T20" s="1081">
        <v>23.3</v>
      </c>
      <c r="U20" s="1081">
        <v>24.6</v>
      </c>
      <c r="V20" s="1081">
        <v>23.210998175217526</v>
      </c>
      <c r="W20" s="1081">
        <v>25.538562926091018</v>
      </c>
    </row>
    <row r="21" spans="1:23" x14ac:dyDescent="0.25">
      <c r="D21" s="965" t="s">
        <v>406</v>
      </c>
      <c r="E21" s="1081">
        <v>26.728532449998038</v>
      </c>
      <c r="F21" s="1081">
        <v>28.329689187703337</v>
      </c>
      <c r="G21" s="1081">
        <v>29.074987774980148</v>
      </c>
      <c r="H21" s="1081">
        <v>26.085838037708601</v>
      </c>
      <c r="I21" s="1081">
        <v>24.868350437718238</v>
      </c>
      <c r="J21" s="1081">
        <v>28.110135035906058</v>
      </c>
      <c r="K21" s="1081">
        <v>26.094088050294488</v>
      </c>
      <c r="L21" s="1081">
        <v>24.294980772399384</v>
      </c>
      <c r="M21" s="1081">
        <v>27.2</v>
      </c>
      <c r="N21" s="1081">
        <v>26.5</v>
      </c>
      <c r="O21" s="1081">
        <v>26.2</v>
      </c>
      <c r="P21" s="1081">
        <v>25.1</v>
      </c>
      <c r="Q21" s="1081">
        <v>26.7</v>
      </c>
      <c r="R21" s="1081">
        <v>26.4</v>
      </c>
      <c r="S21" s="1081">
        <v>25.708502684373634</v>
      </c>
      <c r="T21" s="1081">
        <v>28.1</v>
      </c>
      <c r="U21" s="1081">
        <v>26</v>
      </c>
      <c r="V21" s="1081">
        <v>26.652831222751395</v>
      </c>
      <c r="W21" s="1081">
        <v>29.69025504991474</v>
      </c>
    </row>
    <row r="22" spans="1:23" x14ac:dyDescent="0.25">
      <c r="D22" s="965" t="s">
        <v>407</v>
      </c>
      <c r="E22" s="1081">
        <v>27.621300603565491</v>
      </c>
      <c r="F22" s="1081">
        <v>28.295779386048459</v>
      </c>
      <c r="G22" s="1081">
        <v>28.078724755625377</v>
      </c>
      <c r="H22" s="1081">
        <v>25.546043968628069</v>
      </c>
      <c r="I22" s="1081">
        <v>21.485874862568384</v>
      </c>
      <c r="J22" s="1081">
        <v>21.355758472246094</v>
      </c>
      <c r="K22" s="1081">
        <v>20.15830974298839</v>
      </c>
      <c r="L22" s="1081">
        <v>21.512580043616502</v>
      </c>
      <c r="M22" s="1081">
        <v>23.9</v>
      </c>
      <c r="N22" s="1081">
        <v>27.1</v>
      </c>
      <c r="O22" s="1081">
        <v>27.1</v>
      </c>
      <c r="P22" s="1081">
        <v>24.9</v>
      </c>
      <c r="Q22" s="1081">
        <v>24.9</v>
      </c>
      <c r="R22" s="1081">
        <v>24.9</v>
      </c>
      <c r="S22" s="1081">
        <v>27.847666210831555</v>
      </c>
      <c r="T22" s="1081">
        <v>29.3</v>
      </c>
      <c r="U22" s="1081">
        <v>29.6</v>
      </c>
      <c r="V22" s="1081">
        <v>29.252663482162433</v>
      </c>
      <c r="W22" s="1081">
        <v>30.473907105701308</v>
      </c>
    </row>
    <row r="23" spans="1:23" x14ac:dyDescent="0.25">
      <c r="D23" s="992" t="s">
        <v>408</v>
      </c>
      <c r="E23" s="1081">
        <v>20.052437427817154</v>
      </c>
      <c r="F23" s="1081">
        <v>22.010400221283046</v>
      </c>
      <c r="G23" s="1081">
        <v>20.642756006316414</v>
      </c>
      <c r="H23" s="1081">
        <v>19.269546843422695</v>
      </c>
      <c r="I23" s="1081">
        <v>21.038404472868422</v>
      </c>
      <c r="J23" s="1081">
        <v>23.526339542152407</v>
      </c>
      <c r="K23" s="1081">
        <v>19.619436561664685</v>
      </c>
      <c r="L23" s="1081">
        <v>23.395494907430482</v>
      </c>
      <c r="M23" s="1081">
        <v>25.5</v>
      </c>
      <c r="N23" s="1081">
        <v>28.2</v>
      </c>
      <c r="O23" s="1081">
        <v>29.2</v>
      </c>
      <c r="P23" s="1081">
        <v>29.5</v>
      </c>
      <c r="Q23" s="1081">
        <v>28</v>
      </c>
      <c r="R23" s="1081">
        <v>29</v>
      </c>
      <c r="S23" s="1081">
        <v>26.896005477495059</v>
      </c>
      <c r="T23" s="1081">
        <v>30</v>
      </c>
      <c r="U23" s="1081">
        <v>30.9</v>
      </c>
      <c r="V23" s="1081">
        <v>32.530004808037255</v>
      </c>
      <c r="W23" s="1081">
        <v>34.43947485008691</v>
      </c>
    </row>
    <row r="24" spans="1:23" x14ac:dyDescent="0.25">
      <c r="D24" s="990" t="s">
        <v>409</v>
      </c>
      <c r="E24" s="1083">
        <v>31.835921346879857</v>
      </c>
      <c r="F24" s="1083">
        <v>35.542727787459761</v>
      </c>
      <c r="G24" s="1083">
        <v>36.106334167147836</v>
      </c>
      <c r="H24" s="1083">
        <v>28.976578220133298</v>
      </c>
      <c r="I24" s="1083">
        <v>30.323285024804029</v>
      </c>
      <c r="J24" s="1083">
        <v>29.615023093936287</v>
      </c>
      <c r="K24" s="1083">
        <v>29.522431411776463</v>
      </c>
      <c r="L24" s="1083">
        <v>29.720413064372174</v>
      </c>
      <c r="M24" s="1083">
        <v>25.9</v>
      </c>
      <c r="N24" s="1083">
        <v>22.5</v>
      </c>
      <c r="O24" s="1083">
        <v>19.600000000000001</v>
      </c>
      <c r="P24" s="1083">
        <v>20.5</v>
      </c>
      <c r="Q24" s="1083">
        <v>18</v>
      </c>
      <c r="R24" s="1083">
        <v>16.5</v>
      </c>
      <c r="S24" s="1083">
        <v>19.399380393630334</v>
      </c>
      <c r="T24" s="1083">
        <v>20</v>
      </c>
      <c r="U24" s="1083">
        <v>20.3</v>
      </c>
      <c r="V24" s="1083">
        <v>18.678378850991969</v>
      </c>
      <c r="W24" s="1083">
        <v>20.856291988597661</v>
      </c>
    </row>
    <row r="25" spans="1:23" x14ac:dyDescent="0.25">
      <c r="D25" s="1096" t="s">
        <v>306</v>
      </c>
      <c r="E25" s="1097">
        <v>25.370740413489667</v>
      </c>
      <c r="F25" s="1097">
        <v>27.180508501508349</v>
      </c>
      <c r="G25" s="1097">
        <v>27.11576670202464</v>
      </c>
      <c r="H25" s="1097">
        <v>24.672790326915823</v>
      </c>
      <c r="I25" s="1097">
        <v>23.839990494289875</v>
      </c>
      <c r="J25" s="1097">
        <v>22.615760539777636</v>
      </c>
      <c r="K25" s="1097">
        <v>22.326519139844482</v>
      </c>
      <c r="L25" s="1097">
        <v>22.548772782676849</v>
      </c>
      <c r="M25" s="1097">
        <v>23.7</v>
      </c>
      <c r="N25" s="1097">
        <v>24.9</v>
      </c>
      <c r="O25" s="1097">
        <v>24.8</v>
      </c>
      <c r="P25" s="1097">
        <v>24.9</v>
      </c>
      <c r="Q25" s="1097">
        <v>24.7</v>
      </c>
      <c r="R25" s="1097">
        <v>25.1</v>
      </c>
      <c r="S25" s="1097">
        <v>25.345096563891712</v>
      </c>
      <c r="T25" s="1097">
        <v>26.7</v>
      </c>
      <c r="U25" s="1097">
        <v>27.5</v>
      </c>
      <c r="V25" s="1097">
        <v>27.128272766190562</v>
      </c>
      <c r="W25" s="1097">
        <v>28.693050573151289</v>
      </c>
    </row>
    <row r="26" spans="1:23" x14ac:dyDescent="0.25">
      <c r="D26" s="1098"/>
      <c r="E26" s="1099"/>
      <c r="F26" s="1099"/>
      <c r="G26" s="1099"/>
      <c r="H26" s="1099"/>
      <c r="I26" s="1099"/>
      <c r="J26" s="1099"/>
      <c r="K26" s="1099"/>
      <c r="L26" s="1100"/>
      <c r="M26" s="1100"/>
      <c r="N26" s="1100"/>
      <c r="O26" s="1100"/>
      <c r="P26" s="1101"/>
    </row>
    <row r="27" spans="1:23" s="1110" customFormat="1" x14ac:dyDescent="0.25">
      <c r="A27" s="1013"/>
      <c r="B27" s="1014"/>
      <c r="C27" s="1014"/>
      <c r="D27" s="1102" t="s">
        <v>234</v>
      </c>
      <c r="E27" s="1103" t="s">
        <v>425</v>
      </c>
      <c r="F27" s="1104"/>
      <c r="G27" s="1105"/>
      <c r="H27" s="1105"/>
      <c r="I27" s="1106"/>
      <c r="J27" s="1107"/>
      <c r="K27" s="1107"/>
      <c r="L27" s="1107"/>
      <c r="M27" s="1107"/>
      <c r="N27" s="1107"/>
      <c r="O27" s="1108"/>
      <c r="P27" s="1107"/>
      <c r="Q27" s="1109"/>
      <c r="R27" s="1109"/>
      <c r="S27" s="1109"/>
      <c r="T27" s="1109"/>
      <c r="U27" s="1109"/>
    </row>
    <row r="28" spans="1:23" ht="12.75" customHeight="1" x14ac:dyDescent="0.25">
      <c r="D28" s="1111"/>
      <c r="E28" s="1112">
        <v>2001</v>
      </c>
      <c r="F28" s="1112">
        <v>2002</v>
      </c>
      <c r="G28" s="1112">
        <v>2003</v>
      </c>
      <c r="H28" s="1112">
        <v>2004</v>
      </c>
      <c r="I28" s="1112">
        <v>2005</v>
      </c>
      <c r="J28" s="1112">
        <v>2006</v>
      </c>
      <c r="K28" s="1112">
        <v>2007</v>
      </c>
      <c r="L28" s="1113">
        <v>2008</v>
      </c>
      <c r="M28" s="1113">
        <v>2009</v>
      </c>
      <c r="N28" s="1113">
        <v>2010</v>
      </c>
      <c r="O28" s="1113">
        <v>2011</v>
      </c>
      <c r="P28" s="1113">
        <v>2012</v>
      </c>
      <c r="Q28" s="1113">
        <v>2013</v>
      </c>
      <c r="R28" s="1113">
        <v>2014</v>
      </c>
      <c r="S28" s="1113">
        <v>2015</v>
      </c>
      <c r="T28" s="1113">
        <v>2016</v>
      </c>
      <c r="U28" s="1113">
        <v>2017</v>
      </c>
      <c r="V28" s="1114">
        <v>2018</v>
      </c>
      <c r="W28" s="1114">
        <v>2019</v>
      </c>
    </row>
    <row r="29" spans="1:23" s="1121" customFormat="1" x14ac:dyDescent="0.25">
      <c r="A29" s="1115"/>
      <c r="B29" s="1116"/>
      <c r="C29" s="1116"/>
      <c r="D29" s="1117" t="s">
        <v>426</v>
      </c>
      <c r="E29" s="1118">
        <v>49.556608498903657</v>
      </c>
      <c r="F29" s="1118">
        <v>52.365488698625505</v>
      </c>
      <c r="G29" s="1118">
        <v>54.827733170732408</v>
      </c>
      <c r="H29" s="1118">
        <v>51.047144480847152</v>
      </c>
      <c r="I29" s="1118">
        <v>48.313051977952036</v>
      </c>
      <c r="J29" s="1118">
        <v>46.662747889266548</v>
      </c>
      <c r="K29" s="1118">
        <v>46.483378566700999</v>
      </c>
      <c r="L29" s="1118">
        <v>45.61432465079168</v>
      </c>
      <c r="M29" s="1118">
        <v>48.335652094750827</v>
      </c>
      <c r="N29" s="1118">
        <v>51.211586095188466</v>
      </c>
      <c r="O29" s="1118">
        <v>50.281651701226124</v>
      </c>
      <c r="P29" s="1118">
        <v>51.698207753618561</v>
      </c>
      <c r="Q29" s="1119">
        <v>51.425685294707677</v>
      </c>
      <c r="R29" s="1119">
        <v>51.290864961635428</v>
      </c>
      <c r="S29" s="1119">
        <v>50.130442400407723</v>
      </c>
      <c r="T29" s="1119">
        <v>53.348435626122793</v>
      </c>
      <c r="U29" s="1119">
        <v>53.393903405785714</v>
      </c>
      <c r="V29" s="1120">
        <v>53.4</v>
      </c>
      <c r="W29" s="1120">
        <v>57.011983750759796</v>
      </c>
    </row>
    <row r="30" spans="1:23" s="1121" customFormat="1" x14ac:dyDescent="0.25">
      <c r="A30" s="1115"/>
      <c r="B30" s="1116"/>
      <c r="C30" s="1116"/>
      <c r="D30" s="1122" t="s">
        <v>427</v>
      </c>
      <c r="E30" s="1118">
        <v>30.006583046640955</v>
      </c>
      <c r="F30" s="1118">
        <v>31.279821135541802</v>
      </c>
      <c r="G30" s="1118">
        <v>31.050283981445975</v>
      </c>
      <c r="H30" s="1118">
        <v>28.60780720592475</v>
      </c>
      <c r="I30" s="1118">
        <v>28.082964613263144</v>
      </c>
      <c r="J30" s="1118">
        <v>25.955049151476818</v>
      </c>
      <c r="K30" s="1118">
        <v>26.009564159105924</v>
      </c>
      <c r="L30" s="1118">
        <v>25.840552427776831</v>
      </c>
      <c r="M30" s="1118">
        <v>28.082684668804671</v>
      </c>
      <c r="N30" s="1118">
        <v>29.261616346284651</v>
      </c>
      <c r="O30" s="1118">
        <v>29.899373983783157</v>
      </c>
      <c r="P30" s="1118">
        <v>29.565182557813518</v>
      </c>
      <c r="Q30" s="1119">
        <v>29.111088787376804</v>
      </c>
      <c r="R30" s="1119">
        <v>30.077564142101188</v>
      </c>
      <c r="S30" s="1119">
        <v>30.186378438074414</v>
      </c>
      <c r="T30" s="1119">
        <v>31.664757250929309</v>
      </c>
      <c r="U30" s="1119">
        <v>33.056109109497648</v>
      </c>
      <c r="V30" s="1120">
        <v>33.4</v>
      </c>
      <c r="W30" s="1120">
        <v>35.39398411184245</v>
      </c>
    </row>
    <row r="31" spans="1:23" s="1110" customFormat="1" x14ac:dyDescent="0.25">
      <c r="A31" s="1013"/>
      <c r="B31" s="1014"/>
      <c r="C31" s="1014"/>
      <c r="D31" s="1122" t="s">
        <v>428</v>
      </c>
      <c r="E31" s="1118">
        <v>15.348552168548469</v>
      </c>
      <c r="F31" s="1118">
        <v>16.727720869361381</v>
      </c>
      <c r="G31" s="1118">
        <v>16.436128287012679</v>
      </c>
      <c r="H31" s="1118">
        <v>15.309559486335328</v>
      </c>
      <c r="I31" s="1118">
        <v>14.705728618206923</v>
      </c>
      <c r="J31" s="1118">
        <v>14.734966545056366</v>
      </c>
      <c r="K31" s="1118">
        <v>13.512775447998388</v>
      </c>
      <c r="L31" s="1118">
        <v>15.955901048925055</v>
      </c>
      <c r="M31" s="1118">
        <v>16.584563029049672</v>
      </c>
      <c r="N31" s="1118">
        <v>17.693728516011891</v>
      </c>
      <c r="O31" s="1118">
        <v>18.090229302861054</v>
      </c>
      <c r="P31" s="1118">
        <v>18.187009451508718</v>
      </c>
      <c r="Q31" s="1119">
        <v>18.588248762915565</v>
      </c>
      <c r="R31" s="1119">
        <v>19.094579058322445</v>
      </c>
      <c r="S31" s="1119">
        <v>19.518242457226449</v>
      </c>
      <c r="T31" s="1119">
        <v>21.140483132434824</v>
      </c>
      <c r="U31" s="1119">
        <v>21.985828119422994</v>
      </c>
      <c r="V31" s="1120">
        <v>21.5</v>
      </c>
      <c r="W31" s="1120">
        <v>22.748197409294306</v>
      </c>
    </row>
    <row r="32" spans="1:23" s="1110" customFormat="1" x14ac:dyDescent="0.25">
      <c r="A32" s="1013"/>
      <c r="B32" s="1014"/>
      <c r="C32" s="1014"/>
      <c r="D32" s="1117" t="s">
        <v>429</v>
      </c>
      <c r="E32" s="1118">
        <v>11.413586942521773</v>
      </c>
      <c r="F32" s="1118">
        <v>13.255828788899427</v>
      </c>
      <c r="G32" s="1118">
        <v>12.562898806553372</v>
      </c>
      <c r="H32" s="1118">
        <v>10.643161935657966</v>
      </c>
      <c r="I32" s="1118">
        <v>10.560847323939962</v>
      </c>
      <c r="J32" s="1118">
        <v>9.9807886244265802</v>
      </c>
      <c r="K32" s="1118">
        <v>10.378274219367707</v>
      </c>
      <c r="L32" s="1118">
        <v>10.262524243664069</v>
      </c>
      <c r="M32" s="1118">
        <v>11.216521355769235</v>
      </c>
      <c r="N32" s="1118">
        <v>12.601007273356682</v>
      </c>
      <c r="O32" s="1118">
        <v>12.601867539017034</v>
      </c>
      <c r="P32" s="1118">
        <v>12.80590961334333</v>
      </c>
      <c r="Q32" s="1119">
        <v>12.769495079856002</v>
      </c>
      <c r="R32" s="1119">
        <v>13.374628573906866</v>
      </c>
      <c r="S32" s="1119">
        <v>14.07522840397036</v>
      </c>
      <c r="T32" s="1119">
        <v>14.843637471922699</v>
      </c>
      <c r="U32" s="1119">
        <v>15.920460816512314</v>
      </c>
      <c r="V32" s="1120">
        <v>15.8</v>
      </c>
      <c r="W32" s="1120">
        <v>16.889222397049497</v>
      </c>
    </row>
    <row r="33" spans="1:23" s="1110" customFormat="1" x14ac:dyDescent="0.25">
      <c r="A33" s="1013"/>
      <c r="B33" s="1014"/>
      <c r="C33" s="1014"/>
      <c r="D33" s="1122" t="s">
        <v>430</v>
      </c>
      <c r="E33" s="1118">
        <v>8.3886179986402318</v>
      </c>
      <c r="F33" s="1118">
        <v>9.2104286438743177</v>
      </c>
      <c r="G33" s="1118">
        <v>8.3836251103396613</v>
      </c>
      <c r="H33" s="1118">
        <v>6.458066643082133</v>
      </c>
      <c r="I33" s="1118">
        <v>6.9382843179818439</v>
      </c>
      <c r="J33" s="1118">
        <v>5.1909668005062457</v>
      </c>
      <c r="K33" s="1118">
        <v>5.6456566792137934</v>
      </c>
      <c r="L33" s="1118">
        <v>6.7434230431741833</v>
      </c>
      <c r="M33" s="1118">
        <v>6.248783077057853</v>
      </c>
      <c r="N33" s="1118">
        <v>7.5805969331481302</v>
      </c>
      <c r="O33" s="1118">
        <v>6.209235517416734</v>
      </c>
      <c r="P33" s="1118">
        <v>7.0401361858174418</v>
      </c>
      <c r="Q33" s="1119">
        <v>7.6987400495165517</v>
      </c>
      <c r="R33" s="1119">
        <v>7.6526536126624354</v>
      </c>
      <c r="S33" s="1119">
        <v>8.694483992374046</v>
      </c>
      <c r="T33" s="1119">
        <v>9.0434368930705578</v>
      </c>
      <c r="U33" s="1119">
        <v>9.4892141374650567</v>
      </c>
      <c r="V33" s="1120">
        <v>9.6</v>
      </c>
      <c r="W33" s="1120">
        <v>9.9234650301271792</v>
      </c>
    </row>
    <row r="34" spans="1:23" s="1110" customFormat="1" x14ac:dyDescent="0.25">
      <c r="A34" s="1013"/>
      <c r="B34" s="1014"/>
      <c r="C34" s="1014"/>
      <c r="D34" s="1123" t="s">
        <v>232</v>
      </c>
      <c r="E34" s="1124">
        <v>25.370740413489695</v>
      </c>
      <c r="F34" s="1124">
        <v>27.180508501508378</v>
      </c>
      <c r="G34" s="1124">
        <v>27.115766702024597</v>
      </c>
      <c r="H34" s="1124">
        <v>24.672790326915951</v>
      </c>
      <c r="I34" s="1124">
        <v>23.839990494289712</v>
      </c>
      <c r="J34" s="1124">
        <v>22.615760539777558</v>
      </c>
      <c r="K34" s="1124">
        <v>22.326519139844354</v>
      </c>
      <c r="L34" s="1124">
        <v>22.548772782676899</v>
      </c>
      <c r="M34" s="1124">
        <v>23.676036911890659</v>
      </c>
      <c r="N34" s="1124">
        <v>24.870199929044048</v>
      </c>
      <c r="O34" s="1124">
        <v>24.784677973271108</v>
      </c>
      <c r="P34" s="1124">
        <v>24.870194505395812</v>
      </c>
      <c r="Q34" s="1125">
        <v>24.73737697547622</v>
      </c>
      <c r="R34" s="1125">
        <v>25.079268765127839</v>
      </c>
      <c r="S34" s="1125">
        <v>25.345096563891889</v>
      </c>
      <c r="T34" s="1125">
        <v>26.715305376306265</v>
      </c>
      <c r="U34" s="1125">
        <v>27.459008795167733</v>
      </c>
      <c r="V34" s="1126">
        <v>27.1</v>
      </c>
      <c r="W34" s="1126">
        <v>28.693050573151314</v>
      </c>
    </row>
    <row r="35" spans="1:23" s="1110" customFormat="1" x14ac:dyDescent="0.25">
      <c r="A35" s="1013"/>
      <c r="B35" s="1014"/>
      <c r="C35" s="1014"/>
      <c r="D35" s="1127"/>
      <c r="E35" s="1128"/>
      <c r="F35" s="1128"/>
      <c r="G35" s="1128"/>
      <c r="H35" s="1128"/>
      <c r="I35" s="1128"/>
      <c r="J35" s="1128"/>
      <c r="K35" s="1128"/>
      <c r="L35" s="1129"/>
      <c r="M35" s="1130"/>
      <c r="N35" s="1130"/>
      <c r="O35" s="1131"/>
      <c r="P35" s="1132"/>
    </row>
    <row r="36" spans="1:23" s="1110" customFormat="1" x14ac:dyDescent="0.25">
      <c r="A36" s="1013"/>
      <c r="B36" s="1014"/>
      <c r="C36" s="1014"/>
      <c r="D36" s="1127"/>
      <c r="E36" s="1133"/>
      <c r="F36" s="1133"/>
      <c r="G36" s="1133"/>
      <c r="H36" s="1133"/>
      <c r="I36" s="1133"/>
      <c r="J36" s="1133"/>
      <c r="K36" s="1133"/>
      <c r="L36" s="1129"/>
      <c r="M36" s="1130"/>
      <c r="N36" s="1130"/>
      <c r="O36" s="1130"/>
      <c r="P36" s="1132"/>
    </row>
    <row r="37" spans="1:23" s="1110" customFormat="1" x14ac:dyDescent="0.25">
      <c r="A37" s="1013"/>
      <c r="B37" s="1014"/>
      <c r="C37" s="1014"/>
      <c r="D37" s="1111" t="s">
        <v>252</v>
      </c>
      <c r="E37" s="998" t="s">
        <v>431</v>
      </c>
      <c r="F37" s="1134"/>
      <c r="G37" s="1130"/>
      <c r="H37" s="1130"/>
      <c r="I37" s="1135"/>
      <c r="J37" s="1136"/>
      <c r="K37" s="1136"/>
      <c r="L37" s="1137"/>
      <c r="M37" s="1136"/>
      <c r="N37" s="1136"/>
      <c r="O37" s="1136"/>
      <c r="P37" s="1136"/>
    </row>
    <row r="38" spans="1:23" ht="12.75" customHeight="1" x14ac:dyDescent="0.25">
      <c r="D38" s="969" t="s">
        <v>391</v>
      </c>
      <c r="E38" s="1138">
        <v>2001</v>
      </c>
      <c r="F38" s="1138">
        <v>2002</v>
      </c>
      <c r="G38" s="1138">
        <v>2003</v>
      </c>
      <c r="H38" s="1138">
        <v>2004</v>
      </c>
      <c r="I38" s="1138">
        <v>2005</v>
      </c>
      <c r="J38" s="1138">
        <v>2006</v>
      </c>
      <c r="K38" s="1139">
        <v>2007</v>
      </c>
      <c r="L38" s="1139">
        <v>2008</v>
      </c>
      <c r="M38" s="1139">
        <v>2009</v>
      </c>
      <c r="N38" s="1139">
        <v>2010</v>
      </c>
      <c r="O38" s="1139">
        <v>2011</v>
      </c>
      <c r="P38" s="1139">
        <v>2012</v>
      </c>
      <c r="Q38" s="1139">
        <v>2013</v>
      </c>
      <c r="R38" s="1139">
        <v>2014</v>
      </c>
      <c r="S38" s="1139">
        <v>2015</v>
      </c>
      <c r="T38" s="1139">
        <v>2016</v>
      </c>
      <c r="U38" s="1139">
        <v>2017</v>
      </c>
      <c r="V38" s="1139">
        <v>2018</v>
      </c>
      <c r="W38" s="1139">
        <v>2019</v>
      </c>
    </row>
    <row r="39" spans="1:23" s="1110" customFormat="1" ht="15.65" customHeight="1" x14ac:dyDescent="0.25">
      <c r="A39" s="1013"/>
      <c r="B39" s="1014"/>
      <c r="C39" s="1014"/>
      <c r="D39" s="1140" t="s">
        <v>432</v>
      </c>
      <c r="E39" s="1141">
        <v>2692.385094696147</v>
      </c>
      <c r="F39" s="1141">
        <v>2962.5228781799028</v>
      </c>
      <c r="G39" s="1141">
        <v>2917.668295400129</v>
      </c>
      <c r="H39" s="1141">
        <v>2594.8891498175822</v>
      </c>
      <c r="I39" s="1141">
        <v>2549.4298279339969</v>
      </c>
      <c r="J39" s="1141">
        <v>2347.0741601438644</v>
      </c>
      <c r="K39" s="1141">
        <v>2117.0194927719394</v>
      </c>
      <c r="L39" s="1141">
        <v>2517.9270945163021</v>
      </c>
      <c r="M39" s="1141">
        <v>2653</v>
      </c>
      <c r="N39" s="1141">
        <v>2998</v>
      </c>
      <c r="O39" s="1141">
        <v>3180</v>
      </c>
      <c r="P39" s="1141">
        <v>3242</v>
      </c>
      <c r="Q39" s="1141">
        <v>3226</v>
      </c>
      <c r="R39" s="1142">
        <v>3341</v>
      </c>
      <c r="S39" s="1142">
        <v>3481</v>
      </c>
      <c r="T39" s="1142">
        <v>3832</v>
      </c>
      <c r="U39" s="1142">
        <v>4111</v>
      </c>
      <c r="V39" s="1142">
        <v>4229.3469412353343</v>
      </c>
      <c r="W39" s="1142">
        <v>4684.846434113274</v>
      </c>
    </row>
    <row r="40" spans="1:23" s="1110" customFormat="1" x14ac:dyDescent="0.25">
      <c r="A40" s="1013"/>
      <c r="B40" s="1014"/>
      <c r="C40" s="1014"/>
      <c r="D40" s="1143" t="s">
        <v>433</v>
      </c>
      <c r="E40" s="1141">
        <v>1413.0918876439198</v>
      </c>
      <c r="F40" s="1141">
        <v>1503.5328967929859</v>
      </c>
      <c r="G40" s="1141">
        <v>1477.0145416398291</v>
      </c>
      <c r="H40" s="1141">
        <v>1349.9679419328634</v>
      </c>
      <c r="I40" s="1141">
        <v>1447.5427591877558</v>
      </c>
      <c r="J40" s="1141">
        <v>1574.6098059406816</v>
      </c>
      <c r="K40" s="1141">
        <v>1754.0192880630011</v>
      </c>
      <c r="L40" s="1141">
        <v>1728.2382589264012</v>
      </c>
      <c r="M40" s="1141">
        <v>1750</v>
      </c>
      <c r="N40" s="1141">
        <v>1566</v>
      </c>
      <c r="O40" s="1141">
        <v>1456</v>
      </c>
      <c r="P40" s="1141">
        <v>1533</v>
      </c>
      <c r="Q40" s="1141">
        <v>1660</v>
      </c>
      <c r="R40" s="1142">
        <v>1729</v>
      </c>
      <c r="S40" s="1142">
        <v>1863</v>
      </c>
      <c r="T40" s="1142">
        <v>1921</v>
      </c>
      <c r="U40" s="1142">
        <v>2009</v>
      </c>
      <c r="V40" s="1142">
        <v>1873.5414319242948</v>
      </c>
      <c r="W40" s="1142">
        <v>1894.1365843886051</v>
      </c>
    </row>
    <row r="41" spans="1:23" s="1110" customFormat="1" x14ac:dyDescent="0.25">
      <c r="A41" s="1013"/>
      <c r="B41" s="1014"/>
      <c r="C41" s="1014"/>
      <c r="D41" s="1144" t="s">
        <v>434</v>
      </c>
      <c r="E41" s="1145">
        <v>4105.4769823400666</v>
      </c>
      <c r="F41" s="1145">
        <v>4466.0557749728887</v>
      </c>
      <c r="G41" s="1145">
        <v>4394.682837039958</v>
      </c>
      <c r="H41" s="1145">
        <v>3944.8570917504458</v>
      </c>
      <c r="I41" s="1145">
        <v>3996.9725871217524</v>
      </c>
      <c r="J41" s="1145">
        <v>3921.6839660845462</v>
      </c>
      <c r="K41" s="1145">
        <v>3871.0387808349406</v>
      </c>
      <c r="L41" s="1145">
        <v>4246.1653534427032</v>
      </c>
      <c r="M41" s="1145">
        <v>4403</v>
      </c>
      <c r="N41" s="1145">
        <v>4564</v>
      </c>
      <c r="O41" s="1145">
        <v>4636</v>
      </c>
      <c r="P41" s="1145">
        <v>4775</v>
      </c>
      <c r="Q41" s="1145">
        <v>4886</v>
      </c>
      <c r="R41" s="1146">
        <v>5070</v>
      </c>
      <c r="S41" s="1146">
        <v>5344</v>
      </c>
      <c r="T41" s="1146">
        <v>5753</v>
      </c>
      <c r="U41" s="1146">
        <v>6120</v>
      </c>
      <c r="V41" s="1146">
        <v>6102.8883731596288</v>
      </c>
      <c r="W41" s="1146">
        <v>6578.9830185018791</v>
      </c>
    </row>
    <row r="42" spans="1:23" s="1110" customFormat="1" ht="20.5" x14ac:dyDescent="0.25">
      <c r="A42" s="1013"/>
      <c r="B42" s="1014"/>
      <c r="C42" s="1014"/>
      <c r="D42" s="1147" t="s">
        <v>435</v>
      </c>
      <c r="E42" s="1148">
        <f t="shared" ref="E42:S42" si="0">E39/E41*100</f>
        <v>65.580323706053861</v>
      </c>
      <c r="F42" s="1148">
        <f t="shared" si="0"/>
        <v>66.334211381358912</v>
      </c>
      <c r="G42" s="1148">
        <f t="shared" si="0"/>
        <v>66.39087287048288</v>
      </c>
      <c r="H42" s="1148">
        <f t="shared" si="0"/>
        <v>65.779040646214028</v>
      </c>
      <c r="I42" s="1148">
        <f t="shared" si="0"/>
        <v>63.784020839879183</v>
      </c>
      <c r="J42" s="1148">
        <f t="shared" si="0"/>
        <v>59.848630854546137</v>
      </c>
      <c r="K42" s="1148">
        <f t="shared" si="0"/>
        <v>54.688666599080719</v>
      </c>
      <c r="L42" s="1148">
        <f t="shared" si="0"/>
        <v>59.298846957875028</v>
      </c>
      <c r="M42" s="1148">
        <f t="shared" si="0"/>
        <v>60.254372019077906</v>
      </c>
      <c r="N42" s="1148">
        <f t="shared" si="0"/>
        <v>65.687992988606482</v>
      </c>
      <c r="O42" s="1148">
        <f t="shared" si="0"/>
        <v>68.593615185504746</v>
      </c>
      <c r="P42" s="1148">
        <f t="shared" si="0"/>
        <v>67.895287958115176</v>
      </c>
      <c r="Q42" s="1148">
        <f t="shared" si="0"/>
        <v>66.025378632828492</v>
      </c>
      <c r="R42" s="1148">
        <f t="shared" si="0"/>
        <v>65.897435897435898</v>
      </c>
      <c r="S42" s="1148">
        <f t="shared" si="0"/>
        <v>65.138473053892227</v>
      </c>
      <c r="T42" s="1148">
        <v>66.599999999999994</v>
      </c>
      <c r="U42" s="1148">
        <v>67.2</v>
      </c>
      <c r="V42" s="1148">
        <f>V39/V41*100</f>
        <v>69.300742249127651</v>
      </c>
      <c r="W42" s="1148">
        <f>W39/W41*100</f>
        <v>71.209279928800839</v>
      </c>
    </row>
    <row r="43" spans="1:23" x14ac:dyDescent="0.25">
      <c r="D43" s="1149"/>
      <c r="E43" s="1150"/>
      <c r="F43" s="1150"/>
      <c r="G43" s="1150"/>
      <c r="H43" s="1150"/>
      <c r="I43" s="1150"/>
      <c r="J43" s="1150"/>
      <c r="K43" s="1150"/>
      <c r="L43" s="1150"/>
      <c r="M43" s="1150"/>
      <c r="N43" s="1150"/>
      <c r="O43" s="1150"/>
      <c r="P43" s="1150"/>
      <c r="Q43" s="1150"/>
      <c r="R43" s="1150"/>
      <c r="S43" s="1150"/>
      <c r="T43" s="1150"/>
      <c r="U43" s="1150"/>
    </row>
    <row r="44" spans="1:23" x14ac:dyDescent="0.25">
      <c r="B44" s="956"/>
      <c r="D44" s="1149"/>
      <c r="E44" s="1150"/>
      <c r="F44" s="1150"/>
      <c r="G44" s="1150"/>
      <c r="H44" s="1150"/>
      <c r="I44" s="1150"/>
      <c r="J44" s="1150"/>
      <c r="K44" s="1150"/>
      <c r="L44" s="1151"/>
      <c r="M44" s="1152"/>
      <c r="N44" s="1149"/>
    </row>
    <row r="45" spans="1:23" x14ac:dyDescent="0.25">
      <c r="D45" s="1149"/>
      <c r="E45" s="1150"/>
      <c r="F45" s="1150"/>
      <c r="G45" s="1150"/>
      <c r="H45" s="1150"/>
      <c r="I45" s="1150"/>
      <c r="J45" s="1150"/>
      <c r="K45" s="1150"/>
      <c r="L45" s="1151"/>
      <c r="M45" s="1152"/>
      <c r="N45" s="1149"/>
    </row>
    <row r="46" spans="1:23" x14ac:dyDescent="0.25">
      <c r="D46" s="1149"/>
      <c r="E46" s="1150"/>
      <c r="F46" s="1150"/>
      <c r="G46" s="1150"/>
      <c r="H46" s="1150"/>
      <c r="I46" s="1150"/>
      <c r="J46" s="1150"/>
      <c r="K46" s="1150"/>
      <c r="L46" s="1151"/>
      <c r="M46" s="1152"/>
      <c r="N46" s="1149"/>
    </row>
    <row r="47" spans="1:23" x14ac:dyDescent="0.25">
      <c r="D47" s="1149"/>
      <c r="E47" s="1150"/>
      <c r="F47" s="1150"/>
      <c r="G47" s="1150"/>
      <c r="H47" s="1150"/>
      <c r="I47" s="1150"/>
      <c r="J47" s="1150"/>
      <c r="K47" s="1150"/>
      <c r="L47" s="1151"/>
      <c r="M47" s="1152"/>
      <c r="N47" s="1149"/>
    </row>
    <row r="48" spans="1:23" x14ac:dyDescent="0.25">
      <c r="D48" s="1149"/>
      <c r="E48" s="1150"/>
      <c r="F48" s="1150"/>
      <c r="G48" s="1150"/>
      <c r="H48" s="1150"/>
      <c r="I48" s="1150"/>
      <c r="J48" s="1150"/>
      <c r="K48" s="1150"/>
      <c r="L48" s="1151"/>
      <c r="M48" s="1152"/>
      <c r="N48" s="1149"/>
    </row>
    <row r="49" spans="4:14" x14ac:dyDescent="0.25">
      <c r="D49" s="1149"/>
      <c r="E49" s="1150"/>
      <c r="F49" s="1150"/>
      <c r="G49" s="1150"/>
      <c r="H49" s="1150"/>
      <c r="I49" s="1150"/>
      <c r="J49" s="1150"/>
      <c r="K49" s="1150"/>
      <c r="L49" s="1151"/>
      <c r="M49" s="1152"/>
      <c r="N49" s="1149"/>
    </row>
    <row r="50" spans="4:14" x14ac:dyDescent="0.25">
      <c r="D50" s="1149"/>
      <c r="E50" s="1150"/>
      <c r="F50" s="1150"/>
      <c r="G50" s="1150"/>
      <c r="H50" s="1150"/>
      <c r="I50" s="1150"/>
      <c r="J50" s="1150"/>
      <c r="K50" s="1150"/>
      <c r="L50" s="1151"/>
      <c r="M50" s="1152"/>
      <c r="N50" s="1149"/>
    </row>
    <row r="51" spans="4:14" x14ac:dyDescent="0.25">
      <c r="D51" s="1149"/>
      <c r="E51" s="1150"/>
      <c r="F51" s="1150"/>
      <c r="G51" s="1150"/>
      <c r="H51" s="1150"/>
      <c r="I51" s="1150"/>
      <c r="J51" s="1150"/>
      <c r="K51" s="1150"/>
      <c r="L51" s="1151"/>
      <c r="M51" s="1152"/>
      <c r="N51" s="1149"/>
    </row>
    <row r="52" spans="4:14" x14ac:dyDescent="0.25">
      <c r="D52" s="1149"/>
      <c r="E52" s="1150"/>
      <c r="F52" s="1150"/>
      <c r="G52" s="1150"/>
      <c r="H52" s="1150"/>
      <c r="I52" s="1150"/>
      <c r="J52" s="1150"/>
      <c r="K52" s="1150"/>
      <c r="L52" s="1151"/>
      <c r="M52" s="1152"/>
      <c r="N52" s="1149"/>
    </row>
    <row r="53" spans="4:14" x14ac:dyDescent="0.25">
      <c r="D53" s="1149"/>
      <c r="E53" s="1150"/>
      <c r="F53" s="1150"/>
      <c r="G53" s="1150"/>
      <c r="H53" s="1150"/>
      <c r="I53" s="1150"/>
      <c r="J53" s="1150"/>
      <c r="K53" s="1150"/>
      <c r="L53" s="1151"/>
      <c r="M53" s="1152"/>
      <c r="N53" s="1149"/>
    </row>
    <row r="54" spans="4:14" x14ac:dyDescent="0.25">
      <c r="D54" s="1149"/>
      <c r="E54" s="1150"/>
      <c r="F54" s="1150"/>
      <c r="G54" s="1150"/>
      <c r="H54" s="1150"/>
      <c r="I54" s="1150"/>
      <c r="J54" s="1150"/>
      <c r="K54" s="1150"/>
      <c r="L54" s="1151"/>
      <c r="M54" s="1152"/>
      <c r="N54" s="1149"/>
    </row>
    <row r="55" spans="4:14" x14ac:dyDescent="0.25">
      <c r="D55" s="1149"/>
      <c r="E55" s="1150"/>
      <c r="F55" s="1150"/>
      <c r="G55" s="1150"/>
      <c r="H55" s="1150"/>
      <c r="I55" s="1150"/>
      <c r="J55" s="1150"/>
      <c r="K55" s="1150"/>
      <c r="L55" s="1151"/>
      <c r="M55" s="1152"/>
      <c r="N55" s="1149"/>
    </row>
    <row r="56" spans="4:14" x14ac:dyDescent="0.25">
      <c r="D56" s="1149"/>
      <c r="E56" s="1150"/>
      <c r="F56" s="1150"/>
      <c r="G56" s="1150"/>
      <c r="H56" s="1150"/>
      <c r="I56" s="1150"/>
      <c r="J56" s="1150"/>
      <c r="K56" s="1150"/>
      <c r="L56" s="1151"/>
      <c r="M56" s="1152"/>
      <c r="N56" s="1149"/>
    </row>
    <row r="57" spans="4:14" x14ac:dyDescent="0.25">
      <c r="D57" s="1149"/>
      <c r="E57" s="1150"/>
      <c r="F57" s="1150"/>
      <c r="G57" s="1150"/>
      <c r="H57" s="1150"/>
      <c r="I57" s="1150"/>
      <c r="J57" s="1150"/>
      <c r="K57" s="1150"/>
      <c r="L57" s="1151"/>
      <c r="M57" s="1152"/>
      <c r="N57" s="1149"/>
    </row>
    <row r="58" spans="4:14" x14ac:dyDescent="0.25">
      <c r="D58" s="1149"/>
      <c r="E58" s="1150"/>
      <c r="F58" s="1150"/>
      <c r="G58" s="1150"/>
      <c r="H58" s="1150"/>
      <c r="I58" s="1150"/>
      <c r="J58" s="1150"/>
      <c r="K58" s="1150"/>
      <c r="L58" s="1151"/>
      <c r="M58" s="1152"/>
      <c r="N58" s="1149"/>
    </row>
    <row r="59" spans="4:14" x14ac:dyDescent="0.25">
      <c r="D59" s="1149"/>
      <c r="E59" s="1150"/>
      <c r="F59" s="1150"/>
      <c r="G59" s="1150"/>
      <c r="H59" s="1150"/>
      <c r="I59" s="1150"/>
      <c r="J59" s="1150"/>
      <c r="K59" s="1150"/>
      <c r="L59" s="1151"/>
      <c r="M59" s="1152"/>
      <c r="N59" s="1149"/>
    </row>
    <row r="60" spans="4:14" x14ac:dyDescent="0.25">
      <c r="D60" s="1149"/>
      <c r="E60" s="1150"/>
      <c r="F60" s="1150"/>
      <c r="G60" s="1150"/>
      <c r="H60" s="1150"/>
      <c r="I60" s="1150"/>
      <c r="J60" s="1150"/>
      <c r="K60" s="1150"/>
      <c r="L60" s="1151"/>
      <c r="M60" s="1152"/>
      <c r="N60" s="1149"/>
    </row>
    <row r="61" spans="4:14" x14ac:dyDescent="0.25">
      <c r="D61" s="1149"/>
      <c r="E61" s="1150"/>
      <c r="F61" s="1150"/>
      <c r="G61" s="1150"/>
      <c r="H61" s="1150"/>
      <c r="I61" s="1150"/>
      <c r="J61" s="1150"/>
      <c r="K61" s="1150"/>
      <c r="L61" s="1151"/>
      <c r="M61" s="1152"/>
      <c r="N61" s="1149"/>
    </row>
    <row r="62" spans="4:14" x14ac:dyDescent="0.25">
      <c r="D62" s="1149"/>
      <c r="E62" s="1150"/>
      <c r="F62" s="1150"/>
      <c r="G62" s="1150"/>
      <c r="H62" s="1150"/>
      <c r="I62" s="1150"/>
      <c r="J62" s="1150"/>
      <c r="K62" s="1150"/>
      <c r="L62" s="1151"/>
      <c r="M62" s="1152"/>
      <c r="N62" s="1149"/>
    </row>
    <row r="63" spans="4:14" x14ac:dyDescent="0.25">
      <c r="D63" s="1149"/>
      <c r="E63" s="1150"/>
      <c r="F63" s="1150"/>
      <c r="G63" s="1150"/>
      <c r="H63" s="1150"/>
      <c r="I63" s="1150"/>
      <c r="J63" s="1150"/>
      <c r="K63" s="1150"/>
      <c r="L63" s="1151"/>
      <c r="M63" s="1152"/>
      <c r="N63" s="1149"/>
    </row>
    <row r="64" spans="4:14" x14ac:dyDescent="0.25">
      <c r="D64" s="1149"/>
      <c r="E64" s="1150"/>
      <c r="F64" s="1150"/>
      <c r="G64" s="1150"/>
      <c r="H64" s="1150"/>
      <c r="I64" s="1150"/>
      <c r="J64" s="1150"/>
      <c r="K64" s="1150"/>
      <c r="L64" s="1151"/>
      <c r="M64" s="1152"/>
      <c r="N64" s="1149"/>
    </row>
    <row r="65" spans="1:23" x14ac:dyDescent="0.25">
      <c r="D65" s="1149"/>
      <c r="E65" s="1150"/>
      <c r="F65" s="1150"/>
      <c r="G65" s="1150"/>
      <c r="H65" s="1150"/>
      <c r="I65" s="1150"/>
      <c r="J65" s="1150"/>
      <c r="K65" s="1150"/>
      <c r="L65" s="1151"/>
      <c r="M65" s="1152"/>
      <c r="N65" s="1149"/>
    </row>
    <row r="66" spans="1:23" x14ac:dyDescent="0.25">
      <c r="D66" s="1149"/>
      <c r="E66" s="1150"/>
      <c r="F66" s="1150"/>
      <c r="G66" s="1150"/>
      <c r="H66" s="1150"/>
      <c r="I66" s="1150"/>
      <c r="J66" s="1150"/>
      <c r="K66" s="1150"/>
      <c r="L66" s="1151"/>
      <c r="M66" s="1152"/>
      <c r="N66" s="1149"/>
    </row>
    <row r="67" spans="1:23" ht="15" customHeight="1" x14ac:dyDescent="0.25">
      <c r="A67" s="956">
        <v>7</v>
      </c>
      <c r="B67" s="956" t="s">
        <v>58</v>
      </c>
      <c r="C67" s="956"/>
      <c r="D67" s="4730" t="s">
        <v>436</v>
      </c>
      <c r="E67" s="4731"/>
      <c r="F67" s="4731"/>
      <c r="G67" s="4731"/>
      <c r="H67" s="4731"/>
      <c r="I67" s="4731"/>
      <c r="J67" s="4731"/>
      <c r="K67" s="4731"/>
      <c r="L67" s="4731"/>
      <c r="M67" s="4731"/>
      <c r="N67" s="4731"/>
      <c r="O67" s="4731"/>
      <c r="P67" s="4731"/>
      <c r="Q67" s="4731"/>
      <c r="R67" s="4731"/>
      <c r="S67" s="4731"/>
      <c r="T67" s="4731"/>
      <c r="U67" s="4731"/>
      <c r="V67" s="4732"/>
    </row>
    <row r="68" spans="1:23" ht="35.65" customHeight="1" x14ac:dyDescent="0.25">
      <c r="A68" s="1012">
        <v>8</v>
      </c>
      <c r="B68" s="1012" t="s">
        <v>60</v>
      </c>
      <c r="C68" s="1012"/>
      <c r="D68" s="4727" t="s">
        <v>437</v>
      </c>
      <c r="E68" s="4728"/>
      <c r="F68" s="4728"/>
      <c r="G68" s="4728"/>
      <c r="H68" s="4728"/>
      <c r="I68" s="4728"/>
      <c r="J68" s="4728"/>
      <c r="K68" s="4728"/>
      <c r="L68" s="4728"/>
      <c r="M68" s="4728"/>
      <c r="N68" s="4728"/>
      <c r="O68" s="4728"/>
      <c r="P68" s="4728"/>
      <c r="Q68" s="4728"/>
      <c r="R68" s="4728"/>
      <c r="S68" s="4728"/>
      <c r="T68" s="4728"/>
      <c r="U68" s="4728"/>
      <c r="V68" s="4729"/>
    </row>
    <row r="69" spans="1:23" ht="15" customHeight="1" x14ac:dyDescent="0.25">
      <c r="A69" s="956">
        <v>9</v>
      </c>
      <c r="B69" s="956" t="s">
        <v>62</v>
      </c>
      <c r="C69" s="956"/>
      <c r="D69" s="4730" t="s">
        <v>438</v>
      </c>
      <c r="E69" s="4731"/>
      <c r="F69" s="4731"/>
      <c r="G69" s="4731"/>
      <c r="H69" s="4731"/>
      <c r="I69" s="4731"/>
      <c r="J69" s="4731"/>
      <c r="K69" s="4731"/>
      <c r="L69" s="4731"/>
      <c r="M69" s="4731"/>
      <c r="N69" s="4731"/>
      <c r="O69" s="4731"/>
      <c r="P69" s="4731"/>
      <c r="Q69" s="4731"/>
      <c r="R69" s="4731"/>
      <c r="S69" s="4731"/>
      <c r="T69" s="4731"/>
      <c r="U69" s="4731"/>
      <c r="V69" s="4732"/>
    </row>
    <row r="70" spans="1:23" s="959" customFormat="1" ht="32.25" customHeight="1" x14ac:dyDescent="0.25">
      <c r="A70" s="956">
        <v>10</v>
      </c>
      <c r="B70" s="956" t="s">
        <v>278</v>
      </c>
      <c r="C70" s="956"/>
      <c r="D70" s="4727" t="s">
        <v>439</v>
      </c>
      <c r="E70" s="4728"/>
      <c r="F70" s="4728"/>
      <c r="G70" s="4728"/>
      <c r="H70" s="4728"/>
      <c r="I70" s="4728"/>
      <c r="J70" s="4728"/>
      <c r="K70" s="4728"/>
      <c r="L70" s="4728"/>
      <c r="M70" s="4728"/>
      <c r="N70" s="4728"/>
      <c r="O70" s="4728"/>
      <c r="P70" s="4728"/>
      <c r="Q70" s="4728"/>
      <c r="R70" s="4728"/>
      <c r="S70" s="4728"/>
      <c r="T70" s="4728"/>
      <c r="U70" s="4728"/>
      <c r="V70" s="4729"/>
    </row>
    <row r="77" spans="1:23" x14ac:dyDescent="0.25">
      <c r="D77" s="963" t="s">
        <v>74</v>
      </c>
      <c r="E77" s="997" t="s">
        <v>440</v>
      </c>
      <c r="F77" s="1086"/>
      <c r="G77" s="1085"/>
      <c r="H77" s="1085"/>
      <c r="I77" s="1087"/>
      <c r="J77" s="1087"/>
      <c r="K77" s="1088"/>
      <c r="L77" s="1088"/>
      <c r="M77" s="1153"/>
      <c r="N77" s="1088"/>
      <c r="O77" s="1077"/>
    </row>
    <row r="78" spans="1:23" x14ac:dyDescent="0.25">
      <c r="D78" s="1154" t="s">
        <v>97</v>
      </c>
      <c r="E78" s="1155">
        <v>2001</v>
      </c>
      <c r="F78" s="1155">
        <v>2002</v>
      </c>
      <c r="G78" s="1155">
        <v>2003</v>
      </c>
      <c r="H78" s="1155">
        <v>2004</v>
      </c>
      <c r="I78" s="1155">
        <v>2005</v>
      </c>
      <c r="J78" s="1156">
        <v>2006</v>
      </c>
      <c r="K78" s="1157">
        <v>2007</v>
      </c>
      <c r="L78" s="1158">
        <v>2008</v>
      </c>
      <c r="M78" s="1158">
        <v>2009</v>
      </c>
      <c r="N78" s="1158">
        <v>2010</v>
      </c>
      <c r="O78" s="1158">
        <v>2011</v>
      </c>
      <c r="P78" s="1158">
        <v>2012</v>
      </c>
      <c r="Q78" s="1159">
        <v>2013</v>
      </c>
      <c r="R78" s="1159">
        <v>2014</v>
      </c>
      <c r="S78" s="1159">
        <v>2015</v>
      </c>
      <c r="T78" s="1159">
        <v>2016</v>
      </c>
      <c r="U78" s="1159">
        <v>2017</v>
      </c>
      <c r="V78" s="1159">
        <v>2018</v>
      </c>
      <c r="W78" s="1159">
        <v>2019</v>
      </c>
    </row>
    <row r="79" spans="1:23" x14ac:dyDescent="0.25">
      <c r="D79" s="1160" t="s">
        <v>441</v>
      </c>
      <c r="E79" s="1161">
        <v>49.556608498903657</v>
      </c>
      <c r="F79" s="1161">
        <v>52.365488698625505</v>
      </c>
      <c r="G79" s="1161">
        <v>54.827733170732408</v>
      </c>
      <c r="H79" s="1161">
        <v>51.047144480847152</v>
      </c>
      <c r="I79" s="1161">
        <v>48.313051977952036</v>
      </c>
      <c r="J79" s="1161">
        <v>46.662747889266548</v>
      </c>
      <c r="K79" s="1161">
        <v>46.483378566700999</v>
      </c>
      <c r="L79" s="1161">
        <v>45.61432465079168</v>
      </c>
      <c r="M79" s="1161">
        <v>48.335652094750827</v>
      </c>
      <c r="N79" s="1161">
        <v>51.211586095188466</v>
      </c>
      <c r="O79" s="1161">
        <v>50.281651701226124</v>
      </c>
      <c r="P79" s="1161">
        <v>51.698207753618561</v>
      </c>
      <c r="Q79" s="1161">
        <v>51.425685294707677</v>
      </c>
      <c r="R79" s="1161">
        <v>51.290864961635428</v>
      </c>
      <c r="S79" s="1161">
        <v>50.130442400407723</v>
      </c>
      <c r="T79" s="1161">
        <v>53.348435626122793</v>
      </c>
      <c r="U79" s="1161">
        <v>53.393903405785714</v>
      </c>
      <c r="V79" s="1161">
        <v>53.383945944532563</v>
      </c>
      <c r="W79" s="1161">
        <v>57.011983750759796</v>
      </c>
    </row>
    <row r="80" spans="1:23" x14ac:dyDescent="0.25">
      <c r="D80" s="1154" t="s">
        <v>442</v>
      </c>
      <c r="E80" s="1161">
        <v>30.006583046640955</v>
      </c>
      <c r="F80" s="1161">
        <v>31.279821135541802</v>
      </c>
      <c r="G80" s="1161">
        <v>31.050283981445975</v>
      </c>
      <c r="H80" s="1161">
        <v>28.60780720592475</v>
      </c>
      <c r="I80" s="1161">
        <v>28.082964613263144</v>
      </c>
      <c r="J80" s="1161">
        <v>25.955049151476818</v>
      </c>
      <c r="K80" s="1161">
        <v>26.009564159105924</v>
      </c>
      <c r="L80" s="1161">
        <v>25.840552427776831</v>
      </c>
      <c r="M80" s="1161">
        <v>28.082684668804671</v>
      </c>
      <c r="N80" s="1161">
        <v>29.261616346284651</v>
      </c>
      <c r="O80" s="1161">
        <v>29.899373983783157</v>
      </c>
      <c r="P80" s="1161">
        <v>29.565182557813518</v>
      </c>
      <c r="Q80" s="1161">
        <v>29.111088787376804</v>
      </c>
      <c r="R80" s="1161">
        <v>30.077564142101188</v>
      </c>
      <c r="S80" s="1161">
        <v>30.186378438074414</v>
      </c>
      <c r="T80" s="1161">
        <v>31.664757250929309</v>
      </c>
      <c r="U80" s="1161">
        <v>33.056109109497648</v>
      </c>
      <c r="V80" s="1161">
        <v>33.41485135578305</v>
      </c>
      <c r="W80" s="1161">
        <v>35.39398411184245</v>
      </c>
    </row>
    <row r="81" spans="1:23" x14ac:dyDescent="0.25">
      <c r="D81" s="1160" t="s">
        <v>443</v>
      </c>
      <c r="E81" s="1161">
        <v>15.348552168548469</v>
      </c>
      <c r="F81" s="1161">
        <v>16.727720869361381</v>
      </c>
      <c r="G81" s="1161">
        <v>16.436128287012679</v>
      </c>
      <c r="H81" s="1161">
        <v>15.309559486335328</v>
      </c>
      <c r="I81" s="1161">
        <v>14.705728618206923</v>
      </c>
      <c r="J81" s="1161">
        <v>14.734966545056366</v>
      </c>
      <c r="K81" s="1161">
        <v>13.512775447998388</v>
      </c>
      <c r="L81" s="1161">
        <v>15.955901048925055</v>
      </c>
      <c r="M81" s="1161">
        <v>16.584563029049672</v>
      </c>
      <c r="N81" s="1161">
        <v>17.693728516011891</v>
      </c>
      <c r="O81" s="1161">
        <v>18.090229302861054</v>
      </c>
      <c r="P81" s="1161">
        <v>18.187009451508718</v>
      </c>
      <c r="Q81" s="1161">
        <v>18.588248762915565</v>
      </c>
      <c r="R81" s="1161">
        <v>19.094579058322445</v>
      </c>
      <c r="S81" s="1161">
        <v>19.518242457226449</v>
      </c>
      <c r="T81" s="1161">
        <v>21.140483132434824</v>
      </c>
      <c r="U81" s="1161">
        <v>21.985828119423001</v>
      </c>
      <c r="V81" s="1161">
        <v>21.529355968815501</v>
      </c>
      <c r="W81" s="1161">
        <v>22.748197409294306</v>
      </c>
    </row>
    <row r="82" spans="1:23" x14ac:dyDescent="0.25">
      <c r="D82" s="1154" t="s">
        <v>444</v>
      </c>
      <c r="E82" s="1161">
        <v>11.413586942521773</v>
      </c>
      <c r="F82" s="1161">
        <v>13.255828788899427</v>
      </c>
      <c r="G82" s="1161">
        <v>12.562898806553372</v>
      </c>
      <c r="H82" s="1161">
        <v>10.643161935657966</v>
      </c>
      <c r="I82" s="1161">
        <v>10.560847323939962</v>
      </c>
      <c r="J82" s="1161">
        <v>9.9807886244265802</v>
      </c>
      <c r="K82" s="1161">
        <v>10.378274219367707</v>
      </c>
      <c r="L82" s="1161">
        <v>10.262524243664069</v>
      </c>
      <c r="M82" s="1161">
        <v>11.216521355769235</v>
      </c>
      <c r="N82" s="1161">
        <v>12.601007273356682</v>
      </c>
      <c r="O82" s="1161">
        <v>12.601867539017034</v>
      </c>
      <c r="P82" s="1161">
        <v>12.80590961334333</v>
      </c>
      <c r="Q82" s="1161">
        <v>12.769495079856002</v>
      </c>
      <c r="R82" s="1161">
        <v>13.374628573906866</v>
      </c>
      <c r="S82" s="1161">
        <v>14.07522840397036</v>
      </c>
      <c r="T82" s="1161">
        <v>14.843637471922699</v>
      </c>
      <c r="U82" s="1161">
        <v>15.920460816512314</v>
      </c>
      <c r="V82" s="1161">
        <v>15.776492609033685</v>
      </c>
      <c r="W82" s="1161">
        <v>16.889222397049497</v>
      </c>
    </row>
    <row r="83" spans="1:23" x14ac:dyDescent="0.25">
      <c r="D83" s="1160" t="s">
        <v>445</v>
      </c>
      <c r="E83" s="1161">
        <v>8.3886179986402318</v>
      </c>
      <c r="F83" s="1161">
        <v>9.2104286438743177</v>
      </c>
      <c r="G83" s="1161">
        <v>8.3836251103396613</v>
      </c>
      <c r="H83" s="1161">
        <v>6.458066643082133</v>
      </c>
      <c r="I83" s="1161">
        <v>6.9382843179818439</v>
      </c>
      <c r="J83" s="1161">
        <v>5.1909668005062457</v>
      </c>
      <c r="K83" s="1161">
        <v>5.6456566792137934</v>
      </c>
      <c r="L83" s="1161">
        <v>6.7434230431741833</v>
      </c>
      <c r="M83" s="1161">
        <v>6.248783077057853</v>
      </c>
      <c r="N83" s="1161">
        <v>7.5805969331481302</v>
      </c>
      <c r="O83" s="1161">
        <v>6.209235517416734</v>
      </c>
      <c r="P83" s="1161">
        <v>7.0401361858174418</v>
      </c>
      <c r="Q83" s="1161">
        <v>7.6987400495165517</v>
      </c>
      <c r="R83" s="1161">
        <v>7.6526536126624354</v>
      </c>
      <c r="S83" s="1161">
        <v>8.694483992374046</v>
      </c>
      <c r="T83" s="1161">
        <v>9.0434368930705578</v>
      </c>
      <c r="U83" s="1161">
        <v>9.4892141374650567</v>
      </c>
      <c r="V83" s="1161">
        <v>9.6013665123820431</v>
      </c>
      <c r="W83" s="1161">
        <v>9.9234650301271792</v>
      </c>
    </row>
    <row r="84" spans="1:23" x14ac:dyDescent="0.25">
      <c r="D84" s="1162" t="s">
        <v>232</v>
      </c>
      <c r="E84" s="1163">
        <v>25.4</v>
      </c>
      <c r="F84" s="1163">
        <v>27.2</v>
      </c>
      <c r="G84" s="1163">
        <v>27.1</v>
      </c>
      <c r="H84" s="1163">
        <v>24.7</v>
      </c>
      <c r="I84" s="1163">
        <v>23.8</v>
      </c>
      <c r="J84" s="1163">
        <v>22.6</v>
      </c>
      <c r="K84" s="1163">
        <v>22.3</v>
      </c>
      <c r="L84" s="1163">
        <v>22.5</v>
      </c>
      <c r="M84" s="1164">
        <v>23.7</v>
      </c>
      <c r="N84" s="1165">
        <v>24.9</v>
      </c>
      <c r="O84" s="1166">
        <v>24.8</v>
      </c>
      <c r="P84" s="1166">
        <v>24.9</v>
      </c>
      <c r="Q84" s="1166">
        <v>24.7</v>
      </c>
      <c r="R84" s="1166">
        <v>25.1</v>
      </c>
      <c r="S84" s="1166">
        <v>25.3</v>
      </c>
      <c r="T84" s="1166">
        <v>26.7</v>
      </c>
      <c r="U84" s="1166">
        <v>27.5</v>
      </c>
      <c r="V84" s="1167">
        <v>27.1</v>
      </c>
      <c r="W84" s="1167">
        <v>28.693050573151314</v>
      </c>
    </row>
    <row r="85" spans="1:23" ht="14.5" x14ac:dyDescent="0.35">
      <c r="D85" s="992"/>
      <c r="E85" s="23"/>
      <c r="F85" s="23"/>
      <c r="G85" s="23"/>
      <c r="H85" s="23"/>
      <c r="I85" s="23"/>
      <c r="J85" s="23"/>
      <c r="K85" s="23"/>
      <c r="L85" s="23"/>
      <c r="M85" s="1091"/>
      <c r="N85" s="1168"/>
      <c r="O85" s="1169"/>
      <c r="P85" s="1169"/>
      <c r="Q85" s="1169"/>
      <c r="R85" s="1169"/>
      <c r="S85" s="1169"/>
      <c r="T85" s="1169"/>
      <c r="U85" s="1169"/>
      <c r="V85"/>
    </row>
    <row r="86" spans="1:23" x14ac:dyDescent="0.25">
      <c r="D86" s="1102" t="s">
        <v>74</v>
      </c>
      <c r="E86" s="1103" t="s">
        <v>446</v>
      </c>
      <c r="F86" s="1104"/>
      <c r="G86" s="1105"/>
      <c r="H86" s="1105"/>
      <c r="I86" s="1106"/>
      <c r="J86" s="1107"/>
      <c r="K86" s="1107"/>
      <c r="L86" s="1107"/>
      <c r="M86" s="1107"/>
      <c r="N86" s="1107"/>
      <c r="O86" s="1102"/>
      <c r="P86" s="1103"/>
    </row>
    <row r="87" spans="1:23" x14ac:dyDescent="0.25">
      <c r="D87" s="1154" t="s">
        <v>97</v>
      </c>
      <c r="E87" s="1170">
        <v>2001</v>
      </c>
      <c r="F87" s="1170">
        <v>2002</v>
      </c>
      <c r="G87" s="1170">
        <v>2003</v>
      </c>
      <c r="H87" s="1170">
        <v>2004</v>
      </c>
      <c r="I87" s="1170">
        <v>2005</v>
      </c>
      <c r="J87" s="1170">
        <v>2006</v>
      </c>
      <c r="K87" s="1171">
        <v>2007</v>
      </c>
      <c r="L87" s="1172">
        <v>2008</v>
      </c>
      <c r="M87" s="1173">
        <v>2009</v>
      </c>
      <c r="N87" s="1173">
        <v>2010</v>
      </c>
      <c r="O87" s="1172">
        <v>2011</v>
      </c>
      <c r="P87" s="1172">
        <v>2012</v>
      </c>
      <c r="Q87" s="1159">
        <v>2013</v>
      </c>
      <c r="R87" s="1159">
        <v>2014</v>
      </c>
      <c r="S87" s="1159">
        <v>2015</v>
      </c>
      <c r="T87" s="1159">
        <v>2016</v>
      </c>
      <c r="U87" s="1159">
        <v>2017</v>
      </c>
      <c r="V87" s="1159">
        <v>2018</v>
      </c>
      <c r="W87" s="1159">
        <v>2019</v>
      </c>
    </row>
    <row r="88" spans="1:23" x14ac:dyDescent="0.25">
      <c r="D88" s="1160" t="s">
        <v>415</v>
      </c>
      <c r="E88" s="1161">
        <v>31.061938532111572</v>
      </c>
      <c r="F88" s="1161">
        <v>31.864263655863994</v>
      </c>
      <c r="G88" s="1161">
        <v>33.055538339113888</v>
      </c>
      <c r="H88" s="1161">
        <v>31.872513996023187</v>
      </c>
      <c r="I88" s="1161">
        <v>29.575236517451074</v>
      </c>
      <c r="J88" s="1161">
        <v>27.838520416339374</v>
      </c>
      <c r="K88" s="1161">
        <v>28.533113506970487</v>
      </c>
      <c r="L88" s="1161">
        <v>24.994817227609968</v>
      </c>
      <c r="M88" s="1161">
        <v>28.685799015767472</v>
      </c>
      <c r="N88" s="1161">
        <v>31.33266771788341</v>
      </c>
      <c r="O88" s="1161">
        <v>31.55274111631612</v>
      </c>
      <c r="P88" s="1174">
        <v>31.706819420719668</v>
      </c>
      <c r="Q88" s="1175">
        <v>31.935113742329126</v>
      </c>
      <c r="R88" s="1175">
        <v>32.086379323231377</v>
      </c>
      <c r="S88" s="1175">
        <v>31.135104550716797</v>
      </c>
      <c r="T88" s="1175">
        <v>32.568726929277133</v>
      </c>
      <c r="U88" s="1176">
        <v>33.187237060241387</v>
      </c>
      <c r="V88" s="1177">
        <v>33.513619337724002</v>
      </c>
      <c r="W88" s="1177">
        <v>35.337113517729208</v>
      </c>
    </row>
    <row r="89" spans="1:23" x14ac:dyDescent="0.25">
      <c r="D89" s="1154" t="s">
        <v>416</v>
      </c>
      <c r="E89" s="1161">
        <v>41.214651698670131</v>
      </c>
      <c r="F89" s="1161">
        <v>44.937792426047523</v>
      </c>
      <c r="G89" s="1161">
        <v>46.685360216092043</v>
      </c>
      <c r="H89" s="1161">
        <v>46.32668229814044</v>
      </c>
      <c r="I89" s="1161">
        <v>44.337683609573645</v>
      </c>
      <c r="J89" s="1161">
        <v>42.273767042478994</v>
      </c>
      <c r="K89" s="1161">
        <v>42.222185927840393</v>
      </c>
      <c r="L89" s="1161">
        <v>35.010744759558641</v>
      </c>
      <c r="M89" s="1161">
        <v>36.613854064026832</v>
      </c>
      <c r="N89" s="1161">
        <v>40.00870501156836</v>
      </c>
      <c r="O89" s="1161">
        <v>40.194481047916483</v>
      </c>
      <c r="P89" s="1174">
        <v>39.992109864634465</v>
      </c>
      <c r="Q89" s="1175">
        <v>39.074963665073867</v>
      </c>
      <c r="R89" s="1175">
        <v>38.956371190264534</v>
      </c>
      <c r="S89" s="1175">
        <v>38.977943005685226</v>
      </c>
      <c r="T89" s="1175">
        <v>40.226993952701918</v>
      </c>
      <c r="U89" s="1176">
        <v>40.342312882241174</v>
      </c>
      <c r="V89" s="1177">
        <v>41.029143522744107</v>
      </c>
      <c r="W89" s="1177">
        <v>42.023229820384493</v>
      </c>
    </row>
    <row r="90" spans="1:23" s="1181" customFormat="1" x14ac:dyDescent="0.3">
      <c r="A90" s="956"/>
      <c r="B90" s="1006"/>
      <c r="C90" s="1006"/>
      <c r="D90" s="1162" t="s">
        <v>232</v>
      </c>
      <c r="E90" s="1167">
        <v>36.1</v>
      </c>
      <c r="F90" s="1167">
        <v>38.4</v>
      </c>
      <c r="G90" s="1167">
        <v>39.9</v>
      </c>
      <c r="H90" s="1167">
        <v>39</v>
      </c>
      <c r="I90" s="1167">
        <v>36.9</v>
      </c>
      <c r="J90" s="1167">
        <v>35</v>
      </c>
      <c r="K90" s="1167">
        <v>35.299999999999997</v>
      </c>
      <c r="L90" s="1167">
        <v>29.7</v>
      </c>
      <c r="M90" s="1167">
        <v>32.4</v>
      </c>
      <c r="N90" s="1167">
        <v>35.4</v>
      </c>
      <c r="O90" s="1167">
        <v>35.6</v>
      </c>
      <c r="P90" s="1178">
        <v>35.6</v>
      </c>
      <c r="Q90" s="1166">
        <v>35.299999999999997</v>
      </c>
      <c r="R90" s="1166">
        <v>35.299999999999997</v>
      </c>
      <c r="S90" s="1166">
        <v>34.799999999999997</v>
      </c>
      <c r="T90" s="1166">
        <v>36.1</v>
      </c>
      <c r="U90" s="1179">
        <v>36.5</v>
      </c>
      <c r="V90" s="1180">
        <v>37</v>
      </c>
      <c r="W90" s="1180">
        <v>38.460914354823636</v>
      </c>
    </row>
    <row r="91" spans="1:23" s="1181" customFormat="1" x14ac:dyDescent="0.3">
      <c r="A91" s="956"/>
      <c r="B91" s="1006"/>
      <c r="C91" s="1006"/>
      <c r="D91" s="1149"/>
      <c r="E91" s="1182"/>
      <c r="F91" s="1182"/>
      <c r="G91" s="1182"/>
      <c r="H91" s="1182"/>
      <c r="I91" s="1182"/>
      <c r="J91" s="1182"/>
      <c r="K91" s="1182"/>
      <c r="L91" s="1182"/>
      <c r="M91" s="1182"/>
      <c r="N91" s="1182"/>
      <c r="O91" s="1182"/>
      <c r="P91" s="1183"/>
      <c r="Q91" s="1184"/>
      <c r="R91" s="1184"/>
      <c r="S91" s="1184"/>
      <c r="T91" s="1184"/>
      <c r="U91" s="1185"/>
      <c r="V91" s="1185"/>
    </row>
    <row r="92" spans="1:23" x14ac:dyDescent="0.25">
      <c r="E92" s="997" t="s">
        <v>447</v>
      </c>
    </row>
    <row r="93" spans="1:23" x14ac:dyDescent="0.25">
      <c r="D93" s="1154" t="s">
        <v>97</v>
      </c>
      <c r="E93" s="1155">
        <v>2001</v>
      </c>
      <c r="F93" s="1155">
        <v>2002</v>
      </c>
      <c r="G93" s="1155">
        <v>2003</v>
      </c>
      <c r="H93" s="1155">
        <v>2004</v>
      </c>
      <c r="I93" s="1155">
        <v>2005</v>
      </c>
      <c r="J93" s="1156">
        <v>2006</v>
      </c>
      <c r="K93" s="1157">
        <v>2007</v>
      </c>
      <c r="L93" s="1158">
        <v>2008</v>
      </c>
      <c r="M93" s="1158">
        <v>2009</v>
      </c>
      <c r="N93" s="1158">
        <v>2010</v>
      </c>
      <c r="O93" s="1158">
        <v>2011</v>
      </c>
      <c r="P93" s="1158">
        <v>2012</v>
      </c>
      <c r="Q93" s="1159">
        <v>2013</v>
      </c>
      <c r="R93" s="1159">
        <v>2014</v>
      </c>
      <c r="S93" s="1159">
        <v>2015</v>
      </c>
      <c r="T93" s="1159">
        <v>2016</v>
      </c>
      <c r="U93" s="1159">
        <v>2017</v>
      </c>
      <c r="V93" s="1159">
        <v>2018</v>
      </c>
      <c r="W93" s="1159">
        <v>2019</v>
      </c>
    </row>
    <row r="94" spans="1:23" x14ac:dyDescent="0.25">
      <c r="D94" s="1160" t="s">
        <v>441</v>
      </c>
      <c r="E94" s="1161">
        <v>63.2</v>
      </c>
      <c r="F94" s="1161">
        <v>65.5</v>
      </c>
      <c r="G94" s="1161">
        <v>69.3</v>
      </c>
      <c r="H94" s="1161">
        <v>67.8</v>
      </c>
      <c r="I94" s="1161">
        <v>64.5</v>
      </c>
      <c r="J94" s="1161">
        <v>62.1</v>
      </c>
      <c r="K94" s="1161">
        <v>62.6</v>
      </c>
      <c r="L94" s="1161">
        <v>55.4</v>
      </c>
      <c r="M94" s="1161">
        <v>60.1</v>
      </c>
      <c r="N94" s="1161">
        <v>65</v>
      </c>
      <c r="O94" s="1161">
        <v>65</v>
      </c>
      <c r="P94" s="1161">
        <v>65.900000000000006</v>
      </c>
      <c r="Q94" s="1161">
        <v>65.5</v>
      </c>
      <c r="R94" s="1161">
        <v>65</v>
      </c>
      <c r="S94" s="1161">
        <v>62.8</v>
      </c>
      <c r="T94" s="1161">
        <v>65.7</v>
      </c>
      <c r="U94" s="1161">
        <v>65.400000000000006</v>
      </c>
      <c r="V94" s="1161">
        <v>66.599999999999994</v>
      </c>
      <c r="W94" s="1161">
        <v>69.229183038017553</v>
      </c>
    </row>
    <row r="95" spans="1:23" x14ac:dyDescent="0.25">
      <c r="D95" s="1154" t="s">
        <v>442</v>
      </c>
      <c r="E95" s="1161">
        <v>40</v>
      </c>
      <c r="F95" s="1161">
        <v>41.9</v>
      </c>
      <c r="G95" s="1161">
        <v>43.2</v>
      </c>
      <c r="H95" s="1161">
        <v>42.7</v>
      </c>
      <c r="I95" s="1161">
        <v>40.700000000000003</v>
      </c>
      <c r="J95" s="1161">
        <v>38.1</v>
      </c>
      <c r="K95" s="1161">
        <v>38.5</v>
      </c>
      <c r="L95" s="1161">
        <v>32.6</v>
      </c>
      <c r="M95" s="1161">
        <v>36.299999999999997</v>
      </c>
      <c r="N95" s="1161">
        <v>39</v>
      </c>
      <c r="O95" s="1161">
        <v>40</v>
      </c>
      <c r="P95" s="1161">
        <v>39.5</v>
      </c>
      <c r="Q95" s="1161">
        <v>39.200000000000003</v>
      </c>
      <c r="R95" s="1161">
        <v>39.799999999999997</v>
      </c>
      <c r="S95" s="1161">
        <v>39.4</v>
      </c>
      <c r="T95" s="1161">
        <v>40.700000000000003</v>
      </c>
      <c r="U95" s="1161">
        <v>42</v>
      </c>
      <c r="V95" s="1161">
        <v>43</v>
      </c>
      <c r="W95" s="1161">
        <v>44.85979239826333</v>
      </c>
    </row>
    <row r="96" spans="1:23" x14ac:dyDescent="0.25">
      <c r="D96" s="1160" t="s">
        <v>443</v>
      </c>
      <c r="E96" s="1161">
        <v>23</v>
      </c>
      <c r="F96" s="1161">
        <v>24.8</v>
      </c>
      <c r="G96" s="1161">
        <v>25.6</v>
      </c>
      <c r="H96" s="1161">
        <v>26.2</v>
      </c>
      <c r="I96" s="1161">
        <v>24.7</v>
      </c>
      <c r="J96" s="1161">
        <v>24.4</v>
      </c>
      <c r="K96" s="1161">
        <v>23.5</v>
      </c>
      <c r="L96" s="1161">
        <v>21.3</v>
      </c>
      <c r="M96" s="1161">
        <v>23.3</v>
      </c>
      <c r="N96" s="1161">
        <v>25.7</v>
      </c>
      <c r="O96" s="1161">
        <v>26.3</v>
      </c>
      <c r="P96" s="1161">
        <v>26.3</v>
      </c>
      <c r="Q96" s="1161">
        <v>26.3</v>
      </c>
      <c r="R96" s="1161">
        <v>26.6</v>
      </c>
      <c r="S96" s="1161">
        <v>26.7</v>
      </c>
      <c r="T96" s="1161">
        <v>28</v>
      </c>
      <c r="U96" s="1161">
        <v>28.5</v>
      </c>
      <c r="V96" s="1161">
        <v>28.8</v>
      </c>
      <c r="W96" s="1161">
        <v>29.967771352840511</v>
      </c>
    </row>
    <row r="97" spans="1:23" x14ac:dyDescent="0.25">
      <c r="D97" s="1154" t="s">
        <v>444</v>
      </c>
      <c r="E97" s="1161">
        <v>18.899999999999999</v>
      </c>
      <c r="F97" s="1161">
        <v>21.2</v>
      </c>
      <c r="G97" s="1161">
        <v>21.3</v>
      </c>
      <c r="H97" s="1161">
        <v>19.899999999999999</v>
      </c>
      <c r="I97" s="1161">
        <v>19</v>
      </c>
      <c r="J97" s="1161">
        <v>18</v>
      </c>
      <c r="K97" s="1161">
        <v>19.600000000000001</v>
      </c>
      <c r="L97" s="1161">
        <v>15.3</v>
      </c>
      <c r="M97" s="1161">
        <v>17.2</v>
      </c>
      <c r="N97" s="1161">
        <v>20.2</v>
      </c>
      <c r="O97" s="1161">
        <v>20</v>
      </c>
      <c r="P97" s="1161">
        <v>20.6</v>
      </c>
      <c r="Q97" s="1161">
        <v>20.6</v>
      </c>
      <c r="R97" s="1161">
        <v>21.2</v>
      </c>
      <c r="S97" s="1161">
        <v>21.1</v>
      </c>
      <c r="T97" s="1161">
        <v>22.2</v>
      </c>
      <c r="U97" s="1161">
        <v>23.1</v>
      </c>
      <c r="V97" s="1161">
        <v>23.7</v>
      </c>
      <c r="W97" s="1161">
        <v>24.757500152702239</v>
      </c>
    </row>
    <row r="98" spans="1:23" x14ac:dyDescent="0.25">
      <c r="D98" s="1160" t="s">
        <v>445</v>
      </c>
      <c r="E98" s="1161">
        <v>14.6</v>
      </c>
      <c r="F98" s="1161">
        <v>17.3</v>
      </c>
      <c r="G98" s="1161">
        <v>16.5</v>
      </c>
      <c r="H98" s="1161">
        <v>14.6</v>
      </c>
      <c r="I98" s="1161">
        <v>14.1</v>
      </c>
      <c r="J98" s="1161">
        <v>12.1</v>
      </c>
      <c r="K98" s="1161">
        <v>13.8</v>
      </c>
      <c r="L98" s="1161">
        <v>11.6</v>
      </c>
      <c r="M98" s="1161">
        <v>11.9</v>
      </c>
      <c r="N98" s="1161">
        <v>14.7</v>
      </c>
      <c r="O98" s="1161">
        <v>12.9</v>
      </c>
      <c r="P98" s="1161">
        <v>14.5</v>
      </c>
      <c r="Q98" s="1161">
        <v>14.5</v>
      </c>
      <c r="R98" s="1161">
        <v>15</v>
      </c>
      <c r="S98" s="1161">
        <v>15.4</v>
      </c>
      <c r="T98" s="1161">
        <v>16.399999999999999</v>
      </c>
      <c r="U98" s="1161">
        <v>16.5</v>
      </c>
      <c r="V98" s="1161">
        <v>16.8</v>
      </c>
      <c r="W98" s="1161">
        <v>17.540014983658782</v>
      </c>
    </row>
    <row r="99" spans="1:23" s="1181" customFormat="1" x14ac:dyDescent="0.3">
      <c r="A99" s="956"/>
      <c r="B99" s="1006"/>
      <c r="C99" s="1006"/>
      <c r="D99" s="1186" t="s">
        <v>232</v>
      </c>
      <c r="E99" s="1167">
        <v>36.1</v>
      </c>
      <c r="F99" s="1167">
        <v>38.4</v>
      </c>
      <c r="G99" s="1167">
        <v>39.9</v>
      </c>
      <c r="H99" s="1167">
        <v>39</v>
      </c>
      <c r="I99" s="1167">
        <v>36.9</v>
      </c>
      <c r="J99" s="1167">
        <v>35</v>
      </c>
      <c r="K99" s="1167">
        <v>35.299999999999997</v>
      </c>
      <c r="L99" s="1167">
        <v>29.7</v>
      </c>
      <c r="M99" s="1167">
        <v>32.4</v>
      </c>
      <c r="N99" s="1167">
        <v>35.4</v>
      </c>
      <c r="O99" s="1167">
        <v>35.6</v>
      </c>
      <c r="P99" s="1167">
        <v>35.6</v>
      </c>
      <c r="Q99" s="1167">
        <v>35.299999999999997</v>
      </c>
      <c r="R99" s="1167">
        <v>35.299999999999997</v>
      </c>
      <c r="S99" s="1167">
        <v>34.799999999999997</v>
      </c>
      <c r="T99" s="1167">
        <v>36.1</v>
      </c>
      <c r="U99" s="1167">
        <v>36.5</v>
      </c>
      <c r="V99" s="1167">
        <v>37</v>
      </c>
      <c r="W99" s="1167">
        <v>38.46091435482375</v>
      </c>
    </row>
    <row r="100" spans="1:23" s="1181" customFormat="1" x14ac:dyDescent="0.3">
      <c r="A100" s="956"/>
      <c r="B100" s="1006"/>
      <c r="C100" s="1006"/>
      <c r="D100" s="1187"/>
      <c r="E100" s="1182"/>
      <c r="F100" s="1182"/>
      <c r="G100" s="1182"/>
      <c r="H100" s="1182"/>
      <c r="I100" s="1182"/>
      <c r="J100" s="1182"/>
      <c r="K100" s="1182"/>
      <c r="L100" s="1182"/>
      <c r="M100" s="1182"/>
      <c r="N100" s="1182"/>
      <c r="O100" s="1182"/>
      <c r="P100" s="1182"/>
      <c r="Q100" s="1182"/>
      <c r="R100" s="1182"/>
      <c r="S100" s="1182"/>
      <c r="T100" s="1182"/>
      <c r="U100" s="1182"/>
      <c r="V100" s="1182"/>
    </row>
    <row r="101" spans="1:23" s="1181" customFormat="1" x14ac:dyDescent="0.3">
      <c r="A101" s="956"/>
      <c r="B101" s="1006"/>
      <c r="C101" s="1006"/>
      <c r="D101" s="1187"/>
      <c r="E101" s="1182"/>
      <c r="F101" s="1182"/>
      <c r="G101" s="1182"/>
      <c r="H101" s="1182"/>
      <c r="I101" s="1182"/>
      <c r="J101" s="1182"/>
      <c r="K101" s="1182"/>
      <c r="L101" s="1182"/>
      <c r="M101" s="1182"/>
      <c r="N101" s="1182"/>
      <c r="O101" s="1182"/>
      <c r="P101" s="1182"/>
      <c r="Q101" s="1182"/>
      <c r="R101" s="1182"/>
      <c r="S101" s="1182"/>
      <c r="T101" s="1182"/>
      <c r="U101" s="1182"/>
      <c r="V101" s="1182"/>
    </row>
    <row r="102" spans="1:23" x14ac:dyDescent="0.25">
      <c r="D102" s="1102" t="s">
        <v>74</v>
      </c>
      <c r="E102" s="1103" t="s">
        <v>448</v>
      </c>
      <c r="F102" s="1104"/>
      <c r="G102" s="1105"/>
      <c r="H102" s="1105"/>
      <c r="I102" s="1106"/>
    </row>
    <row r="103" spans="1:23" x14ac:dyDescent="0.25">
      <c r="D103" s="1154" t="s">
        <v>97</v>
      </c>
      <c r="E103" s="1155">
        <v>2001</v>
      </c>
      <c r="F103" s="1155">
        <v>2002</v>
      </c>
      <c r="G103" s="1155">
        <v>2003</v>
      </c>
      <c r="H103" s="1155">
        <v>2004</v>
      </c>
      <c r="I103" s="1155">
        <v>2005</v>
      </c>
      <c r="J103" s="1156">
        <v>2006</v>
      </c>
      <c r="K103" s="1157">
        <v>2007</v>
      </c>
      <c r="L103" s="1158">
        <v>2008</v>
      </c>
      <c r="M103" s="1158">
        <v>2009</v>
      </c>
      <c r="N103" s="1158">
        <v>2010</v>
      </c>
      <c r="O103" s="1158">
        <v>2011</v>
      </c>
      <c r="P103" s="1158">
        <v>2012</v>
      </c>
      <c r="Q103" s="1159">
        <v>2013</v>
      </c>
      <c r="R103" s="1159">
        <v>2014</v>
      </c>
      <c r="S103" s="1159">
        <v>2015</v>
      </c>
      <c r="T103" s="1159">
        <v>2016</v>
      </c>
      <c r="U103" s="1159">
        <v>2017</v>
      </c>
      <c r="V103" s="1159">
        <v>2018</v>
      </c>
      <c r="W103" s="1188">
        <v>2019</v>
      </c>
    </row>
    <row r="104" spans="1:23" x14ac:dyDescent="0.25">
      <c r="D104" s="1160" t="s">
        <v>415</v>
      </c>
      <c r="E104" s="1161">
        <v>23.1</v>
      </c>
      <c r="F104" s="1161">
        <v>23.5</v>
      </c>
      <c r="G104" s="1161">
        <v>23.7</v>
      </c>
      <c r="H104" s="1161">
        <v>21.2</v>
      </c>
      <c r="I104" s="1161">
        <v>20</v>
      </c>
      <c r="J104" s="1161">
        <v>18.600000000000001</v>
      </c>
      <c r="K104" s="1161">
        <v>18.8</v>
      </c>
      <c r="L104" s="1161">
        <v>19.8</v>
      </c>
      <c r="M104" s="1161">
        <v>22</v>
      </c>
      <c r="N104" s="1161">
        <v>23</v>
      </c>
      <c r="O104" s="1161">
        <v>22.7</v>
      </c>
      <c r="P104" s="1161">
        <v>23</v>
      </c>
      <c r="Q104" s="1161">
        <v>23.1</v>
      </c>
      <c r="R104" s="1161">
        <v>23.3</v>
      </c>
      <c r="S104" s="1161">
        <v>23.4</v>
      </c>
      <c r="T104" s="1161">
        <v>24.7</v>
      </c>
      <c r="U104" s="1161">
        <v>25.7</v>
      </c>
      <c r="V104" s="1161">
        <v>25.3</v>
      </c>
      <c r="W104" s="1161">
        <v>27</v>
      </c>
    </row>
    <row r="105" spans="1:23" x14ac:dyDescent="0.25">
      <c r="D105" s="1154" t="s">
        <v>416</v>
      </c>
      <c r="E105" s="1161">
        <v>27.9</v>
      </c>
      <c r="F105" s="1161">
        <v>31.3</v>
      </c>
      <c r="G105" s="1161">
        <v>31.1</v>
      </c>
      <c r="H105" s="1161">
        <v>28.7</v>
      </c>
      <c r="I105" s="1161">
        <v>28.2</v>
      </c>
      <c r="J105" s="1161">
        <v>27.1</v>
      </c>
      <c r="K105" s="1161">
        <v>26.4</v>
      </c>
      <c r="L105" s="1161">
        <v>25.9</v>
      </c>
      <c r="M105" s="1161">
        <v>25.7</v>
      </c>
      <c r="N105" s="1161">
        <v>27.2</v>
      </c>
      <c r="O105" s="1161">
        <v>27.3</v>
      </c>
      <c r="P105" s="1161">
        <v>27.2</v>
      </c>
      <c r="Q105" s="1161">
        <v>26.7</v>
      </c>
      <c r="R105" s="1161">
        <v>27.2</v>
      </c>
      <c r="S105" s="1161">
        <v>27.7</v>
      </c>
      <c r="T105" s="1161">
        <v>29.1</v>
      </c>
      <c r="U105" s="1161">
        <v>29.6</v>
      </c>
      <c r="V105" s="1161">
        <v>29.3</v>
      </c>
      <c r="W105" s="1161">
        <v>30.7</v>
      </c>
    </row>
    <row r="106" spans="1:23" x14ac:dyDescent="0.25">
      <c r="D106" s="1162" t="s">
        <v>232</v>
      </c>
      <c r="E106" s="1161">
        <v>25.4</v>
      </c>
      <c r="F106" s="1161">
        <v>27.2</v>
      </c>
      <c r="G106" s="1161">
        <v>27.1</v>
      </c>
      <c r="H106" s="1161">
        <v>24.7</v>
      </c>
      <c r="I106" s="1161">
        <v>23.8</v>
      </c>
      <c r="J106" s="1161">
        <v>22.6</v>
      </c>
      <c r="K106" s="1161">
        <v>22.3</v>
      </c>
      <c r="L106" s="1161">
        <v>22.5</v>
      </c>
      <c r="M106" s="1161">
        <v>23.7</v>
      </c>
      <c r="N106" s="1161">
        <v>24.9</v>
      </c>
      <c r="O106" s="1161">
        <v>24.8</v>
      </c>
      <c r="P106" s="1161">
        <v>24.9</v>
      </c>
      <c r="Q106" s="1161">
        <v>24.7</v>
      </c>
      <c r="R106" s="1161">
        <v>25.1</v>
      </c>
      <c r="S106" s="1161">
        <v>25.3</v>
      </c>
      <c r="T106" s="1161">
        <v>26.7</v>
      </c>
      <c r="U106" s="1161">
        <v>27.5</v>
      </c>
      <c r="V106" s="1161">
        <v>27.1</v>
      </c>
      <c r="W106" s="1161">
        <v>28.7</v>
      </c>
    </row>
  </sheetData>
  <sheetProtection selectLockedCells="1"/>
  <mergeCells count="8">
    <mergeCell ref="D69:V69"/>
    <mergeCell ref="D70:V70"/>
    <mergeCell ref="D2:W2"/>
    <mergeCell ref="D3:W3"/>
    <mergeCell ref="D4:W4"/>
    <mergeCell ref="D5:W5"/>
    <mergeCell ref="D67:V67"/>
    <mergeCell ref="D68:V68"/>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1C53B-FA30-4417-9AEE-3B17135AB321}">
  <sheetPr>
    <tabColor rgb="FF990099"/>
  </sheetPr>
  <dimension ref="A1:V71"/>
  <sheetViews>
    <sheetView showGridLines="0" view="pageBreakPreview" topLeftCell="A22" zoomScaleNormal="100" zoomScaleSheetLayoutView="100" workbookViewId="0">
      <selection activeCell="O23" sqref="O23"/>
    </sheetView>
  </sheetViews>
  <sheetFormatPr defaultRowHeight="14.5" x14ac:dyDescent="0.35"/>
  <cols>
    <col min="2" max="2" width="12.81640625" customWidth="1"/>
    <col min="3" max="3" width="6.08984375" customWidth="1"/>
    <col min="4" max="4" width="20.54296875" customWidth="1"/>
    <col min="6" max="6" width="9.7265625" bestFit="1" customWidth="1"/>
    <col min="19" max="19" width="9.7265625" customWidth="1"/>
  </cols>
  <sheetData>
    <row r="1" spans="1:22" x14ac:dyDescent="0.35">
      <c r="A1" s="1189"/>
      <c r="B1" s="826"/>
      <c r="C1" s="820"/>
      <c r="D1" s="1190"/>
      <c r="E1" s="1190"/>
      <c r="F1" s="1190"/>
      <c r="G1" s="1190"/>
      <c r="H1" s="1190"/>
      <c r="I1" s="1190"/>
      <c r="J1" s="1190"/>
      <c r="K1" s="85"/>
      <c r="L1" s="85"/>
      <c r="M1" s="92"/>
      <c r="N1" s="92"/>
      <c r="O1" s="92"/>
      <c r="P1" s="92"/>
      <c r="Q1" s="92"/>
      <c r="R1" s="92"/>
      <c r="S1" s="92"/>
      <c r="T1" s="92"/>
    </row>
    <row r="2" spans="1:22" x14ac:dyDescent="0.35">
      <c r="A2" s="1191">
        <v>1</v>
      </c>
      <c r="B2" s="1192" t="s">
        <v>0</v>
      </c>
      <c r="C2" s="819">
        <v>18</v>
      </c>
      <c r="D2" s="4723" t="s">
        <v>449</v>
      </c>
      <c r="E2" s="4724"/>
      <c r="F2" s="4724"/>
      <c r="G2" s="4724"/>
      <c r="H2" s="4724"/>
      <c r="I2" s="4724"/>
      <c r="J2" s="4724"/>
      <c r="K2" s="4724"/>
      <c r="L2" s="4724"/>
      <c r="M2" s="4724"/>
      <c r="N2" s="4724"/>
      <c r="O2" s="4724"/>
      <c r="P2" s="4724"/>
      <c r="Q2" s="4724"/>
      <c r="R2" s="4724"/>
      <c r="S2" s="4725"/>
      <c r="T2" s="1193"/>
    </row>
    <row r="3" spans="1:22" x14ac:dyDescent="0.35">
      <c r="A3" s="1191">
        <v>2</v>
      </c>
      <c r="B3" s="1192" t="s">
        <v>2</v>
      </c>
      <c r="C3" s="819"/>
      <c r="D3" s="4723" t="s">
        <v>450</v>
      </c>
      <c r="E3" s="4724"/>
      <c r="F3" s="4724"/>
      <c r="G3" s="4724"/>
      <c r="H3" s="4724"/>
      <c r="I3" s="4724"/>
      <c r="J3" s="4724"/>
      <c r="K3" s="4724"/>
      <c r="L3" s="4724"/>
      <c r="M3" s="4724"/>
      <c r="N3" s="4724"/>
      <c r="O3" s="4724"/>
      <c r="P3" s="4724"/>
      <c r="Q3" s="4724"/>
      <c r="R3" s="4724"/>
      <c r="S3" s="4725"/>
      <c r="T3" s="1193"/>
    </row>
    <row r="4" spans="1:22" x14ac:dyDescent="0.35">
      <c r="A4" s="1191">
        <v>3</v>
      </c>
      <c r="B4" s="1192" t="s">
        <v>4</v>
      </c>
      <c r="C4" s="819"/>
      <c r="D4" s="4723" t="s">
        <v>451</v>
      </c>
      <c r="E4" s="4724"/>
      <c r="F4" s="4724"/>
      <c r="G4" s="4724"/>
      <c r="H4" s="4724"/>
      <c r="I4" s="4724"/>
      <c r="J4" s="4724"/>
      <c r="K4" s="4724"/>
      <c r="L4" s="4724"/>
      <c r="M4" s="4724"/>
      <c r="N4" s="4724"/>
      <c r="O4" s="4724"/>
      <c r="P4" s="4724"/>
      <c r="Q4" s="4724"/>
      <c r="R4" s="4724"/>
      <c r="S4" s="4725"/>
      <c r="T4" s="1193"/>
      <c r="U4" s="956"/>
      <c r="V4" s="956"/>
    </row>
    <row r="5" spans="1:22" x14ac:dyDescent="0.35">
      <c r="A5" s="1191">
        <v>4</v>
      </c>
      <c r="B5" s="1192" t="s">
        <v>174</v>
      </c>
      <c r="C5" s="819"/>
      <c r="D5" s="4723"/>
      <c r="E5" s="4724"/>
      <c r="F5" s="4724"/>
      <c r="G5" s="4724"/>
      <c r="H5" s="4724"/>
      <c r="I5" s="4724"/>
      <c r="J5" s="4724"/>
      <c r="K5" s="4724"/>
      <c r="L5" s="4724"/>
      <c r="M5" s="4724"/>
      <c r="N5" s="4724"/>
      <c r="O5" s="4724"/>
      <c r="P5" s="4724"/>
      <c r="Q5" s="4724"/>
      <c r="R5" s="4724"/>
      <c r="S5" s="4725"/>
      <c r="T5" s="1193"/>
      <c r="U5" s="956"/>
      <c r="V5" s="956"/>
    </row>
    <row r="6" spans="1:22" x14ac:dyDescent="0.35">
      <c r="A6" s="1194"/>
      <c r="B6" s="410"/>
      <c r="C6" s="1195"/>
      <c r="D6" s="33"/>
      <c r="E6" s="33"/>
      <c r="F6" s="33"/>
      <c r="G6" s="33"/>
      <c r="H6" s="33"/>
      <c r="I6" s="33"/>
      <c r="J6" s="33"/>
      <c r="K6" s="33"/>
      <c r="L6" s="33"/>
      <c r="M6" s="11"/>
      <c r="N6" s="11"/>
      <c r="O6" s="11"/>
      <c r="P6" s="11"/>
      <c r="Q6" s="11"/>
      <c r="R6" s="11"/>
      <c r="S6" s="11"/>
      <c r="T6" s="11"/>
      <c r="U6" s="956"/>
      <c r="V6" s="956"/>
    </row>
    <row r="7" spans="1:22" x14ac:dyDescent="0.35">
      <c r="A7" s="1191">
        <v>5</v>
      </c>
      <c r="B7" s="1192" t="s">
        <v>74</v>
      </c>
      <c r="C7" s="1192"/>
      <c r="D7" s="155" t="s">
        <v>7</v>
      </c>
      <c r="E7" s="155" t="s">
        <v>452</v>
      </c>
      <c r="F7" s="120"/>
      <c r="G7" s="120"/>
      <c r="H7" s="120"/>
      <c r="I7" s="120"/>
      <c r="J7" s="120"/>
      <c r="K7" s="120"/>
      <c r="L7" s="108"/>
      <c r="M7" s="108"/>
      <c r="N7" s="108"/>
      <c r="O7" s="108"/>
      <c r="P7" s="108"/>
      <c r="Q7" s="108"/>
      <c r="R7" s="108"/>
      <c r="S7" s="108"/>
      <c r="T7" s="108"/>
      <c r="U7" s="956"/>
      <c r="V7" s="956"/>
    </row>
    <row r="8" spans="1:22" x14ac:dyDescent="0.35">
      <c r="A8" s="1194"/>
      <c r="B8" s="410"/>
      <c r="C8" s="1195"/>
      <c r="D8" s="1196"/>
      <c r="E8" s="1197" t="s">
        <v>112</v>
      </c>
      <c r="F8" s="1198" t="s">
        <v>113</v>
      </c>
      <c r="G8" s="1199" t="s">
        <v>114</v>
      </c>
      <c r="H8" s="1199" t="s">
        <v>115</v>
      </c>
      <c r="I8" s="1199" t="s">
        <v>116</v>
      </c>
      <c r="J8" s="1199" t="s">
        <v>117</v>
      </c>
      <c r="K8" s="1199" t="s">
        <v>118</v>
      </c>
      <c r="L8" s="1199" t="s">
        <v>119</v>
      </c>
      <c r="M8" s="1199" t="s">
        <v>120</v>
      </c>
      <c r="N8" s="1199" t="s">
        <v>121</v>
      </c>
      <c r="O8" s="1200" t="s">
        <v>122</v>
      </c>
      <c r="P8" s="1200" t="s">
        <v>123</v>
      </c>
      <c r="Q8" s="1201" t="s">
        <v>124</v>
      </c>
      <c r="R8" s="1201" t="s">
        <v>125</v>
      </c>
      <c r="S8" s="1201" t="s">
        <v>126</v>
      </c>
      <c r="T8" s="108"/>
      <c r="U8" s="956"/>
      <c r="V8" s="956"/>
    </row>
    <row r="9" spans="1:22" x14ac:dyDescent="0.35">
      <c r="A9" s="1194"/>
      <c r="B9" s="410"/>
      <c r="C9" s="1195"/>
      <c r="D9" s="1202" t="s">
        <v>192</v>
      </c>
      <c r="E9" s="1203">
        <v>158277</v>
      </c>
      <c r="F9" s="1204">
        <v>110637</v>
      </c>
      <c r="G9" s="1204">
        <v>150854</v>
      </c>
      <c r="H9" s="1205">
        <v>251271</v>
      </c>
      <c r="I9" s="1206">
        <v>398780</v>
      </c>
      <c r="J9" s="1206">
        <v>263457</v>
      </c>
      <c r="K9" s="1206">
        <v>277100</v>
      </c>
      <c r="L9" s="1206">
        <v>374591</v>
      </c>
      <c r="M9" s="1206">
        <v>340676</v>
      </c>
      <c r="N9" s="1206">
        <v>391555</v>
      </c>
      <c r="O9" s="1207">
        <v>409209</v>
      </c>
      <c r="P9" s="1207">
        <v>202481</v>
      </c>
      <c r="Q9" s="1208">
        <v>263510</v>
      </c>
      <c r="R9" s="1208">
        <v>294041</v>
      </c>
      <c r="S9" s="1208">
        <v>296014</v>
      </c>
      <c r="T9" s="108"/>
      <c r="U9" s="956"/>
      <c r="V9" s="957"/>
    </row>
    <row r="10" spans="1:22" x14ac:dyDescent="0.35">
      <c r="A10" s="1194"/>
      <c r="B10" s="410"/>
      <c r="C10" s="1195"/>
      <c r="D10" s="1202" t="s">
        <v>453</v>
      </c>
      <c r="E10" s="1203">
        <v>58796</v>
      </c>
      <c r="F10" s="1204">
        <v>81186</v>
      </c>
      <c r="G10" s="1204">
        <v>129251</v>
      </c>
      <c r="H10" s="1205">
        <v>119034</v>
      </c>
      <c r="I10" s="1206">
        <v>99987</v>
      </c>
      <c r="J10" s="1206">
        <v>95942</v>
      </c>
      <c r="K10" s="1206">
        <v>107189</v>
      </c>
      <c r="L10" s="1206">
        <v>164475</v>
      </c>
      <c r="M10" s="1206">
        <v>244112</v>
      </c>
      <c r="N10" s="1206">
        <v>205870</v>
      </c>
      <c r="O10" s="1207">
        <v>221090</v>
      </c>
      <c r="P10" s="1207">
        <v>147785</v>
      </c>
      <c r="Q10" s="1208">
        <v>200281</v>
      </c>
      <c r="R10" s="1208">
        <v>195193</v>
      </c>
      <c r="S10" s="1208">
        <v>205329</v>
      </c>
      <c r="T10" s="108"/>
      <c r="U10" s="956"/>
      <c r="V10" s="957"/>
    </row>
    <row r="11" spans="1:22" x14ac:dyDescent="0.35">
      <c r="A11" s="1194"/>
      <c r="B11" s="410"/>
      <c r="C11" s="1195"/>
      <c r="D11" s="1202" t="s">
        <v>454</v>
      </c>
      <c r="E11" s="1203">
        <v>1650</v>
      </c>
      <c r="F11" s="1204">
        <v>18308</v>
      </c>
      <c r="G11" s="1204">
        <v>37106</v>
      </c>
      <c r="H11" s="1205">
        <v>65912</v>
      </c>
      <c r="I11" s="1206">
        <v>64981</v>
      </c>
      <c r="J11" s="1206">
        <v>206421</v>
      </c>
      <c r="K11" s="1206">
        <v>131979</v>
      </c>
      <c r="L11" s="1206">
        <v>164662</v>
      </c>
      <c r="M11" s="1206">
        <v>171668</v>
      </c>
      <c r="N11" s="1206">
        <v>191516</v>
      </c>
      <c r="O11" s="1207">
        <v>224606</v>
      </c>
      <c r="P11" s="1207">
        <v>113371</v>
      </c>
      <c r="Q11" s="1208">
        <v>149006</v>
      </c>
      <c r="R11" s="1208">
        <v>185145</v>
      </c>
      <c r="S11" s="1208">
        <v>193737</v>
      </c>
      <c r="T11" s="108"/>
      <c r="U11" s="956"/>
      <c r="V11" s="957"/>
    </row>
    <row r="12" spans="1:22" x14ac:dyDescent="0.35">
      <c r="A12" s="1194"/>
      <c r="B12" s="410"/>
      <c r="C12" s="1195"/>
      <c r="D12" s="1202" t="s">
        <v>455</v>
      </c>
      <c r="E12" s="1203">
        <v>4687</v>
      </c>
      <c r="F12" s="1204">
        <v>1833</v>
      </c>
      <c r="G12" s="1204">
        <v>3483</v>
      </c>
      <c r="H12" s="1205">
        <v>4049</v>
      </c>
      <c r="I12" s="1206">
        <v>7067</v>
      </c>
      <c r="J12" s="1206"/>
      <c r="K12" s="1206"/>
      <c r="L12" s="1206"/>
      <c r="M12" s="1206"/>
      <c r="N12" s="1206"/>
      <c r="O12" s="1207"/>
      <c r="P12" s="1207"/>
      <c r="Q12" s="1208"/>
      <c r="R12" s="1208"/>
      <c r="S12" s="1208"/>
      <c r="T12" s="108"/>
      <c r="U12" s="956"/>
      <c r="V12" s="957"/>
    </row>
    <row r="13" spans="1:22" x14ac:dyDescent="0.35">
      <c r="A13" s="1194"/>
      <c r="B13" s="410"/>
      <c r="C13" s="1195"/>
      <c r="D13" s="1202" t="s">
        <v>456</v>
      </c>
      <c r="E13" s="1203"/>
      <c r="F13" s="1204"/>
      <c r="G13" s="1204"/>
      <c r="H13" s="1205"/>
      <c r="I13" s="1206"/>
      <c r="J13" s="1206"/>
      <c r="K13" s="1206"/>
      <c r="L13" s="1206"/>
      <c r="M13" s="1206"/>
      <c r="N13" s="1206"/>
      <c r="O13" s="1207"/>
      <c r="P13" s="1207"/>
      <c r="Q13" s="1208"/>
      <c r="R13" s="1208"/>
      <c r="S13" s="1208"/>
      <c r="T13" s="108"/>
      <c r="U13" s="956"/>
      <c r="V13" s="957"/>
    </row>
    <row r="14" spans="1:22" x14ac:dyDescent="0.35">
      <c r="A14" s="1194"/>
      <c r="B14" s="410"/>
      <c r="C14" s="1195"/>
      <c r="D14" s="1202" t="s">
        <v>457</v>
      </c>
      <c r="E14" s="1203"/>
      <c r="F14" s="1204"/>
      <c r="G14" s="1204"/>
      <c r="H14" s="1205"/>
      <c r="I14" s="1206"/>
      <c r="J14" s="1206">
        <v>46393</v>
      </c>
      <c r="K14" s="1206">
        <v>92136</v>
      </c>
      <c r="L14" s="1206">
        <v>100179</v>
      </c>
      <c r="M14" s="1206">
        <v>144538</v>
      </c>
      <c r="N14" s="1206">
        <v>176679</v>
      </c>
      <c r="O14" s="1207">
        <v>198707</v>
      </c>
      <c r="P14" s="1207">
        <v>221375</v>
      </c>
      <c r="Q14" s="1208">
        <v>107318</v>
      </c>
      <c r="R14" s="1208">
        <v>166264</v>
      </c>
      <c r="S14" s="1208">
        <v>236870</v>
      </c>
      <c r="T14" s="108"/>
      <c r="U14" s="956"/>
      <c r="V14" s="956"/>
    </row>
    <row r="15" spans="1:22" x14ac:dyDescent="0.35">
      <c r="A15" s="1194"/>
      <c r="B15" s="410"/>
      <c r="C15" s="1195"/>
      <c r="D15" s="1202" t="s">
        <v>458</v>
      </c>
      <c r="E15" s="1203"/>
      <c r="F15" s="1204"/>
      <c r="G15" s="1204"/>
      <c r="H15" s="1205"/>
      <c r="I15" s="1206"/>
      <c r="J15" s="1206">
        <v>13646</v>
      </c>
      <c r="K15" s="1206">
        <v>34712</v>
      </c>
      <c r="L15" s="1206">
        <v>39552</v>
      </c>
      <c r="M15" s="1206">
        <v>40599</v>
      </c>
      <c r="N15" s="1206">
        <v>51645</v>
      </c>
      <c r="O15" s="1207">
        <v>50371</v>
      </c>
      <c r="P15" s="1207">
        <v>56528</v>
      </c>
      <c r="Q15" s="1208">
        <v>59130</v>
      </c>
      <c r="R15" s="1208">
        <v>59591</v>
      </c>
      <c r="S15" s="1208">
        <v>65336</v>
      </c>
      <c r="T15" s="108"/>
      <c r="U15" s="956"/>
      <c r="V15" s="957"/>
    </row>
    <row r="16" spans="1:22" x14ac:dyDescent="0.35">
      <c r="A16" s="1194"/>
      <c r="B16" s="410"/>
      <c r="C16" s="1195"/>
      <c r="D16" s="1209" t="s">
        <v>459</v>
      </c>
      <c r="E16" s="1210">
        <f t="shared" ref="E16:S16" si="0">SUM(E9:E15)</f>
        <v>223410</v>
      </c>
      <c r="F16" s="1210">
        <f t="shared" si="0"/>
        <v>211964</v>
      </c>
      <c r="G16" s="1210">
        <f t="shared" si="0"/>
        <v>320694</v>
      </c>
      <c r="H16" s="1210">
        <f t="shared" si="0"/>
        <v>440266</v>
      </c>
      <c r="I16" s="1210">
        <f t="shared" si="0"/>
        <v>570815</v>
      </c>
      <c r="J16" s="1210">
        <f t="shared" si="0"/>
        <v>625859</v>
      </c>
      <c r="K16" s="1210">
        <f t="shared" si="0"/>
        <v>643116</v>
      </c>
      <c r="L16" s="1210">
        <f t="shared" si="0"/>
        <v>843459</v>
      </c>
      <c r="M16" s="1210">
        <f t="shared" si="0"/>
        <v>941593</v>
      </c>
      <c r="N16" s="1210">
        <f t="shared" si="0"/>
        <v>1017265</v>
      </c>
      <c r="O16" s="1210">
        <f t="shared" si="0"/>
        <v>1103983</v>
      </c>
      <c r="P16" s="1210">
        <f t="shared" si="0"/>
        <v>741540</v>
      </c>
      <c r="Q16" s="1210">
        <f t="shared" si="0"/>
        <v>779245</v>
      </c>
      <c r="R16" s="1210">
        <f t="shared" si="0"/>
        <v>900234</v>
      </c>
      <c r="S16" s="1210">
        <f t="shared" si="0"/>
        <v>997286</v>
      </c>
      <c r="T16" s="108"/>
      <c r="U16" s="956"/>
      <c r="V16" s="957"/>
    </row>
    <row r="17" spans="1:22" x14ac:dyDescent="0.35">
      <c r="A17" s="1194"/>
      <c r="B17" s="410"/>
      <c r="C17" s="1195"/>
      <c r="D17" s="1211" t="s">
        <v>460</v>
      </c>
      <c r="E17" s="1212">
        <f>E16</f>
        <v>223410</v>
      </c>
      <c r="F17" s="1213">
        <f>E17+F16</f>
        <v>435374</v>
      </c>
      <c r="G17" s="1213">
        <f>G16+F17</f>
        <v>756068</v>
      </c>
      <c r="H17" s="1214">
        <f>H16+G17</f>
        <v>1196334</v>
      </c>
      <c r="I17" s="1215">
        <f t="shared" ref="I17:R17" si="1">H17+I16</f>
        <v>1767149</v>
      </c>
      <c r="J17" s="1215">
        <f t="shared" si="1"/>
        <v>2393008</v>
      </c>
      <c r="K17" s="1215">
        <f t="shared" si="1"/>
        <v>3036124</v>
      </c>
      <c r="L17" s="1215">
        <f t="shared" si="1"/>
        <v>3879583</v>
      </c>
      <c r="M17" s="1215">
        <f t="shared" si="1"/>
        <v>4821176</v>
      </c>
      <c r="N17" s="1215">
        <f t="shared" si="1"/>
        <v>5838441</v>
      </c>
      <c r="O17" s="1215">
        <f t="shared" si="1"/>
        <v>6942424</v>
      </c>
      <c r="P17" s="1215">
        <f t="shared" si="1"/>
        <v>7683964</v>
      </c>
      <c r="Q17" s="1215">
        <f t="shared" si="1"/>
        <v>8463209</v>
      </c>
      <c r="R17" s="1215">
        <f t="shared" si="1"/>
        <v>9363443</v>
      </c>
      <c r="S17" s="1215">
        <f>R17+S16</f>
        <v>10360729</v>
      </c>
      <c r="T17" s="108"/>
      <c r="U17" s="956"/>
      <c r="V17" s="957"/>
    </row>
    <row r="18" spans="1:22" x14ac:dyDescent="0.35">
      <c r="A18" s="1194"/>
      <c r="B18" s="410"/>
      <c r="C18" s="1195"/>
      <c r="D18" s="108"/>
      <c r="E18" s="1216"/>
      <c r="F18" s="1216"/>
      <c r="G18" s="1216"/>
      <c r="H18" s="1217"/>
      <c r="I18" s="1218"/>
      <c r="J18" s="1218"/>
      <c r="K18" s="1218"/>
      <c r="L18" s="1218"/>
      <c r="M18" s="1218"/>
      <c r="N18" s="1218"/>
      <c r="O18" s="1218"/>
      <c r="P18" s="1218"/>
      <c r="Q18" s="1218"/>
      <c r="R18" s="108"/>
      <c r="S18" s="108"/>
      <c r="T18" s="108"/>
      <c r="U18" s="956"/>
      <c r="V18" s="957"/>
    </row>
    <row r="19" spans="1:22" x14ac:dyDescent="0.35">
      <c r="A19" s="1194"/>
      <c r="B19" s="410"/>
      <c r="C19" s="1195"/>
      <c r="D19" s="416" t="s">
        <v>35</v>
      </c>
      <c r="E19" s="1219" t="s">
        <v>461</v>
      </c>
      <c r="F19" s="868"/>
      <c r="G19" s="1220"/>
      <c r="H19" s="1220"/>
      <c r="I19" s="1220"/>
      <c r="J19" s="868"/>
      <c r="K19" s="108"/>
      <c r="L19" s="11"/>
      <c r="M19" s="12"/>
      <c r="N19" s="12"/>
      <c r="O19" s="12"/>
      <c r="P19" s="1221"/>
      <c r="Q19" s="1221"/>
      <c r="R19" s="12"/>
      <c r="S19" s="12"/>
      <c r="T19" s="12"/>
      <c r="U19" s="956"/>
      <c r="V19" s="957"/>
    </row>
    <row r="20" spans="1:22" ht="63" x14ac:dyDescent="0.35">
      <c r="A20" s="1222"/>
      <c r="B20" s="1223"/>
      <c r="C20" s="1224"/>
      <c r="D20" s="1225"/>
      <c r="E20" s="1226" t="s">
        <v>462</v>
      </c>
      <c r="F20" s="1227" t="s">
        <v>463</v>
      </c>
      <c r="G20" s="1227" t="s">
        <v>464</v>
      </c>
      <c r="H20" s="1227" t="s">
        <v>465</v>
      </c>
      <c r="I20" s="1227" t="s">
        <v>466</v>
      </c>
      <c r="J20" s="1227" t="s">
        <v>467</v>
      </c>
      <c r="K20" s="1228" t="s">
        <v>468</v>
      </c>
      <c r="L20" s="11"/>
      <c r="M20" s="11"/>
      <c r="N20" s="11"/>
      <c r="O20" s="1229"/>
      <c r="P20" s="11"/>
      <c r="Q20" s="11"/>
      <c r="R20" s="11"/>
      <c r="S20" s="11"/>
      <c r="T20" s="11"/>
      <c r="U20" s="956"/>
      <c r="V20" s="957"/>
    </row>
    <row r="21" spans="1:22" x14ac:dyDescent="0.35">
      <c r="A21" s="1222"/>
      <c r="B21" s="1223"/>
      <c r="C21" s="1224"/>
      <c r="D21" s="1230" t="s">
        <v>469</v>
      </c>
      <c r="E21" s="1231">
        <v>6763</v>
      </c>
      <c r="F21" s="1232">
        <v>97679</v>
      </c>
      <c r="G21" s="1232">
        <v>660</v>
      </c>
      <c r="H21" s="1232">
        <v>296014</v>
      </c>
      <c r="I21" s="4620">
        <v>0.4299</v>
      </c>
      <c r="J21" s="4620">
        <v>0.5444</v>
      </c>
      <c r="K21" s="4620">
        <v>5.8999999999999999E-3</v>
      </c>
      <c r="L21" s="11"/>
      <c r="M21" s="11"/>
      <c r="N21" s="11"/>
      <c r="O21" s="11"/>
      <c r="P21" s="11"/>
      <c r="Q21" s="11"/>
      <c r="R21" s="11"/>
      <c r="S21" s="11"/>
      <c r="T21" s="11"/>
      <c r="U21" s="956"/>
      <c r="V21" s="957"/>
    </row>
    <row r="22" spans="1:22" x14ac:dyDescent="0.35">
      <c r="A22" s="1222"/>
      <c r="B22" s="1223"/>
      <c r="C22" s="1224"/>
      <c r="D22" s="1230" t="s">
        <v>470</v>
      </c>
      <c r="E22" s="1231">
        <v>3446</v>
      </c>
      <c r="F22" s="1232">
        <v>67612</v>
      </c>
      <c r="G22" s="1232">
        <v>9749</v>
      </c>
      <c r="H22" s="1232">
        <v>205329</v>
      </c>
      <c r="I22" s="4620">
        <v>0.59340000000000004</v>
      </c>
      <c r="J22" s="4620">
        <v>0.5756</v>
      </c>
      <c r="K22" s="4620">
        <v>1.35E-2</v>
      </c>
      <c r="L22" s="11"/>
      <c r="M22" s="11"/>
      <c r="N22" s="11"/>
      <c r="O22" s="11"/>
      <c r="P22" s="11"/>
      <c r="Q22" s="11"/>
      <c r="R22" s="11"/>
      <c r="S22" s="11"/>
      <c r="T22" s="11"/>
      <c r="U22" s="956"/>
      <c r="V22" s="957"/>
    </row>
    <row r="23" spans="1:22" x14ac:dyDescent="0.35">
      <c r="A23" s="1222"/>
      <c r="B23" s="1223"/>
      <c r="C23" s="1224"/>
      <c r="D23" s="1230" t="s">
        <v>471</v>
      </c>
      <c r="E23" s="1231">
        <v>6014</v>
      </c>
      <c r="F23" s="1232">
        <v>119177</v>
      </c>
      <c r="G23" s="1232">
        <v>564</v>
      </c>
      <c r="H23" s="1232">
        <v>193737</v>
      </c>
      <c r="I23" s="4620">
        <v>0.3911</v>
      </c>
      <c r="J23" s="4620">
        <v>0.82220000000000004</v>
      </c>
      <c r="K23" s="4620">
        <v>7.1000000000000004E-3</v>
      </c>
      <c r="L23" s="11"/>
      <c r="M23" s="11"/>
      <c r="N23" s="11"/>
      <c r="O23" s="11"/>
      <c r="P23" s="11"/>
      <c r="Q23" s="11"/>
      <c r="R23" s="11"/>
      <c r="S23" s="11"/>
      <c r="T23" s="11"/>
      <c r="U23" s="956"/>
      <c r="V23" s="957"/>
    </row>
    <row r="24" spans="1:22" x14ac:dyDescent="0.35">
      <c r="A24" s="1222"/>
      <c r="B24" s="1223"/>
      <c r="C24" s="1224"/>
      <c r="D24" s="1233" t="s">
        <v>456</v>
      </c>
      <c r="E24" s="1231">
        <f>SUM(E25:E26)</f>
        <v>587</v>
      </c>
      <c r="F24" s="1231">
        <f>SUM(F25:F26)</f>
        <v>119308</v>
      </c>
      <c r="G24" s="1231">
        <f>SUM(G25:G26)</f>
        <v>126</v>
      </c>
      <c r="H24" s="1231">
        <f>SUM(H25:H26)</f>
        <v>302206</v>
      </c>
      <c r="I24" s="4620"/>
      <c r="J24" s="4620"/>
      <c r="K24" s="4620"/>
      <c r="L24" s="11"/>
      <c r="M24" s="11"/>
      <c r="N24" s="11"/>
      <c r="O24" s="11"/>
      <c r="P24" s="11"/>
      <c r="Q24" s="11"/>
      <c r="R24" s="11"/>
      <c r="S24" s="11"/>
      <c r="T24" s="11"/>
      <c r="U24" s="956"/>
      <c r="V24" s="957"/>
    </row>
    <row r="25" spans="1:22" x14ac:dyDescent="0.35">
      <c r="A25" s="1222"/>
      <c r="B25" s="1223"/>
      <c r="C25" s="1224"/>
      <c r="D25" s="1234" t="s">
        <v>457</v>
      </c>
      <c r="E25" s="1231">
        <v>225</v>
      </c>
      <c r="F25" s="1232">
        <v>90428</v>
      </c>
      <c r="G25" s="1232">
        <v>96</v>
      </c>
      <c r="H25" s="1232">
        <v>236870</v>
      </c>
      <c r="I25" s="4620">
        <v>0.30280000000000001</v>
      </c>
      <c r="J25" s="4620">
        <v>0.78720000000000001</v>
      </c>
      <c r="K25" s="4620">
        <v>1.67E-2</v>
      </c>
      <c r="L25" s="11"/>
      <c r="M25" s="11"/>
      <c r="N25" s="11"/>
      <c r="O25" s="11"/>
      <c r="P25" s="11"/>
      <c r="Q25" s="11"/>
      <c r="R25" s="11"/>
      <c r="S25" s="11"/>
      <c r="T25" s="11"/>
      <c r="U25" s="956"/>
      <c r="V25" s="957"/>
    </row>
    <row r="26" spans="1:22" x14ac:dyDescent="0.35">
      <c r="A26" s="1222"/>
      <c r="B26" s="1223"/>
      <c r="C26" s="1224"/>
      <c r="D26" s="1235" t="s">
        <v>458</v>
      </c>
      <c r="E26" s="1236">
        <v>362</v>
      </c>
      <c r="F26" s="1237">
        <v>28880</v>
      </c>
      <c r="G26" s="1237">
        <v>30</v>
      </c>
      <c r="H26" s="1237">
        <v>65336</v>
      </c>
      <c r="I26" s="4620">
        <v>0.53739999999999999</v>
      </c>
      <c r="J26" s="4620">
        <v>0.74380000000000002</v>
      </c>
      <c r="K26" s="4620">
        <v>3.6900000000000002E-2</v>
      </c>
      <c r="L26" s="11"/>
      <c r="M26" s="11"/>
      <c r="N26" s="11"/>
      <c r="O26" s="11"/>
      <c r="P26" s="11"/>
      <c r="Q26" s="11"/>
      <c r="R26" s="11"/>
      <c r="S26" s="11"/>
      <c r="T26" s="11"/>
      <c r="U26" s="956"/>
      <c r="V26" s="957"/>
    </row>
    <row r="27" spans="1:22" x14ac:dyDescent="0.35">
      <c r="A27" s="1222"/>
      <c r="B27" s="1223"/>
      <c r="C27" s="1224"/>
      <c r="D27" s="33"/>
      <c r="E27" s="1238">
        <f>SUM(E21:E23)+SUM(E25:E26)</f>
        <v>16810</v>
      </c>
      <c r="F27" s="1238">
        <f>SUM(F21:F23)+SUM(F25:F26)</f>
        <v>403776</v>
      </c>
      <c r="G27" s="1238">
        <f>SUM(G21:G23)+SUM(G25:G26)</f>
        <v>11099</v>
      </c>
      <c r="H27" s="1238">
        <f>SUM(H21:H23)+SUM(H25:H26)</f>
        <v>997286</v>
      </c>
      <c r="I27" s="4620">
        <v>0.43290000000000001</v>
      </c>
      <c r="J27" s="4620">
        <v>0.67549999999999999</v>
      </c>
      <c r="K27" s="4620">
        <v>1.23E-2</v>
      </c>
      <c r="L27" s="11"/>
      <c r="M27" s="11"/>
      <c r="N27" s="11"/>
      <c r="O27" s="11"/>
      <c r="P27" s="11"/>
      <c r="Q27" s="11"/>
      <c r="R27" s="11"/>
      <c r="S27" s="11"/>
      <c r="T27" s="11"/>
      <c r="U27" s="956"/>
      <c r="V27" s="957"/>
    </row>
    <row r="28" spans="1:22" x14ac:dyDescent="0.35">
      <c r="A28" s="1222"/>
      <c r="B28" s="1223"/>
      <c r="C28" s="1224"/>
      <c r="D28" s="11"/>
      <c r="E28" s="11"/>
      <c r="F28" s="11"/>
      <c r="G28" s="11"/>
      <c r="H28" s="11"/>
      <c r="I28" s="11"/>
      <c r="J28" s="11"/>
      <c r="K28" s="11"/>
      <c r="L28" s="11"/>
      <c r="M28" s="11"/>
      <c r="N28" s="11"/>
      <c r="O28" s="11"/>
      <c r="P28" s="11"/>
      <c r="Q28" s="11"/>
      <c r="R28" s="11"/>
      <c r="S28" s="11"/>
      <c r="T28" s="11"/>
      <c r="U28" s="1013"/>
      <c r="V28" s="1014"/>
    </row>
    <row r="29" spans="1:22" x14ac:dyDescent="0.35">
      <c r="A29" s="1189"/>
      <c r="B29" s="826"/>
      <c r="C29" s="820"/>
      <c r="D29" s="416" t="s">
        <v>234</v>
      </c>
      <c r="E29" s="1219" t="s">
        <v>472</v>
      </c>
      <c r="F29" s="868"/>
      <c r="G29" s="1220"/>
      <c r="H29" s="1220"/>
      <c r="I29" s="1220"/>
      <c r="J29" s="868"/>
      <c r="K29" s="868"/>
      <c r="L29" s="12"/>
      <c r="M29" s="12"/>
      <c r="N29" s="12"/>
      <c r="O29" s="12"/>
      <c r="P29" s="12"/>
      <c r="Q29" s="12"/>
      <c r="R29" s="12"/>
      <c r="S29" s="12"/>
      <c r="T29" s="12"/>
      <c r="U29" s="956"/>
      <c r="V29" s="957"/>
    </row>
    <row r="30" spans="1:22" ht="63" x14ac:dyDescent="0.35">
      <c r="A30" s="1189"/>
      <c r="B30" s="826"/>
      <c r="C30" s="820"/>
      <c r="D30" s="1225"/>
      <c r="E30" s="1239" t="s">
        <v>462</v>
      </c>
      <c r="F30" s="1240" t="s">
        <v>473</v>
      </c>
      <c r="G30" s="1240" t="s">
        <v>464</v>
      </c>
      <c r="H30" s="1240" t="s">
        <v>465</v>
      </c>
      <c r="I30" s="1240" t="s">
        <v>466</v>
      </c>
      <c r="J30" s="1240" t="s">
        <v>474</v>
      </c>
      <c r="K30" s="1241" t="s">
        <v>468</v>
      </c>
      <c r="L30" s="12"/>
      <c r="M30" s="12"/>
      <c r="N30" s="12"/>
      <c r="O30" s="12"/>
      <c r="P30" s="12"/>
      <c r="Q30" s="12"/>
      <c r="R30" s="12"/>
      <c r="S30" s="12"/>
      <c r="T30" s="12"/>
      <c r="U30" s="1115"/>
      <c r="V30" s="1116"/>
    </row>
    <row r="31" spans="1:22" x14ac:dyDescent="0.35">
      <c r="A31" s="1189"/>
      <c r="B31" s="826"/>
      <c r="C31" s="820"/>
      <c r="D31" s="1230" t="s">
        <v>402</v>
      </c>
      <c r="E31" s="1242">
        <v>3459</v>
      </c>
      <c r="F31" s="1242">
        <v>73041</v>
      </c>
      <c r="G31" s="1244">
        <v>1013</v>
      </c>
      <c r="H31" s="1243">
        <v>183242</v>
      </c>
      <c r="I31" s="4621">
        <v>0.34799999999999998</v>
      </c>
      <c r="J31" s="4621">
        <v>0.64990000000000003</v>
      </c>
      <c r="K31" s="4621">
        <v>1.47E-2</v>
      </c>
      <c r="L31" s="12"/>
      <c r="M31" s="12"/>
      <c r="N31" s="12"/>
      <c r="O31" s="12"/>
      <c r="P31" s="12"/>
      <c r="Q31" s="12"/>
      <c r="R31" s="12"/>
      <c r="S31" s="12"/>
      <c r="T31" s="12"/>
      <c r="U31" s="1115"/>
      <c r="V31" s="1116"/>
    </row>
    <row r="32" spans="1:22" x14ac:dyDescent="0.35">
      <c r="A32" s="1189"/>
      <c r="B32" s="826"/>
      <c r="C32" s="820"/>
      <c r="D32" s="1230" t="s">
        <v>475</v>
      </c>
      <c r="E32" s="1242">
        <v>466</v>
      </c>
      <c r="F32" s="1242">
        <v>26353</v>
      </c>
      <c r="G32" s="1244">
        <v>837</v>
      </c>
      <c r="H32" s="1243">
        <v>62160</v>
      </c>
      <c r="I32" s="4621">
        <v>0.45800000000000002</v>
      </c>
      <c r="J32" s="4621">
        <v>0.71250000000000002</v>
      </c>
      <c r="K32" s="4621">
        <v>8.6999999999999994E-3</v>
      </c>
      <c r="L32" s="12"/>
      <c r="M32" s="12"/>
      <c r="N32" s="12"/>
      <c r="O32" s="12"/>
      <c r="P32" s="12"/>
      <c r="Q32" s="12"/>
      <c r="R32" s="12"/>
      <c r="S32" s="12"/>
      <c r="T32" s="12"/>
      <c r="U32" s="1013"/>
      <c r="V32" s="1014"/>
    </row>
    <row r="33" spans="1:22" x14ac:dyDescent="0.35">
      <c r="A33" s="1189"/>
      <c r="B33" s="826"/>
      <c r="C33" s="820"/>
      <c r="D33" s="1230" t="s">
        <v>407</v>
      </c>
      <c r="E33" s="1242">
        <v>1441</v>
      </c>
      <c r="F33" s="1242">
        <v>49235</v>
      </c>
      <c r="G33" s="1244">
        <v>2143</v>
      </c>
      <c r="H33" s="1243">
        <v>106516</v>
      </c>
      <c r="I33" s="4621">
        <v>0.53690000000000004</v>
      </c>
      <c r="J33" s="4621">
        <v>0.62460000000000004</v>
      </c>
      <c r="K33" s="4621">
        <v>1.06E-2</v>
      </c>
      <c r="L33" s="12"/>
      <c r="M33" s="12"/>
      <c r="N33" s="12"/>
      <c r="O33" s="12"/>
      <c r="P33" s="12"/>
      <c r="Q33" s="12"/>
      <c r="R33" s="12"/>
      <c r="S33" s="12"/>
      <c r="T33" s="12"/>
      <c r="U33" s="1013"/>
      <c r="V33" s="1014"/>
    </row>
    <row r="34" spans="1:22" x14ac:dyDescent="0.35">
      <c r="A34" s="1189"/>
      <c r="B34" s="826"/>
      <c r="C34" s="820"/>
      <c r="D34" s="1230" t="s">
        <v>405</v>
      </c>
      <c r="E34" s="1242">
        <v>2332</v>
      </c>
      <c r="F34" s="1242">
        <v>94268</v>
      </c>
      <c r="G34" s="1244">
        <v>1282</v>
      </c>
      <c r="H34" s="1243">
        <v>223940</v>
      </c>
      <c r="I34" s="4621">
        <v>0.37530000000000002</v>
      </c>
      <c r="J34" s="4621">
        <v>0.7258</v>
      </c>
      <c r="K34" s="4621">
        <v>6.4000000000000003E-3</v>
      </c>
      <c r="L34" s="12"/>
      <c r="M34" s="12"/>
      <c r="N34" s="12"/>
      <c r="O34" s="12"/>
      <c r="P34" s="12"/>
      <c r="Q34" s="12"/>
      <c r="R34" s="12"/>
      <c r="S34" s="12"/>
      <c r="T34" s="12"/>
      <c r="U34" s="1013"/>
      <c r="V34" s="1014"/>
    </row>
    <row r="35" spans="1:22" x14ac:dyDescent="0.35">
      <c r="A35" s="1189"/>
      <c r="B35" s="826"/>
      <c r="C35" s="820"/>
      <c r="D35" s="1230" t="s">
        <v>409</v>
      </c>
      <c r="E35" s="1242">
        <v>1392</v>
      </c>
      <c r="F35" s="1242">
        <v>46363</v>
      </c>
      <c r="G35" s="1244">
        <v>1270</v>
      </c>
      <c r="H35" s="1243">
        <v>107269</v>
      </c>
      <c r="I35" s="4621">
        <v>0.39529999999999998</v>
      </c>
      <c r="J35" s="4621">
        <v>0.72719999999999996</v>
      </c>
      <c r="K35" s="4621">
        <v>1.8599999999999998E-2</v>
      </c>
      <c r="L35" s="12"/>
      <c r="M35" s="12"/>
      <c r="N35" s="12"/>
      <c r="O35" s="12"/>
      <c r="P35" s="12"/>
      <c r="Q35" s="12"/>
      <c r="R35" s="12"/>
      <c r="S35" s="12"/>
      <c r="T35" s="12"/>
      <c r="U35" s="1013"/>
      <c r="V35" s="1014"/>
    </row>
    <row r="36" spans="1:22" x14ac:dyDescent="0.35">
      <c r="A36" s="1189"/>
      <c r="B36" s="826"/>
      <c r="C36" s="820"/>
      <c r="D36" s="1230" t="s">
        <v>408</v>
      </c>
      <c r="E36" s="1242">
        <v>3085</v>
      </c>
      <c r="F36" s="1242">
        <v>33254</v>
      </c>
      <c r="G36" s="1244">
        <v>1265</v>
      </c>
      <c r="H36" s="1243">
        <v>78685</v>
      </c>
      <c r="I36" s="4621">
        <v>0.45960000000000001</v>
      </c>
      <c r="J36" s="4621">
        <v>0.70709999999999995</v>
      </c>
      <c r="K36" s="4621">
        <v>1.3599999999999999E-2</v>
      </c>
      <c r="L36" s="12"/>
      <c r="M36" s="12"/>
      <c r="N36" s="12"/>
      <c r="O36" s="12"/>
      <c r="P36" s="12"/>
      <c r="Q36" s="12"/>
      <c r="R36" s="12"/>
      <c r="S36" s="12"/>
      <c r="T36" s="12"/>
      <c r="U36" s="1013"/>
      <c r="V36" s="1014"/>
    </row>
    <row r="37" spans="1:22" x14ac:dyDescent="0.35">
      <c r="A37" s="1189"/>
      <c r="B37" s="826"/>
      <c r="C37" s="820"/>
      <c r="D37" s="1230" t="s">
        <v>406</v>
      </c>
      <c r="E37" s="1242">
        <v>1218</v>
      </c>
      <c r="F37" s="1242">
        <v>27491</v>
      </c>
      <c r="G37" s="1244">
        <v>1275</v>
      </c>
      <c r="H37" s="1243">
        <v>62752</v>
      </c>
      <c r="I37" s="4621">
        <v>0.45479999999999998</v>
      </c>
      <c r="J37" s="4621">
        <v>0.69369999999999998</v>
      </c>
      <c r="K37" s="4621">
        <v>1.0500000000000001E-2</v>
      </c>
      <c r="L37" s="12"/>
      <c r="M37" s="12"/>
      <c r="N37" s="12"/>
      <c r="O37" s="12"/>
      <c r="P37" s="12"/>
      <c r="Q37" s="12"/>
      <c r="R37" s="12"/>
      <c r="S37" s="12"/>
      <c r="T37" s="12"/>
      <c r="U37" s="1013"/>
      <c r="V37" s="1014"/>
    </row>
    <row r="38" spans="1:22" x14ac:dyDescent="0.35">
      <c r="A38" s="1189"/>
      <c r="B38" s="826"/>
      <c r="C38" s="820"/>
      <c r="D38" s="1230" t="s">
        <v>403</v>
      </c>
      <c r="E38" s="1242">
        <v>743</v>
      </c>
      <c r="F38" s="1242">
        <v>19138</v>
      </c>
      <c r="G38" s="1244">
        <v>726</v>
      </c>
      <c r="H38" s="1243">
        <v>55995</v>
      </c>
      <c r="I38" s="4621">
        <v>0.4733</v>
      </c>
      <c r="J38" s="4621">
        <v>0.61370000000000002</v>
      </c>
      <c r="K38" s="4621">
        <v>1.83E-2</v>
      </c>
      <c r="L38" s="12"/>
      <c r="M38" s="12"/>
      <c r="N38" s="12"/>
      <c r="O38" s="12"/>
      <c r="P38" s="12"/>
      <c r="Q38" s="12"/>
      <c r="R38" s="12"/>
      <c r="S38" s="12"/>
      <c r="T38" s="12"/>
      <c r="U38" s="1013"/>
      <c r="V38" s="1014"/>
    </row>
    <row r="39" spans="1:22" x14ac:dyDescent="0.35">
      <c r="A39" s="1189"/>
      <c r="B39" s="826"/>
      <c r="C39" s="820"/>
      <c r="D39" s="1245" t="s">
        <v>401</v>
      </c>
      <c r="E39" s="1246">
        <v>2674</v>
      </c>
      <c r="F39" s="1246">
        <v>34633</v>
      </c>
      <c r="G39" s="1248">
        <v>1288</v>
      </c>
      <c r="H39" s="1247">
        <v>116727</v>
      </c>
      <c r="I39" s="4622">
        <v>0.55330000000000001</v>
      </c>
      <c r="J39" s="4622">
        <v>0.59719999999999995</v>
      </c>
      <c r="K39" s="4622">
        <v>1.47E-2</v>
      </c>
      <c r="L39" s="12"/>
      <c r="M39" s="12"/>
      <c r="N39" s="12"/>
      <c r="O39" s="12"/>
      <c r="P39" s="12"/>
      <c r="Q39" s="12"/>
      <c r="R39" s="12"/>
      <c r="S39" s="12"/>
      <c r="T39" s="12"/>
      <c r="U39" s="956"/>
      <c r="V39" s="957"/>
    </row>
    <row r="40" spans="1:22" x14ac:dyDescent="0.35">
      <c r="A40" s="1189"/>
      <c r="B40" s="826"/>
      <c r="C40" s="820"/>
      <c r="D40" s="1249" t="s">
        <v>306</v>
      </c>
      <c r="E40" s="1250">
        <f>SUM(E31:E39)</f>
        <v>16810</v>
      </c>
      <c r="F40" s="1250">
        <f t="shared" ref="F40:H40" si="2">SUM(F31:F39)</f>
        <v>403776</v>
      </c>
      <c r="G40" s="1250">
        <f t="shared" si="2"/>
        <v>11099</v>
      </c>
      <c r="H40" s="1250">
        <f t="shared" si="2"/>
        <v>997286</v>
      </c>
      <c r="I40" s="4620">
        <v>0.4536</v>
      </c>
      <c r="J40" s="4620">
        <v>0.66420000000000001</v>
      </c>
      <c r="K40" s="4620">
        <v>1.66E-2</v>
      </c>
      <c r="L40" s="12"/>
      <c r="M40" s="12"/>
      <c r="N40" s="12"/>
      <c r="O40" s="12"/>
      <c r="P40" s="12"/>
      <c r="Q40" s="12"/>
      <c r="R40" s="12"/>
      <c r="S40" s="12"/>
      <c r="T40" s="12"/>
      <c r="U40" s="1013"/>
      <c r="V40" s="1014"/>
    </row>
    <row r="41" spans="1:22" x14ac:dyDescent="0.35">
      <c r="A41" s="1189"/>
      <c r="B41" s="826"/>
      <c r="C41" s="820"/>
      <c r="D41" s="30"/>
      <c r="E41" s="1251"/>
      <c r="F41" s="1251"/>
      <c r="G41" s="1251"/>
      <c r="H41" s="1251"/>
      <c r="I41" s="1252"/>
      <c r="J41" s="1252"/>
      <c r="K41" s="1252"/>
      <c r="L41" s="12"/>
      <c r="M41" s="12"/>
      <c r="N41" s="12"/>
      <c r="O41" s="12"/>
      <c r="P41" s="12"/>
      <c r="Q41" s="12"/>
      <c r="R41" s="12"/>
      <c r="S41" s="12"/>
      <c r="T41" s="12"/>
      <c r="U41" s="1013"/>
      <c r="V41" s="1014"/>
    </row>
    <row r="42" spans="1:22" x14ac:dyDescent="0.35">
      <c r="A42" s="1191">
        <v>6</v>
      </c>
      <c r="B42" s="1192" t="s">
        <v>58</v>
      </c>
      <c r="C42" s="819"/>
      <c r="D42" s="4723" t="s">
        <v>476</v>
      </c>
      <c r="E42" s="4724"/>
      <c r="F42" s="4724"/>
      <c r="G42" s="4724"/>
      <c r="H42" s="4724"/>
      <c r="I42" s="4724"/>
      <c r="J42" s="4724"/>
      <c r="K42" s="4724"/>
      <c r="L42" s="4724"/>
      <c r="M42" s="4724"/>
      <c r="N42" s="4724"/>
      <c r="O42" s="4724"/>
      <c r="P42" s="4724"/>
      <c r="Q42" s="4724"/>
      <c r="R42" s="4725"/>
      <c r="S42" s="4594"/>
      <c r="T42" s="4594"/>
      <c r="U42" s="1013"/>
      <c r="V42" s="1014"/>
    </row>
    <row r="43" spans="1:22" ht="38" customHeight="1" x14ac:dyDescent="0.35">
      <c r="A43" s="1253">
        <v>7</v>
      </c>
      <c r="B43" s="1254" t="s">
        <v>60</v>
      </c>
      <c r="C43" s="870"/>
      <c r="D43" s="4715" t="s">
        <v>477</v>
      </c>
      <c r="E43" s="4716"/>
      <c r="F43" s="4716"/>
      <c r="G43" s="4716"/>
      <c r="H43" s="4716"/>
      <c r="I43" s="4716"/>
      <c r="J43" s="4716"/>
      <c r="K43" s="4716"/>
      <c r="L43" s="4716"/>
      <c r="M43" s="4716"/>
      <c r="N43" s="4716"/>
      <c r="O43" s="4716"/>
      <c r="P43" s="4716"/>
      <c r="Q43" s="4716"/>
      <c r="R43" s="4717"/>
      <c r="S43" s="4594"/>
      <c r="T43" s="4594"/>
      <c r="U43" s="1013"/>
      <c r="V43" s="1014"/>
    </row>
    <row r="44" spans="1:22" x14ac:dyDescent="0.35">
      <c r="A44" s="1191">
        <v>8</v>
      </c>
      <c r="B44" s="1192" t="s">
        <v>62</v>
      </c>
      <c r="C44" s="819"/>
      <c r="D44" s="4723" t="s">
        <v>478</v>
      </c>
      <c r="E44" s="4724"/>
      <c r="F44" s="4724"/>
      <c r="G44" s="4724"/>
      <c r="H44" s="4724"/>
      <c r="I44" s="4724"/>
      <c r="J44" s="4724"/>
      <c r="K44" s="4724"/>
      <c r="L44" s="4724"/>
      <c r="M44" s="4724"/>
      <c r="N44" s="4724"/>
      <c r="O44" s="4724"/>
      <c r="P44" s="4724"/>
      <c r="Q44" s="4724"/>
      <c r="R44" s="4725"/>
      <c r="S44" s="482"/>
      <c r="T44" s="482"/>
      <c r="U44" s="956"/>
      <c r="V44" s="957"/>
    </row>
    <row r="45" spans="1:22" x14ac:dyDescent="0.35">
      <c r="A45" s="1253">
        <v>9</v>
      </c>
      <c r="B45" s="1254" t="s">
        <v>64</v>
      </c>
      <c r="C45" s="870"/>
      <c r="D45" s="4723" t="s">
        <v>479</v>
      </c>
      <c r="E45" s="4724"/>
      <c r="F45" s="4724"/>
      <c r="G45" s="4724"/>
      <c r="H45" s="4724"/>
      <c r="I45" s="4724"/>
      <c r="J45" s="4724"/>
      <c r="K45" s="4724"/>
      <c r="L45" s="4724"/>
      <c r="M45" s="4724"/>
      <c r="N45" s="4724"/>
      <c r="O45" s="4724"/>
      <c r="P45" s="4724"/>
      <c r="Q45" s="4724"/>
      <c r="R45" s="4725"/>
      <c r="S45" s="4594"/>
      <c r="T45" s="4594"/>
      <c r="U45" s="956"/>
      <c r="V45" s="956"/>
    </row>
    <row r="46" spans="1:22" x14ac:dyDescent="0.35">
      <c r="U46" s="956"/>
      <c r="V46" s="957"/>
    </row>
    <row r="47" spans="1:22" x14ac:dyDescent="0.35">
      <c r="U47" s="956"/>
      <c r="V47" s="957"/>
    </row>
    <row r="48" spans="1:22" x14ac:dyDescent="0.35">
      <c r="U48" s="956"/>
      <c r="V48" s="957"/>
    </row>
    <row r="49" spans="4:22" x14ac:dyDescent="0.35">
      <c r="U49" s="956"/>
      <c r="V49" s="957"/>
    </row>
    <row r="50" spans="4:22" x14ac:dyDescent="0.35">
      <c r="U50" s="956"/>
      <c r="V50" s="957"/>
    </row>
    <row r="51" spans="4:22" x14ac:dyDescent="0.35">
      <c r="U51" s="956"/>
      <c r="V51" s="957"/>
    </row>
    <row r="52" spans="4:22" x14ac:dyDescent="0.35">
      <c r="U52" s="956"/>
      <c r="V52" s="957"/>
    </row>
    <row r="53" spans="4:22" x14ac:dyDescent="0.35">
      <c r="U53" s="956"/>
      <c r="V53" s="957"/>
    </row>
    <row r="54" spans="4:22" x14ac:dyDescent="0.35">
      <c r="U54" s="956"/>
      <c r="V54" s="957"/>
    </row>
    <row r="55" spans="4:22" x14ac:dyDescent="0.35">
      <c r="U55" s="956"/>
      <c r="V55" s="957"/>
    </row>
    <row r="56" spans="4:22" x14ac:dyDescent="0.35">
      <c r="U56" s="956"/>
      <c r="V56" s="957"/>
    </row>
    <row r="57" spans="4:22" x14ac:dyDescent="0.35">
      <c r="U57" s="956"/>
      <c r="V57" s="957"/>
    </row>
    <row r="58" spans="4:22" x14ac:dyDescent="0.35">
      <c r="U58" s="956"/>
      <c r="V58" s="957"/>
    </row>
    <row r="59" spans="4:22" x14ac:dyDescent="0.35">
      <c r="U59" s="956"/>
      <c r="V59" s="957"/>
    </row>
    <row r="60" spans="4:22" x14ac:dyDescent="0.35">
      <c r="E60" s="1197" t="s">
        <v>112</v>
      </c>
      <c r="F60" s="1198" t="s">
        <v>113</v>
      </c>
      <c r="G60" s="1199" t="s">
        <v>114</v>
      </c>
      <c r="H60" s="1199" t="s">
        <v>115</v>
      </c>
      <c r="I60" s="1199" t="s">
        <v>116</v>
      </c>
      <c r="J60" s="1199" t="s">
        <v>117</v>
      </c>
      <c r="K60" s="1199" t="s">
        <v>118</v>
      </c>
      <c r="L60" s="1199" t="s">
        <v>119</v>
      </c>
      <c r="M60" s="1199" t="s">
        <v>120</v>
      </c>
      <c r="N60" s="1199" t="s">
        <v>121</v>
      </c>
      <c r="O60" s="1200" t="s">
        <v>122</v>
      </c>
      <c r="P60" s="1200" t="s">
        <v>123</v>
      </c>
      <c r="Q60" s="1201" t="s">
        <v>124</v>
      </c>
      <c r="R60" s="1201" t="s">
        <v>125</v>
      </c>
      <c r="S60" s="1201" t="s">
        <v>126</v>
      </c>
      <c r="U60" s="956"/>
      <c r="V60" s="957"/>
    </row>
    <row r="61" spans="4:22" x14ac:dyDescent="0.35">
      <c r="D61" s="1211" t="s">
        <v>460</v>
      </c>
      <c r="E61" s="1212">
        <v>223410</v>
      </c>
      <c r="F61" s="1213">
        <v>435374</v>
      </c>
      <c r="G61" s="1213">
        <v>756068</v>
      </c>
      <c r="H61" s="1214">
        <v>1196334</v>
      </c>
      <c r="I61" s="1215">
        <v>1767149</v>
      </c>
      <c r="J61" s="1215">
        <v>2393008</v>
      </c>
      <c r="K61" s="1215">
        <v>3036124</v>
      </c>
      <c r="L61" s="1215">
        <v>3879583</v>
      </c>
      <c r="M61" s="1215">
        <v>4821176</v>
      </c>
      <c r="N61" s="1215">
        <v>5838441</v>
      </c>
      <c r="O61" s="1215">
        <v>6942424</v>
      </c>
      <c r="P61" s="1215">
        <v>7683964</v>
      </c>
      <c r="Q61" s="1215">
        <v>8463209</v>
      </c>
      <c r="R61" s="1215">
        <v>9363443</v>
      </c>
      <c r="S61" s="1215">
        <v>10360729</v>
      </c>
      <c r="U61" s="956"/>
      <c r="V61" s="957"/>
    </row>
    <row r="62" spans="4:22" x14ac:dyDescent="0.35">
      <c r="U62" s="956"/>
      <c r="V62" s="957"/>
    </row>
    <row r="63" spans="4:22" x14ac:dyDescent="0.35">
      <c r="U63" s="956"/>
      <c r="V63" s="957"/>
    </row>
    <row r="64" spans="4:22" x14ac:dyDescent="0.35">
      <c r="U64" s="956"/>
      <c r="V64" s="957"/>
    </row>
    <row r="65" spans="21:22" x14ac:dyDescent="0.35">
      <c r="U65" s="956"/>
      <c r="V65" s="957"/>
    </row>
    <row r="66" spans="21:22" x14ac:dyDescent="0.35">
      <c r="U66" s="956"/>
      <c r="V66" s="957"/>
    </row>
    <row r="67" spans="21:22" x14ac:dyDescent="0.35">
      <c r="U67" s="956"/>
      <c r="V67" s="957"/>
    </row>
    <row r="68" spans="21:22" x14ac:dyDescent="0.35">
      <c r="U68" s="956">
        <v>7</v>
      </c>
      <c r="V68" s="956" t="s">
        <v>58</v>
      </c>
    </row>
    <row r="69" spans="21:22" ht="26" x14ac:dyDescent="0.35">
      <c r="U69" s="1012">
        <v>8</v>
      </c>
      <c r="V69" s="1012" t="s">
        <v>60</v>
      </c>
    </row>
    <row r="70" spans="21:22" x14ac:dyDescent="0.35">
      <c r="U70" s="956">
        <v>9</v>
      </c>
      <c r="V70" s="956" t="s">
        <v>62</v>
      </c>
    </row>
    <row r="71" spans="21:22" x14ac:dyDescent="0.35">
      <c r="U71" s="956">
        <v>10</v>
      </c>
      <c r="V71" s="956" t="s">
        <v>278</v>
      </c>
    </row>
  </sheetData>
  <mergeCells count="8">
    <mergeCell ref="D44:R44"/>
    <mergeCell ref="D45:R45"/>
    <mergeCell ref="D2:S2"/>
    <mergeCell ref="D3:S3"/>
    <mergeCell ref="D4:S4"/>
    <mergeCell ref="D5:S5"/>
    <mergeCell ref="D42:R42"/>
    <mergeCell ref="D43:R43"/>
  </mergeCells>
  <pageMargins left="0.7" right="0.7" top="0.75" bottom="0.75" header="0.3" footer="0.3"/>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0099"/>
    <pageSetUpPr fitToPage="1"/>
  </sheetPr>
  <dimension ref="A1:S59"/>
  <sheetViews>
    <sheetView showGridLines="0" view="pageBreakPreview" zoomScaleNormal="100" zoomScaleSheetLayoutView="100" workbookViewId="0">
      <selection activeCell="M17" sqref="M17"/>
    </sheetView>
  </sheetViews>
  <sheetFormatPr defaultColWidth="9.1796875" defaultRowHeight="10.5" x14ac:dyDescent="0.2"/>
  <cols>
    <col min="1" max="1" width="3.81640625" style="1259" customWidth="1"/>
    <col min="2" max="2" width="14.453125" style="1260" customWidth="1"/>
    <col min="3" max="3" width="3.81640625" style="1260" customWidth="1"/>
    <col min="4" max="4" width="17" style="1265" customWidth="1"/>
    <col min="5" max="6" width="9.81640625" style="1268" customWidth="1"/>
    <col min="7" max="10" width="9.81640625" style="1265" customWidth="1"/>
    <col min="11" max="11" width="8.7265625" style="1265" customWidth="1"/>
    <col min="12" max="12" width="9.08984375" style="1265" customWidth="1"/>
    <col min="13" max="13" width="8.1796875" style="1265" customWidth="1"/>
    <col min="14" max="18" width="9.81640625" style="1265" customWidth="1"/>
    <col min="19" max="16384" width="9.1796875" style="1265"/>
  </cols>
  <sheetData>
    <row r="1" spans="1:19" s="1257" customFormat="1" ht="13" x14ac:dyDescent="0.25">
      <c r="A1" s="1255"/>
      <c r="B1" s="1256"/>
      <c r="C1" s="1256"/>
      <c r="E1" s="1258"/>
      <c r="F1" s="1258"/>
    </row>
    <row r="2" spans="1:19" s="1257" customFormat="1" ht="15" customHeight="1" x14ac:dyDescent="0.25">
      <c r="A2" s="1255">
        <v>1</v>
      </c>
      <c r="B2" s="1255" t="s">
        <v>0</v>
      </c>
      <c r="C2" s="1255">
        <v>19</v>
      </c>
      <c r="D2" s="4723" t="s">
        <v>480</v>
      </c>
      <c r="E2" s="4724"/>
      <c r="F2" s="4724"/>
      <c r="G2" s="4724"/>
      <c r="H2" s="4724"/>
      <c r="I2" s="4724"/>
      <c r="J2" s="4724"/>
      <c r="K2" s="4724"/>
      <c r="L2" s="4724"/>
      <c r="M2" s="4724"/>
      <c r="N2" s="4724"/>
      <c r="O2" s="4724"/>
      <c r="P2" s="4724"/>
      <c r="Q2" s="4724"/>
      <c r="R2" s="4725"/>
    </row>
    <row r="3" spans="1:19" s="1257" customFormat="1" ht="12.75" customHeight="1" x14ac:dyDescent="0.25">
      <c r="A3" s="1255">
        <v>2</v>
      </c>
      <c r="B3" s="1255" t="s">
        <v>2</v>
      </c>
      <c r="C3" s="1255"/>
      <c r="D3" s="4715" t="s">
        <v>389</v>
      </c>
      <c r="E3" s="4716"/>
      <c r="F3" s="4716"/>
      <c r="G3" s="4716"/>
      <c r="H3" s="4716"/>
      <c r="I3" s="4716"/>
      <c r="J3" s="4716"/>
      <c r="K3" s="4716"/>
      <c r="L3" s="4716"/>
      <c r="M3" s="4716"/>
      <c r="N3" s="4716"/>
      <c r="O3" s="4716"/>
      <c r="P3" s="4716"/>
      <c r="Q3" s="4716"/>
      <c r="R3" s="4717"/>
    </row>
    <row r="4" spans="1:19" s="1257" customFormat="1" ht="12.75" customHeight="1" x14ac:dyDescent="0.25">
      <c r="A4" s="1255">
        <v>3</v>
      </c>
      <c r="B4" s="1255" t="s">
        <v>4</v>
      </c>
      <c r="C4" s="1255"/>
      <c r="D4" s="4723" t="s">
        <v>481</v>
      </c>
      <c r="E4" s="4724"/>
      <c r="F4" s="4724"/>
      <c r="G4" s="4724"/>
      <c r="H4" s="4724"/>
      <c r="I4" s="4724"/>
      <c r="J4" s="4724"/>
      <c r="K4" s="4724"/>
      <c r="L4" s="4724"/>
      <c r="M4" s="4724"/>
      <c r="N4" s="4724"/>
      <c r="O4" s="4724"/>
      <c r="P4" s="4724"/>
      <c r="Q4" s="4724"/>
      <c r="R4" s="4725"/>
    </row>
    <row r="5" spans="1:19" s="1257" customFormat="1" ht="12.75" customHeight="1" x14ac:dyDescent="0.25">
      <c r="A5" s="1255">
        <v>4</v>
      </c>
      <c r="B5" s="1255" t="s">
        <v>174</v>
      </c>
      <c r="C5" s="1255"/>
      <c r="D5" s="4723"/>
      <c r="E5" s="4724"/>
      <c r="F5" s="4724"/>
      <c r="G5" s="4724"/>
      <c r="H5" s="4724"/>
      <c r="I5" s="4724"/>
      <c r="J5" s="4724"/>
      <c r="K5" s="4724"/>
      <c r="L5" s="4724"/>
      <c r="M5" s="4724"/>
      <c r="N5" s="4724"/>
      <c r="O5" s="4724"/>
      <c r="P5" s="4724"/>
      <c r="Q5" s="4724"/>
      <c r="R5" s="4725"/>
    </row>
    <row r="6" spans="1:19" x14ac:dyDescent="0.25">
      <c r="D6" s="1261"/>
      <c r="E6" s="1262"/>
      <c r="F6" s="1262"/>
      <c r="G6" s="1262"/>
      <c r="H6" s="1263"/>
      <c r="I6" s="1264"/>
      <c r="J6" s="1264"/>
      <c r="K6" s="1264"/>
      <c r="L6" s="1264"/>
      <c r="M6" s="1264"/>
      <c r="N6" s="1264"/>
      <c r="O6" s="1264"/>
      <c r="P6" s="1264"/>
    </row>
    <row r="7" spans="1:19" ht="13" x14ac:dyDescent="0.25">
      <c r="A7" s="1255">
        <v>5</v>
      </c>
      <c r="B7" s="728" t="s">
        <v>6</v>
      </c>
      <c r="D7" s="1266" t="s">
        <v>74</v>
      </c>
      <c r="E7" s="1267" t="s">
        <v>482</v>
      </c>
      <c r="G7" s="1268"/>
      <c r="H7" s="1269"/>
      <c r="I7" s="1270"/>
      <c r="J7" s="1270"/>
      <c r="K7" s="1270"/>
      <c r="L7" s="1271"/>
      <c r="M7" s="1271"/>
      <c r="N7" s="1272"/>
      <c r="O7" s="1272"/>
      <c r="P7" s="1272"/>
    </row>
    <row r="8" spans="1:19" ht="34.5" customHeight="1" x14ac:dyDescent="0.25">
      <c r="D8" s="1273"/>
      <c r="E8" s="1274" t="s">
        <v>117</v>
      </c>
      <c r="F8" s="1274" t="s">
        <v>118</v>
      </c>
      <c r="G8" s="1275" t="s">
        <v>119</v>
      </c>
      <c r="H8" s="1276" t="s">
        <v>120</v>
      </c>
      <c r="I8" s="1274" t="s">
        <v>121</v>
      </c>
      <c r="J8" s="1274" t="s">
        <v>122</v>
      </c>
      <c r="K8" s="1275" t="s">
        <v>123</v>
      </c>
      <c r="L8" s="1276" t="s">
        <v>124</v>
      </c>
      <c r="M8" s="1277" t="s">
        <v>125</v>
      </c>
      <c r="N8" s="1277" t="s">
        <v>126</v>
      </c>
      <c r="O8" s="1278" t="s">
        <v>466</v>
      </c>
      <c r="P8" s="1278" t="s">
        <v>474</v>
      </c>
      <c r="Q8" s="1279" t="s">
        <v>468</v>
      </c>
      <c r="S8" s="1280"/>
    </row>
    <row r="9" spans="1:19" ht="13.25" customHeight="1" x14ac:dyDescent="0.2">
      <c r="D9" s="1281" t="s">
        <v>402</v>
      </c>
      <c r="E9" s="1282" t="s">
        <v>483</v>
      </c>
      <c r="F9" s="1282">
        <v>23070</v>
      </c>
      <c r="G9" s="1282">
        <v>18350</v>
      </c>
      <c r="H9" s="1283">
        <v>32206</v>
      </c>
      <c r="I9" s="1284">
        <v>42904</v>
      </c>
      <c r="J9" s="1284">
        <v>40594</v>
      </c>
      <c r="K9" s="1284">
        <v>43320</v>
      </c>
      <c r="L9" s="1284">
        <v>20130</v>
      </c>
      <c r="M9" s="1284">
        <v>34647</v>
      </c>
      <c r="N9" s="1280">
        <v>40924</v>
      </c>
      <c r="O9" s="1285">
        <v>0.24081223731795523</v>
      </c>
      <c r="P9" s="1285">
        <v>0.72199687225100184</v>
      </c>
      <c r="Q9" s="1286">
        <v>1.8571009676473463E-2</v>
      </c>
      <c r="S9" s="1280"/>
    </row>
    <row r="10" spans="1:19" ht="13.25" customHeight="1" x14ac:dyDescent="0.2">
      <c r="D10" s="1281" t="s">
        <v>404</v>
      </c>
      <c r="E10" s="1282" t="s">
        <v>483</v>
      </c>
      <c r="F10" s="1282">
        <v>8863</v>
      </c>
      <c r="G10" s="1282">
        <v>9064</v>
      </c>
      <c r="H10" s="1283">
        <v>18525</v>
      </c>
      <c r="I10" s="1284">
        <v>21535</v>
      </c>
      <c r="J10" s="1284">
        <v>20561</v>
      </c>
      <c r="K10" s="1284">
        <v>22642</v>
      </c>
      <c r="L10" s="1284">
        <v>6967</v>
      </c>
      <c r="M10" s="1284">
        <v>14334</v>
      </c>
      <c r="N10" s="1280">
        <v>21945</v>
      </c>
      <c r="O10" s="1285">
        <v>0.35716564137616769</v>
      </c>
      <c r="P10" s="1285">
        <v>0.7934837092731829</v>
      </c>
      <c r="Q10" s="1286">
        <v>7.9744816586921844E-3</v>
      </c>
      <c r="S10" s="1280"/>
    </row>
    <row r="11" spans="1:19" ht="13.25" customHeight="1" x14ac:dyDescent="0.2">
      <c r="D11" s="1281" t="s">
        <v>407</v>
      </c>
      <c r="E11" s="1282" t="s">
        <v>483</v>
      </c>
      <c r="F11" s="1282">
        <v>25966</v>
      </c>
      <c r="G11" s="1282">
        <v>25758</v>
      </c>
      <c r="H11" s="1283">
        <v>17815</v>
      </c>
      <c r="I11" s="1284">
        <v>9363</v>
      </c>
      <c r="J11" s="1284">
        <v>21252</v>
      </c>
      <c r="K11" s="1284">
        <v>21142</v>
      </c>
      <c r="L11" s="1284">
        <v>12229</v>
      </c>
      <c r="M11" s="1284">
        <v>16322</v>
      </c>
      <c r="N11" s="1280">
        <v>19239</v>
      </c>
      <c r="O11" s="1285">
        <v>0.25682208014969593</v>
      </c>
      <c r="P11" s="1285">
        <v>0.79822236082956499</v>
      </c>
      <c r="Q11" s="1286">
        <v>2.1986589739591455E-2</v>
      </c>
      <c r="S11" s="1280"/>
    </row>
    <row r="12" spans="1:19" ht="13.25" customHeight="1" x14ac:dyDescent="0.2">
      <c r="D12" s="1281" t="s">
        <v>405</v>
      </c>
      <c r="E12" s="1282" t="s">
        <v>483</v>
      </c>
      <c r="F12" s="1282">
        <v>10437</v>
      </c>
      <c r="G12" s="1282">
        <v>14101</v>
      </c>
      <c r="H12" s="1283">
        <v>25379</v>
      </c>
      <c r="I12" s="1284">
        <v>38952</v>
      </c>
      <c r="J12" s="1284">
        <v>33692</v>
      </c>
      <c r="K12" s="1284">
        <v>35950</v>
      </c>
      <c r="L12" s="1284">
        <v>16391</v>
      </c>
      <c r="M12" s="1284">
        <v>28794</v>
      </c>
      <c r="N12" s="1280">
        <v>41256</v>
      </c>
      <c r="O12" s="1285">
        <v>0.26248303277099089</v>
      </c>
      <c r="P12" s="1285">
        <v>0.80875509016870273</v>
      </c>
      <c r="Q12" s="1286">
        <v>8.1442699243746367E-3</v>
      </c>
      <c r="S12" s="1280"/>
    </row>
    <row r="13" spans="1:19" ht="13.25" customHeight="1" x14ac:dyDescent="0.2">
      <c r="A13" s="1260"/>
      <c r="D13" s="1281" t="s">
        <v>409</v>
      </c>
      <c r="E13" s="1282" t="s">
        <v>483</v>
      </c>
      <c r="F13" s="1282">
        <v>4783</v>
      </c>
      <c r="G13" s="1282">
        <v>5499</v>
      </c>
      <c r="H13" s="1283">
        <v>12259</v>
      </c>
      <c r="I13" s="1284">
        <v>10593</v>
      </c>
      <c r="J13" s="1284">
        <v>23008</v>
      </c>
      <c r="K13" s="1284">
        <v>25186</v>
      </c>
      <c r="L13" s="1284">
        <v>17709</v>
      </c>
      <c r="M13" s="1284">
        <v>20418</v>
      </c>
      <c r="N13" s="1280">
        <v>27757</v>
      </c>
      <c r="O13" s="1285">
        <v>0.27052635371257699</v>
      </c>
      <c r="P13" s="1285">
        <v>0.83910364952984828</v>
      </c>
      <c r="Q13" s="1286">
        <v>7.7097669056454231E-3</v>
      </c>
      <c r="S13" s="1280"/>
    </row>
    <row r="14" spans="1:19" ht="13.25" customHeight="1" x14ac:dyDescent="0.2">
      <c r="A14" s="1260"/>
      <c r="D14" s="1281" t="s">
        <v>408</v>
      </c>
      <c r="E14" s="1282" t="s">
        <v>483</v>
      </c>
      <c r="F14" s="1282">
        <v>5965</v>
      </c>
      <c r="G14" s="1282">
        <v>8062</v>
      </c>
      <c r="H14" s="1283">
        <v>9582</v>
      </c>
      <c r="I14" s="1284">
        <v>6972</v>
      </c>
      <c r="J14" s="1284">
        <v>19785</v>
      </c>
      <c r="K14" s="1284">
        <v>25209</v>
      </c>
      <c r="L14" s="1284">
        <v>11989</v>
      </c>
      <c r="M14" s="1284">
        <v>17453</v>
      </c>
      <c r="N14" s="1280">
        <v>26139</v>
      </c>
      <c r="O14" s="1285">
        <v>0.3258349592562837</v>
      </c>
      <c r="P14" s="1285">
        <v>0.83090401316041163</v>
      </c>
      <c r="Q14" s="1286">
        <v>1.8975477256207199E-2</v>
      </c>
      <c r="S14" s="1280"/>
    </row>
    <row r="15" spans="1:19" ht="13.25" customHeight="1" x14ac:dyDescent="0.2">
      <c r="A15" s="1260"/>
      <c r="D15" s="1281" t="s">
        <v>406</v>
      </c>
      <c r="E15" s="1282" t="s">
        <v>483</v>
      </c>
      <c r="F15" s="1282">
        <v>8096</v>
      </c>
      <c r="G15" s="1282">
        <v>7320</v>
      </c>
      <c r="H15" s="1283">
        <v>13776</v>
      </c>
      <c r="I15" s="1284">
        <v>22300</v>
      </c>
      <c r="J15" s="1284">
        <v>18020</v>
      </c>
      <c r="K15" s="1284">
        <v>20156</v>
      </c>
      <c r="L15" s="1284">
        <v>12567</v>
      </c>
      <c r="M15" s="1284">
        <v>15131</v>
      </c>
      <c r="N15" s="1280">
        <v>21151</v>
      </c>
      <c r="O15" s="1285">
        <v>0.35875372322821614</v>
      </c>
      <c r="P15" s="1285">
        <v>0.77485698075741105</v>
      </c>
      <c r="Q15" s="1286">
        <v>8.3683986572738872E-3</v>
      </c>
      <c r="S15" s="1280"/>
    </row>
    <row r="16" spans="1:19" ht="13.25" customHeight="1" x14ac:dyDescent="0.2">
      <c r="D16" s="1281" t="s">
        <v>403</v>
      </c>
      <c r="E16" s="1268" t="s">
        <v>483</v>
      </c>
      <c r="F16" s="1287">
        <v>2660</v>
      </c>
      <c r="G16" s="1288">
        <v>4091</v>
      </c>
      <c r="H16" s="1288">
        <v>5164</v>
      </c>
      <c r="I16" s="1289">
        <v>13997</v>
      </c>
      <c r="J16" s="1289">
        <v>11418</v>
      </c>
      <c r="K16" s="1289">
        <v>16247</v>
      </c>
      <c r="L16" s="1289">
        <v>7029</v>
      </c>
      <c r="M16" s="1289">
        <v>14360</v>
      </c>
      <c r="N16" s="1280">
        <v>23032</v>
      </c>
      <c r="O16" s="1285">
        <v>0.36905175408127822</v>
      </c>
      <c r="P16" s="1285">
        <v>0.74613581104550186</v>
      </c>
      <c r="Q16" s="1286">
        <v>3.3648836401528305E-2</v>
      </c>
      <c r="S16" s="1280"/>
    </row>
    <row r="17" spans="1:19" ht="13.25" customHeight="1" x14ac:dyDescent="0.2">
      <c r="D17" s="1290" t="s">
        <v>401</v>
      </c>
      <c r="E17" s="1291" t="s">
        <v>483</v>
      </c>
      <c r="F17" s="1291">
        <v>2296</v>
      </c>
      <c r="G17" s="1291">
        <v>7934</v>
      </c>
      <c r="H17" s="1292">
        <v>9832</v>
      </c>
      <c r="I17" s="1293">
        <v>10063</v>
      </c>
      <c r="J17" s="1293">
        <v>10377</v>
      </c>
      <c r="K17" s="1293">
        <v>11523</v>
      </c>
      <c r="L17" s="1293">
        <v>2307</v>
      </c>
      <c r="M17" s="1293">
        <v>4805</v>
      </c>
      <c r="N17" s="1280">
        <v>15427</v>
      </c>
      <c r="O17" s="1294">
        <v>0.39936475011343747</v>
      </c>
      <c r="P17" s="1294">
        <v>0.79140468010630716</v>
      </c>
      <c r="Q17" s="1295">
        <v>3.9735528618655605E-2</v>
      </c>
      <c r="S17" s="1280"/>
    </row>
    <row r="18" spans="1:19" s="1266" customFormat="1" ht="11.5" customHeight="1" x14ac:dyDescent="0.25">
      <c r="A18" s="1259"/>
      <c r="B18" s="1296"/>
      <c r="C18" s="1296"/>
      <c r="D18" s="1297" t="s">
        <v>306</v>
      </c>
      <c r="E18" s="1298" t="s">
        <v>483</v>
      </c>
      <c r="F18" s="1298">
        <f t="shared" ref="F18:M18" si="0">SUM(F9:F17)</f>
        <v>92136</v>
      </c>
      <c r="G18" s="1298">
        <f t="shared" si="0"/>
        <v>100179</v>
      </c>
      <c r="H18" s="1298">
        <f t="shared" si="0"/>
        <v>144538</v>
      </c>
      <c r="I18" s="1298">
        <f t="shared" si="0"/>
        <v>176679</v>
      </c>
      <c r="J18" s="1298">
        <f t="shared" si="0"/>
        <v>198707</v>
      </c>
      <c r="K18" s="1298">
        <f t="shared" si="0"/>
        <v>221375</v>
      </c>
      <c r="L18" s="1298">
        <f t="shared" si="0"/>
        <v>107318</v>
      </c>
      <c r="M18" s="1298">
        <f t="shared" si="0"/>
        <v>166264</v>
      </c>
      <c r="N18" s="1298">
        <f>SUM(N9:N17)</f>
        <v>236870</v>
      </c>
      <c r="O18" s="1299"/>
      <c r="P18" s="1299"/>
      <c r="Q18" s="1300"/>
    </row>
    <row r="19" spans="1:19" s="1266" customFormat="1" ht="11.5" customHeight="1" x14ac:dyDescent="0.25">
      <c r="A19" s="1259"/>
      <c r="B19" s="1296"/>
      <c r="C19" s="1296"/>
      <c r="D19" s="785"/>
      <c r="E19" s="1301"/>
      <c r="F19" s="1301"/>
      <c r="G19" s="1301"/>
      <c r="H19" s="1301"/>
      <c r="I19" s="1301"/>
      <c r="J19" s="1301"/>
      <c r="K19" s="1301"/>
      <c r="L19" s="1301"/>
      <c r="M19" s="1301"/>
      <c r="N19" s="1302"/>
      <c r="O19" s="1302"/>
      <c r="P19" s="1302"/>
    </row>
    <row r="20" spans="1:19" s="1266" customFormat="1" ht="11.5" customHeight="1" x14ac:dyDescent="0.25">
      <c r="A20" s="1259"/>
      <c r="B20" s="1296"/>
      <c r="C20" s="1296"/>
      <c r="D20" s="785"/>
      <c r="E20" s="1301"/>
      <c r="F20" s="1301"/>
      <c r="G20" s="1301"/>
      <c r="H20" s="1301"/>
      <c r="I20" s="1301"/>
      <c r="J20" s="1301"/>
      <c r="K20" s="1301"/>
      <c r="L20" s="1301"/>
      <c r="M20" s="1301"/>
      <c r="N20" s="1302"/>
      <c r="O20" s="1302"/>
      <c r="P20" s="1302"/>
    </row>
    <row r="21" spans="1:19" s="1266" customFormat="1" ht="11.5" customHeight="1" x14ac:dyDescent="0.25">
      <c r="A21" s="1259"/>
      <c r="B21" s="1296"/>
      <c r="C21" s="1296"/>
      <c r="D21" s="785"/>
      <c r="E21" s="1301"/>
      <c r="F21" s="1301"/>
      <c r="G21" s="1301"/>
      <c r="H21" s="1301"/>
      <c r="I21" s="1301"/>
      <c r="J21" s="1301"/>
      <c r="K21" s="1301"/>
      <c r="L21" s="1301"/>
      <c r="M21" s="1301"/>
      <c r="N21" s="1302"/>
      <c r="O21" s="1302"/>
      <c r="P21" s="1302"/>
    </row>
    <row r="22" spans="1:19" s="1266" customFormat="1" ht="11.5" customHeight="1" x14ac:dyDescent="0.25">
      <c r="A22" s="1259"/>
      <c r="B22" s="1296"/>
      <c r="C22" s="1296"/>
      <c r="D22" s="785"/>
      <c r="E22" s="1301"/>
      <c r="F22" s="1301"/>
      <c r="G22" s="1301"/>
      <c r="H22" s="1301"/>
      <c r="I22" s="1301"/>
      <c r="J22" s="1301"/>
      <c r="K22" s="1301"/>
      <c r="L22" s="1301"/>
      <c r="M22" s="1301"/>
      <c r="N22" s="1302"/>
      <c r="O22" s="1302"/>
      <c r="P22" s="1302"/>
    </row>
    <row r="23" spans="1:19" s="1266" customFormat="1" ht="11.5" customHeight="1" x14ac:dyDescent="0.25">
      <c r="A23" s="1259"/>
      <c r="B23" s="1296"/>
      <c r="C23" s="1296"/>
      <c r="D23" s="785"/>
      <c r="E23" s="1301"/>
      <c r="F23" s="1301"/>
      <c r="G23" s="1301"/>
      <c r="H23" s="1301"/>
      <c r="I23" s="1301"/>
      <c r="J23" s="1301"/>
      <c r="K23" s="1301"/>
      <c r="L23" s="1301"/>
      <c r="M23" s="1301"/>
      <c r="N23" s="1302"/>
      <c r="O23" s="1302"/>
      <c r="P23" s="1302"/>
    </row>
    <row r="24" spans="1:19" s="1266" customFormat="1" ht="11.5" customHeight="1" x14ac:dyDescent="0.25">
      <c r="A24" s="1259"/>
      <c r="B24" s="1296"/>
      <c r="C24" s="1296"/>
      <c r="D24" s="785"/>
      <c r="E24" s="1301"/>
      <c r="F24" s="1301"/>
      <c r="G24" s="1301"/>
      <c r="H24" s="1301"/>
      <c r="I24" s="1301"/>
      <c r="J24" s="1301"/>
      <c r="K24" s="1301"/>
      <c r="L24" s="1301"/>
      <c r="M24" s="1301"/>
      <c r="N24" s="1302"/>
      <c r="O24" s="1302"/>
      <c r="P24" s="1302"/>
    </row>
    <row r="25" spans="1:19" s="1266" customFormat="1" ht="11.5" customHeight="1" x14ac:dyDescent="0.25">
      <c r="A25" s="1259"/>
      <c r="B25" s="1296"/>
      <c r="C25" s="1296"/>
      <c r="D25" s="785"/>
      <c r="E25" s="1301"/>
      <c r="F25" s="1301"/>
      <c r="G25" s="1301"/>
      <c r="H25" s="1301"/>
      <c r="I25" s="1301"/>
      <c r="J25" s="1301"/>
      <c r="K25" s="1301"/>
      <c r="L25" s="1301"/>
      <c r="M25" s="1301"/>
      <c r="N25" s="1302"/>
      <c r="O25" s="1302"/>
      <c r="P25" s="1302"/>
    </row>
    <row r="26" spans="1:19" s="1266" customFormat="1" ht="11.5" customHeight="1" x14ac:dyDescent="0.25">
      <c r="A26" s="1259"/>
      <c r="B26" s="1296"/>
      <c r="C26" s="1296"/>
      <c r="D26" s="785"/>
      <c r="E26" s="1301"/>
      <c r="F26" s="1301"/>
      <c r="G26" s="1301"/>
      <c r="H26" s="1301"/>
      <c r="I26" s="1301"/>
      <c r="J26" s="1301"/>
      <c r="K26" s="1301"/>
      <c r="L26" s="1301"/>
      <c r="M26" s="1301"/>
      <c r="N26" s="1302"/>
      <c r="O26" s="1302"/>
      <c r="P26" s="1302"/>
    </row>
    <row r="27" spans="1:19" s="1266" customFormat="1" ht="11.5" customHeight="1" x14ac:dyDescent="0.25">
      <c r="A27" s="1259"/>
      <c r="B27" s="1296"/>
      <c r="C27" s="1296"/>
      <c r="D27" s="785"/>
      <c r="E27" s="1301"/>
      <c r="F27" s="1301"/>
      <c r="G27" s="1301"/>
      <c r="H27" s="1301"/>
      <c r="I27" s="1301"/>
      <c r="J27" s="1301"/>
      <c r="K27" s="1301"/>
      <c r="L27" s="1301"/>
      <c r="M27" s="1301"/>
      <c r="N27" s="1302"/>
      <c r="O27" s="1302"/>
      <c r="P27" s="1302"/>
    </row>
    <row r="28" spans="1:19" s="1266" customFormat="1" ht="11.5" customHeight="1" x14ac:dyDescent="0.25">
      <c r="A28" s="1259"/>
      <c r="B28" s="1296"/>
      <c r="C28" s="1296"/>
      <c r="D28" s="785"/>
      <c r="E28" s="1301"/>
      <c r="F28" s="1301"/>
      <c r="G28" s="1301"/>
      <c r="H28" s="1301"/>
      <c r="I28" s="1301"/>
      <c r="J28" s="1301"/>
      <c r="K28" s="1301"/>
      <c r="L28" s="1301"/>
      <c r="M28" s="1301"/>
      <c r="N28" s="1302"/>
      <c r="O28" s="1302"/>
      <c r="P28" s="1302"/>
    </row>
    <row r="29" spans="1:19" s="1266" customFormat="1" ht="11.5" customHeight="1" x14ac:dyDescent="0.25">
      <c r="A29" s="1259"/>
      <c r="B29" s="1296"/>
      <c r="C29" s="1296"/>
      <c r="D29" s="785"/>
      <c r="E29" s="1301"/>
      <c r="F29" s="1301"/>
      <c r="G29" s="1301"/>
      <c r="H29" s="1301"/>
      <c r="I29" s="1301"/>
      <c r="J29" s="1301"/>
      <c r="K29" s="1301"/>
      <c r="L29" s="1301"/>
      <c r="M29" s="1301"/>
      <c r="N29" s="1302"/>
      <c r="O29" s="1302"/>
      <c r="P29" s="1302"/>
    </row>
    <row r="30" spans="1:19" s="1266" customFormat="1" ht="11.5" customHeight="1" x14ac:dyDescent="0.25">
      <c r="A30" s="1259"/>
      <c r="B30" s="1296"/>
      <c r="C30" s="1296"/>
      <c r="D30" s="785"/>
      <c r="E30" s="1301"/>
      <c r="F30" s="1301"/>
      <c r="G30" s="1301"/>
      <c r="H30" s="1301"/>
      <c r="I30" s="1301"/>
      <c r="J30" s="1301"/>
      <c r="K30" s="1301"/>
      <c r="L30" s="1301"/>
      <c r="M30" s="1301"/>
      <c r="N30" s="1302"/>
      <c r="O30" s="1302"/>
      <c r="P30" s="1302"/>
    </row>
    <row r="31" spans="1:19" s="1266" customFormat="1" ht="11.5" customHeight="1" x14ac:dyDescent="0.25">
      <c r="A31" s="1259"/>
      <c r="B31" s="1296"/>
      <c r="C31" s="1296"/>
      <c r="D31" s="785"/>
      <c r="E31" s="1301"/>
      <c r="F31" s="1301"/>
      <c r="G31" s="1301"/>
      <c r="H31" s="1301"/>
      <c r="I31" s="1301"/>
      <c r="J31" s="1301"/>
      <c r="K31" s="1301"/>
      <c r="L31" s="1301"/>
      <c r="M31" s="1301"/>
      <c r="N31" s="1302"/>
      <c r="O31" s="1302"/>
      <c r="P31" s="1302"/>
    </row>
    <row r="32" spans="1:19" s="1266" customFormat="1" ht="11.5" customHeight="1" x14ac:dyDescent="0.25">
      <c r="A32" s="1259"/>
      <c r="B32" s="1296"/>
      <c r="C32" s="1296"/>
      <c r="D32" s="785"/>
      <c r="E32" s="1301"/>
      <c r="F32" s="1301"/>
      <c r="G32" s="1301"/>
      <c r="H32" s="1301"/>
      <c r="I32" s="1301"/>
      <c r="J32" s="1301"/>
      <c r="K32" s="1301"/>
      <c r="L32" s="1301"/>
      <c r="M32" s="1301"/>
      <c r="N32" s="1302"/>
      <c r="O32" s="1302"/>
      <c r="P32" s="1302"/>
    </row>
    <row r="33" spans="1:18" s="1266" customFormat="1" ht="11.5" customHeight="1" x14ac:dyDescent="0.25">
      <c r="A33" s="1259"/>
      <c r="B33" s="1296"/>
      <c r="C33" s="1296"/>
      <c r="D33" s="785"/>
      <c r="E33" s="1301"/>
      <c r="F33" s="1301"/>
      <c r="G33" s="1301"/>
      <c r="H33" s="1301"/>
      <c r="I33" s="1301"/>
      <c r="J33" s="1301"/>
      <c r="K33" s="1301"/>
      <c r="L33" s="1301"/>
      <c r="M33" s="1301"/>
      <c r="N33" s="1302"/>
      <c r="O33" s="1302"/>
      <c r="P33" s="1302"/>
    </row>
    <row r="34" spans="1:18" s="1266" customFormat="1" ht="11.5" customHeight="1" x14ac:dyDescent="0.25">
      <c r="A34" s="1259"/>
      <c r="B34" s="1296"/>
      <c r="C34" s="1296"/>
      <c r="D34" s="785"/>
      <c r="E34" s="1301"/>
      <c r="F34" s="1301"/>
      <c r="G34" s="1301"/>
      <c r="H34" s="1301"/>
      <c r="I34" s="1301"/>
      <c r="J34" s="1301"/>
      <c r="K34" s="1301"/>
      <c r="L34" s="1301"/>
      <c r="M34" s="1301"/>
      <c r="N34" s="1302"/>
      <c r="O34" s="1302"/>
      <c r="P34" s="1302"/>
    </row>
    <row r="35" spans="1:18" s="1266" customFormat="1" ht="11.5" customHeight="1" x14ac:dyDescent="0.25">
      <c r="A35" s="1259"/>
      <c r="B35" s="1296"/>
      <c r="C35" s="1296"/>
      <c r="D35" s="785"/>
      <c r="E35" s="1301"/>
      <c r="F35" s="1301"/>
      <c r="G35" s="1301"/>
      <c r="H35" s="1301"/>
      <c r="I35" s="1301"/>
      <c r="J35" s="1301"/>
      <c r="K35" s="1301"/>
      <c r="L35" s="1301"/>
      <c r="M35" s="1301"/>
      <c r="N35" s="1302"/>
      <c r="O35" s="1302"/>
      <c r="P35" s="1302"/>
    </row>
    <row r="36" spans="1:18" s="1266" customFormat="1" ht="11.5" customHeight="1" x14ac:dyDescent="0.25">
      <c r="A36" s="1259"/>
      <c r="B36" s="1296"/>
      <c r="C36" s="1296"/>
      <c r="D36" s="785"/>
      <c r="E36" s="1301"/>
      <c r="F36" s="1301"/>
      <c r="G36" s="1301"/>
      <c r="H36" s="1301"/>
      <c r="I36" s="1301"/>
      <c r="J36" s="1301"/>
      <c r="K36" s="1301"/>
      <c r="L36" s="1301"/>
      <c r="M36" s="1301"/>
      <c r="N36" s="1303"/>
      <c r="O36" s="1303"/>
      <c r="P36" s="1303"/>
    </row>
    <row r="37" spans="1:18" s="1266" customFormat="1" ht="11.5" customHeight="1" x14ac:dyDescent="0.25">
      <c r="A37" s="1259"/>
      <c r="B37" s="1296"/>
      <c r="C37" s="1296"/>
      <c r="D37" s="785"/>
      <c r="E37" s="1301"/>
      <c r="F37" s="1301"/>
      <c r="G37" s="1301"/>
      <c r="H37" s="1301"/>
      <c r="I37" s="1301"/>
      <c r="J37" s="1301"/>
      <c r="K37" s="1301"/>
      <c r="L37" s="1301"/>
      <c r="M37" s="1301"/>
      <c r="N37" s="1303"/>
      <c r="O37" s="1303"/>
      <c r="P37" s="1303"/>
    </row>
    <row r="38" spans="1:18" s="1266" customFormat="1" ht="11.5" customHeight="1" x14ac:dyDescent="0.25">
      <c r="A38" s="1259"/>
      <c r="B38" s="1296"/>
      <c r="C38" s="1296"/>
      <c r="D38" s="785"/>
      <c r="E38" s="1301"/>
      <c r="F38" s="1301"/>
      <c r="G38" s="1301"/>
      <c r="H38" s="1301"/>
      <c r="I38" s="1301"/>
      <c r="J38" s="1301"/>
      <c r="K38" s="1301"/>
      <c r="L38" s="1301"/>
      <c r="M38" s="1301"/>
      <c r="N38" s="1303"/>
      <c r="O38" s="1303"/>
      <c r="P38" s="1303"/>
    </row>
    <row r="40" spans="1:18" s="1257" customFormat="1" ht="12.75" customHeight="1" x14ac:dyDescent="0.25">
      <c r="A40" s="1255">
        <v>6</v>
      </c>
      <c r="B40" s="1255" t="s">
        <v>58</v>
      </c>
      <c r="C40" s="1255"/>
      <c r="D40" s="4733" t="s">
        <v>476</v>
      </c>
      <c r="E40" s="4734"/>
      <c r="F40" s="4734"/>
      <c r="G40" s="4734"/>
      <c r="H40" s="4734"/>
      <c r="I40" s="4734"/>
      <c r="J40" s="4734"/>
      <c r="K40" s="4734"/>
      <c r="L40" s="4734"/>
      <c r="M40" s="4734"/>
      <c r="N40" s="4734"/>
      <c r="O40" s="4734"/>
      <c r="P40" s="4734"/>
      <c r="Q40" s="4734"/>
      <c r="R40" s="4735"/>
    </row>
    <row r="41" spans="1:18" s="1257" customFormat="1" ht="30" customHeight="1" x14ac:dyDescent="0.25">
      <c r="A41" s="1255">
        <v>7</v>
      </c>
      <c r="B41" s="1255" t="s">
        <v>60</v>
      </c>
      <c r="C41" s="1255"/>
      <c r="D41" s="4733" t="s">
        <v>484</v>
      </c>
      <c r="E41" s="4734"/>
      <c r="F41" s="4734"/>
      <c r="G41" s="4734"/>
      <c r="H41" s="4734"/>
      <c r="I41" s="4734"/>
      <c r="J41" s="4734"/>
      <c r="K41" s="4734"/>
      <c r="L41" s="4734"/>
      <c r="M41" s="4734"/>
      <c r="N41" s="4734"/>
      <c r="O41" s="4734"/>
      <c r="P41" s="4734"/>
      <c r="Q41" s="4734"/>
      <c r="R41" s="4735"/>
    </row>
    <row r="42" spans="1:18" s="1257" customFormat="1" ht="12.75" customHeight="1" x14ac:dyDescent="0.25">
      <c r="A42" s="1255">
        <v>8</v>
      </c>
      <c r="B42" s="1255" t="s">
        <v>62</v>
      </c>
      <c r="C42" s="1255"/>
      <c r="D42" s="4733" t="s">
        <v>485</v>
      </c>
      <c r="E42" s="4734"/>
      <c r="F42" s="4734"/>
      <c r="G42" s="4734"/>
      <c r="H42" s="4734"/>
      <c r="I42" s="4734"/>
      <c r="J42" s="4734"/>
      <c r="K42" s="4734"/>
      <c r="L42" s="4734"/>
      <c r="M42" s="4734"/>
      <c r="N42" s="4734"/>
      <c r="O42" s="4734"/>
      <c r="P42" s="4734"/>
      <c r="Q42" s="4734"/>
      <c r="R42" s="4735"/>
    </row>
    <row r="43" spans="1:18" s="1257" customFormat="1" ht="22.75" customHeight="1" x14ac:dyDescent="0.25">
      <c r="A43" s="1306">
        <v>9</v>
      </c>
      <c r="B43" s="1306" t="s">
        <v>278</v>
      </c>
      <c r="C43" s="1306"/>
      <c r="D43" s="4733" t="s">
        <v>486</v>
      </c>
      <c r="E43" s="4734"/>
      <c r="F43" s="4734"/>
      <c r="G43" s="4734"/>
      <c r="H43" s="4734"/>
      <c r="I43" s="4734"/>
      <c r="J43" s="4734"/>
      <c r="K43" s="4734"/>
      <c r="L43" s="4734"/>
      <c r="M43" s="4734"/>
      <c r="N43" s="4734"/>
      <c r="O43" s="4734"/>
      <c r="P43" s="4734"/>
      <c r="Q43" s="4734"/>
      <c r="R43" s="4735"/>
    </row>
    <row r="54" spans="5:14" x14ac:dyDescent="0.2">
      <c r="E54" s="1265"/>
      <c r="F54" s="1265"/>
    </row>
    <row r="55" spans="5:14" x14ac:dyDescent="0.2">
      <c r="E55" s="1265"/>
      <c r="F55" s="1265"/>
    </row>
    <row r="58" spans="5:14" x14ac:dyDescent="0.25">
      <c r="E58" s="1307"/>
      <c r="F58" s="1308" t="s">
        <v>118</v>
      </c>
      <c r="G58" s="1309" t="s">
        <v>119</v>
      </c>
      <c r="H58" s="1310" t="s">
        <v>120</v>
      </c>
      <c r="I58" s="1308" t="s">
        <v>121</v>
      </c>
      <c r="J58" s="1308" t="s">
        <v>122</v>
      </c>
      <c r="K58" s="1309" t="s">
        <v>123</v>
      </c>
      <c r="L58" s="1310" t="s">
        <v>124</v>
      </c>
      <c r="M58" s="1310" t="s">
        <v>125</v>
      </c>
      <c r="N58" s="1310" t="s">
        <v>126</v>
      </c>
    </row>
    <row r="59" spans="5:14" x14ac:dyDescent="0.2">
      <c r="E59" s="1307" t="s">
        <v>306</v>
      </c>
      <c r="F59" s="1311">
        <v>92136</v>
      </c>
      <c r="G59" s="1311">
        <v>100179</v>
      </c>
      <c r="H59" s="1311">
        <v>144538</v>
      </c>
      <c r="I59" s="1311">
        <v>176679</v>
      </c>
      <c r="J59" s="1311">
        <v>198707</v>
      </c>
      <c r="K59" s="1311">
        <v>221375</v>
      </c>
      <c r="L59" s="1311">
        <v>107318</v>
      </c>
      <c r="M59" s="1311">
        <v>166264</v>
      </c>
      <c r="N59" s="1311">
        <v>236870</v>
      </c>
    </row>
  </sheetData>
  <mergeCells count="8">
    <mergeCell ref="D42:R42"/>
    <mergeCell ref="D43:R43"/>
    <mergeCell ref="D2:R2"/>
    <mergeCell ref="D3:R3"/>
    <mergeCell ref="D4:R4"/>
    <mergeCell ref="D5:R5"/>
    <mergeCell ref="D40:R40"/>
    <mergeCell ref="D41:R41"/>
  </mergeCells>
  <pageMargins left="0.74803149606299213" right="0.74803149606299213" top="0.98425196850393704" bottom="0.98425196850393704" header="0.51181102362204722" footer="0.51181102362204722"/>
  <pageSetup paperSize="9" scale="7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AE87"/>
  <sheetViews>
    <sheetView showGridLines="0" view="pageBreakPreview" zoomScaleNormal="100" zoomScaleSheetLayoutView="100" workbookViewId="0">
      <selection activeCell="B19" sqref="B19"/>
    </sheetView>
  </sheetViews>
  <sheetFormatPr defaultColWidth="9.1796875" defaultRowHeight="14.5" x14ac:dyDescent="0.35"/>
  <cols>
    <col min="1" max="1" width="3.81640625" style="86" customWidth="1"/>
    <col min="2" max="2" width="12.81640625" style="83" customWidth="1"/>
    <col min="3" max="3" width="3.81640625" style="84" customWidth="1"/>
    <col min="4" max="4" width="8.1796875" style="4" customWidth="1"/>
    <col min="5" max="5" width="4.1796875" style="4" customWidth="1"/>
    <col min="6" max="22" width="7.81640625" style="4" customWidth="1"/>
    <col min="23" max="23" width="6" style="4" customWidth="1"/>
    <col min="24" max="24" width="5.81640625" style="4" customWidth="1"/>
    <col min="25" max="25" width="6.1796875" style="4" customWidth="1"/>
    <col min="26" max="26" width="6.453125" style="4" customWidth="1"/>
    <col min="27" max="27" width="5.1796875" style="4" customWidth="1"/>
    <col min="28" max="28" width="5" style="4" customWidth="1"/>
    <col min="29" max="29" width="6.81640625" style="4" customWidth="1"/>
    <col min="30" max="30" width="6.54296875" style="4" customWidth="1"/>
    <col min="31" max="31" width="6.6328125" style="4" customWidth="1"/>
    <col min="32" max="16384" width="9.1796875" style="4"/>
  </cols>
  <sheetData>
    <row r="1" spans="1:31" x14ac:dyDescent="0.35">
      <c r="A1" s="82"/>
      <c r="D1" s="85"/>
      <c r="E1" s="85"/>
      <c r="F1" s="85"/>
      <c r="G1" s="85"/>
      <c r="H1" s="85"/>
      <c r="I1" s="85"/>
      <c r="J1" s="85"/>
      <c r="K1" s="85"/>
      <c r="L1" s="85"/>
      <c r="M1" s="85"/>
      <c r="N1" s="85"/>
      <c r="O1" s="85"/>
      <c r="P1" s="85"/>
      <c r="Q1" s="85"/>
      <c r="R1" s="85"/>
      <c r="S1" s="85"/>
      <c r="T1" s="85"/>
      <c r="U1" s="85"/>
      <c r="V1" s="85"/>
      <c r="W1" s="85"/>
    </row>
    <row r="2" spans="1:31" ht="12.75" customHeight="1" x14ac:dyDescent="0.35">
      <c r="A2" s="86">
        <v>1</v>
      </c>
      <c r="B2" s="87" t="s">
        <v>70</v>
      </c>
      <c r="C2" s="86">
        <f>[1]GDP!C2+1</f>
        <v>2</v>
      </c>
      <c r="D2" s="4648" t="s">
        <v>71</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49"/>
      <c r="AD2" s="4650"/>
    </row>
    <row r="3" spans="1:31" ht="12.75" customHeight="1" x14ac:dyDescent="0.35">
      <c r="A3" s="86">
        <v>2</v>
      </c>
      <c r="B3" s="87" t="s">
        <v>72</v>
      </c>
      <c r="C3" s="86"/>
      <c r="D3" s="4651" t="s">
        <v>3</v>
      </c>
      <c r="E3" s="4652"/>
      <c r="F3" s="4652"/>
      <c r="G3" s="4652"/>
      <c r="H3" s="4652"/>
      <c r="I3" s="4652"/>
      <c r="J3" s="4652"/>
      <c r="K3" s="4652"/>
      <c r="L3" s="4652"/>
      <c r="M3" s="4652"/>
      <c r="N3" s="4652"/>
      <c r="O3" s="4652"/>
      <c r="P3" s="4652"/>
      <c r="Q3" s="4652"/>
      <c r="R3" s="4652"/>
      <c r="S3" s="4652"/>
      <c r="T3" s="4652"/>
      <c r="U3" s="4652"/>
      <c r="V3" s="4652"/>
      <c r="W3" s="4652"/>
      <c r="X3" s="4652"/>
      <c r="Y3" s="4652"/>
      <c r="Z3" s="4652"/>
      <c r="AA3" s="4652"/>
      <c r="AB3" s="4652"/>
      <c r="AC3" s="4652"/>
      <c r="AD3" s="4653"/>
    </row>
    <row r="4" spans="1:31" ht="12.75" customHeight="1" x14ac:dyDescent="0.35">
      <c r="A4" s="86">
        <v>3</v>
      </c>
      <c r="B4" s="87" t="s">
        <v>4</v>
      </c>
      <c r="C4" s="86"/>
      <c r="D4" s="4651" t="s">
        <v>73</v>
      </c>
      <c r="E4" s="4652"/>
      <c r="F4" s="4652"/>
      <c r="G4" s="4652"/>
      <c r="H4" s="4652"/>
      <c r="I4" s="4652"/>
      <c r="J4" s="4652"/>
      <c r="K4" s="4652"/>
      <c r="L4" s="4652"/>
      <c r="M4" s="4652"/>
      <c r="N4" s="4652"/>
      <c r="O4" s="4652"/>
      <c r="P4" s="4652"/>
      <c r="Q4" s="4652"/>
      <c r="R4" s="4652"/>
      <c r="S4" s="4652"/>
      <c r="T4" s="4652"/>
      <c r="U4" s="4652"/>
      <c r="V4" s="4652"/>
      <c r="W4" s="4652"/>
      <c r="X4" s="4652"/>
      <c r="Y4" s="4652"/>
      <c r="Z4" s="4652"/>
      <c r="AA4" s="4652"/>
      <c r="AB4" s="4652"/>
      <c r="AC4" s="4652"/>
      <c r="AD4" s="4653"/>
    </row>
    <row r="5" spans="1:31" ht="16.5" customHeight="1" x14ac:dyDescent="0.35">
      <c r="B5" s="87"/>
      <c r="C5" s="86"/>
      <c r="D5" s="4654"/>
      <c r="E5" s="4655"/>
      <c r="F5" s="4655"/>
      <c r="G5" s="4655"/>
      <c r="H5" s="4655"/>
      <c r="I5" s="4655"/>
      <c r="J5" s="4655"/>
      <c r="K5" s="4655"/>
      <c r="L5" s="4655"/>
      <c r="M5" s="4655"/>
      <c r="N5" s="4655"/>
      <c r="O5" s="4655"/>
      <c r="P5" s="4655"/>
      <c r="Q5" s="4655"/>
      <c r="R5" s="4655"/>
      <c r="S5" s="4655"/>
      <c r="T5" s="4655"/>
      <c r="U5" s="4655"/>
      <c r="V5" s="4655"/>
      <c r="W5" s="4655"/>
      <c r="X5" s="4655"/>
      <c r="Y5" s="4655"/>
      <c r="Z5" s="4655"/>
      <c r="AA5" s="4655"/>
      <c r="AB5" s="4655"/>
      <c r="AC5" s="4655"/>
      <c r="AD5" s="4655"/>
    </row>
    <row r="6" spans="1:31" x14ac:dyDescent="0.35">
      <c r="A6" s="86">
        <v>4</v>
      </c>
      <c r="B6" s="88" t="s">
        <v>6</v>
      </c>
      <c r="D6" s="89" t="s">
        <v>74</v>
      </c>
      <c r="E6" s="89"/>
      <c r="F6" s="90" t="s">
        <v>75</v>
      </c>
      <c r="G6" s="90"/>
      <c r="H6" s="90"/>
      <c r="I6" s="90"/>
      <c r="J6" s="90"/>
      <c r="K6" s="90"/>
      <c r="L6" s="90"/>
      <c r="M6" s="90"/>
      <c r="N6" s="91"/>
      <c r="O6" s="91"/>
      <c r="P6" s="91"/>
      <c r="Q6" s="91"/>
      <c r="R6" s="91"/>
      <c r="S6" s="92"/>
      <c r="T6" s="85"/>
      <c r="U6" s="85"/>
      <c r="V6" s="85"/>
      <c r="W6" s="85"/>
    </row>
    <row r="7" spans="1:31" x14ac:dyDescent="0.35">
      <c r="D7" s="93"/>
      <c r="E7" s="94"/>
      <c r="F7" s="95">
        <v>1994</v>
      </c>
      <c r="G7" s="96" t="s">
        <v>9</v>
      </c>
      <c r="H7" s="96" t="s">
        <v>10</v>
      </c>
      <c r="I7" s="96" t="s">
        <v>11</v>
      </c>
      <c r="J7" s="96" t="s">
        <v>12</v>
      </c>
      <c r="K7" s="96" t="s">
        <v>13</v>
      </c>
      <c r="L7" s="96" t="s">
        <v>14</v>
      </c>
      <c r="M7" s="96" t="s">
        <v>15</v>
      </c>
      <c r="N7" s="96" t="s">
        <v>16</v>
      </c>
      <c r="O7" s="96" t="s">
        <v>17</v>
      </c>
      <c r="P7" s="96" t="s">
        <v>18</v>
      </c>
      <c r="Q7" s="96" t="s">
        <v>19</v>
      </c>
      <c r="R7" s="96" t="s">
        <v>20</v>
      </c>
      <c r="S7" s="96" t="s">
        <v>21</v>
      </c>
      <c r="T7" s="96" t="s">
        <v>22</v>
      </c>
      <c r="U7" s="96" t="s">
        <v>23</v>
      </c>
      <c r="V7" s="96" t="s">
        <v>24</v>
      </c>
      <c r="W7" s="96" t="s">
        <v>25</v>
      </c>
      <c r="X7" s="96" t="s">
        <v>26</v>
      </c>
      <c r="Y7" s="96" t="s">
        <v>27</v>
      </c>
      <c r="Z7" s="97">
        <v>2014</v>
      </c>
      <c r="AA7" s="97">
        <v>2015</v>
      </c>
      <c r="AB7" s="97">
        <v>2016</v>
      </c>
      <c r="AC7" s="97">
        <v>2017</v>
      </c>
      <c r="AD7" s="97">
        <v>2018</v>
      </c>
      <c r="AE7" s="98">
        <v>2019</v>
      </c>
    </row>
    <row r="8" spans="1:31" s="33" customFormat="1" ht="23.25" customHeight="1" x14ac:dyDescent="0.25">
      <c r="A8" s="99"/>
      <c r="B8" s="100"/>
      <c r="C8" s="101"/>
      <c r="D8" s="102" t="s">
        <v>76</v>
      </c>
      <c r="E8" s="103"/>
      <c r="F8" s="104">
        <v>1.1000000000000001</v>
      </c>
      <c r="G8" s="104">
        <v>1</v>
      </c>
      <c r="H8" s="104">
        <v>2.1</v>
      </c>
      <c r="I8" s="104">
        <v>0.5</v>
      </c>
      <c r="J8" s="104">
        <v>-1.6</v>
      </c>
      <c r="K8" s="104">
        <v>0.2</v>
      </c>
      <c r="L8" s="104">
        <v>2.1</v>
      </c>
      <c r="M8" s="104">
        <v>0.8</v>
      </c>
      <c r="N8" s="104">
        <v>1.6</v>
      </c>
      <c r="O8" s="104">
        <v>1.1000000000000001</v>
      </c>
      <c r="P8" s="104">
        <v>2.8</v>
      </c>
      <c r="Q8" s="104">
        <v>3.6</v>
      </c>
      <c r="R8" s="104">
        <v>4</v>
      </c>
      <c r="S8" s="104">
        <v>3.9</v>
      </c>
      <c r="T8" s="104">
        <v>1.9</v>
      </c>
      <c r="U8" s="104">
        <v>-2.7</v>
      </c>
      <c r="V8" s="104">
        <v>1.9</v>
      </c>
      <c r="W8" s="104">
        <v>2.1</v>
      </c>
      <c r="X8" s="105">
        <v>1</v>
      </c>
      <c r="Y8" s="104">
        <v>1.2</v>
      </c>
      <c r="Z8" s="104">
        <v>0.6</v>
      </c>
      <c r="AA8" s="104">
        <v>-0.1</v>
      </c>
      <c r="AB8" s="104">
        <v>-0.8</v>
      </c>
      <c r="AC8" s="104">
        <v>-0.1</v>
      </c>
      <c r="AD8" s="104">
        <v>-0.6</v>
      </c>
      <c r="AE8" s="106">
        <v>-1.2</v>
      </c>
    </row>
    <row r="9" spans="1:31" s="33" customFormat="1" ht="13.5" customHeight="1" x14ac:dyDescent="0.2">
      <c r="A9" s="99"/>
      <c r="B9" s="100"/>
      <c r="C9" s="101"/>
      <c r="D9" s="107"/>
      <c r="E9" s="107"/>
      <c r="F9" s="108"/>
      <c r="G9" s="108"/>
      <c r="H9" s="108"/>
      <c r="I9" s="108"/>
      <c r="J9" s="108"/>
      <c r="K9" s="108"/>
      <c r="L9" s="108"/>
      <c r="M9" s="108"/>
      <c r="N9" s="108"/>
      <c r="O9" s="108"/>
      <c r="P9" s="108"/>
      <c r="Q9" s="108"/>
      <c r="R9" s="108"/>
      <c r="S9" s="108"/>
      <c r="T9" s="109"/>
      <c r="U9" s="109"/>
      <c r="V9" s="109"/>
      <c r="W9" s="109"/>
      <c r="Z9" s="110"/>
    </row>
    <row r="10" spans="1:31" x14ac:dyDescent="0.35">
      <c r="A10" s="86">
        <v>5</v>
      </c>
      <c r="B10" s="87" t="s">
        <v>56</v>
      </c>
      <c r="D10" s="85"/>
      <c r="E10" s="85"/>
      <c r="F10" s="109"/>
      <c r="G10" s="109"/>
      <c r="H10" s="109"/>
      <c r="I10" s="109"/>
      <c r="J10" s="109"/>
      <c r="K10" s="109"/>
      <c r="L10" s="109"/>
      <c r="M10" s="109"/>
      <c r="N10" s="109"/>
      <c r="O10" s="109"/>
      <c r="P10" s="109"/>
      <c r="Q10" s="108"/>
      <c r="R10" s="108"/>
      <c r="S10" s="108"/>
      <c r="T10" s="85"/>
      <c r="U10" s="85"/>
      <c r="V10" s="85"/>
      <c r="W10" s="85"/>
      <c r="AA10" s="67"/>
      <c r="AB10" s="67"/>
    </row>
    <row r="11" spans="1:31" x14ac:dyDescent="0.35">
      <c r="C11" s="86"/>
      <c r="D11" s="85"/>
      <c r="E11" s="85"/>
      <c r="F11" s="109"/>
      <c r="G11" s="109"/>
      <c r="H11" s="109"/>
      <c r="I11" s="109"/>
      <c r="J11" s="109"/>
      <c r="K11" s="109"/>
      <c r="L11" s="109"/>
      <c r="M11" s="109"/>
      <c r="N11" s="109"/>
      <c r="O11" s="109"/>
      <c r="P11" s="109"/>
      <c r="Q11" s="108"/>
      <c r="R11" s="108"/>
      <c r="S11" s="108"/>
      <c r="T11" s="85"/>
      <c r="U11" s="85"/>
      <c r="V11" s="85"/>
      <c r="W11" s="85"/>
      <c r="AA11" s="67"/>
      <c r="AB11" s="67"/>
    </row>
    <row r="12" spans="1:31" x14ac:dyDescent="0.35">
      <c r="D12" s="85"/>
      <c r="E12" s="85"/>
      <c r="F12" s="109"/>
      <c r="G12" s="109"/>
      <c r="H12" s="109"/>
      <c r="I12" s="109"/>
      <c r="J12" s="109"/>
      <c r="K12" s="109"/>
      <c r="L12" s="109"/>
      <c r="M12" s="109"/>
      <c r="N12" s="109"/>
      <c r="O12" s="109"/>
      <c r="P12" s="109"/>
      <c r="Q12" s="109"/>
      <c r="R12" s="109"/>
      <c r="S12" s="109"/>
      <c r="T12" s="85"/>
      <c r="U12" s="85"/>
      <c r="V12" s="85"/>
      <c r="W12" s="85"/>
      <c r="AA12" s="67"/>
      <c r="AB12" s="67"/>
    </row>
    <row r="13" spans="1:31" x14ac:dyDescent="0.35">
      <c r="D13" s="85"/>
      <c r="E13" s="85"/>
      <c r="F13" s="109"/>
      <c r="G13" s="109"/>
      <c r="H13" s="109"/>
      <c r="I13" s="109"/>
      <c r="J13" s="109"/>
      <c r="K13" s="109"/>
      <c r="L13" s="109"/>
      <c r="M13" s="109"/>
      <c r="N13" s="111"/>
      <c r="O13" s="109"/>
      <c r="P13" s="109"/>
      <c r="Q13" s="109"/>
      <c r="R13" s="109"/>
      <c r="S13" s="109"/>
      <c r="T13" s="85"/>
      <c r="U13" s="85"/>
      <c r="V13" s="85"/>
      <c r="W13" s="85"/>
      <c r="AA13" s="67"/>
      <c r="AB13" s="67"/>
    </row>
    <row r="14" spans="1:31" x14ac:dyDescent="0.35">
      <c r="D14" s="85"/>
      <c r="E14" s="85"/>
      <c r="F14" s="109"/>
      <c r="G14" s="109"/>
      <c r="H14" s="109"/>
      <c r="I14" s="109"/>
      <c r="J14" s="109"/>
      <c r="K14" s="109"/>
      <c r="L14" s="109"/>
      <c r="M14" s="109"/>
      <c r="N14" s="109"/>
      <c r="O14" s="109"/>
      <c r="P14" s="109"/>
      <c r="Q14" s="109"/>
      <c r="R14" s="109"/>
      <c r="S14" s="109"/>
      <c r="T14" s="85"/>
      <c r="U14" s="85"/>
      <c r="V14" s="85"/>
      <c r="W14" s="85"/>
      <c r="AA14" s="67"/>
      <c r="AB14" s="67"/>
    </row>
    <row r="15" spans="1:31" x14ac:dyDescent="0.35">
      <c r="D15" s="85"/>
      <c r="E15" s="85"/>
      <c r="F15" s="109"/>
      <c r="G15" s="109"/>
      <c r="H15" s="109"/>
      <c r="I15" s="109"/>
      <c r="J15" s="109"/>
      <c r="K15" s="109"/>
      <c r="L15" s="109"/>
      <c r="M15" s="109"/>
      <c r="N15" s="112"/>
      <c r="O15" s="109"/>
      <c r="P15" s="109"/>
      <c r="Q15" s="109"/>
      <c r="R15" s="109"/>
      <c r="S15" s="109"/>
      <c r="T15" s="85"/>
      <c r="U15" s="85"/>
      <c r="V15" s="85"/>
      <c r="W15" s="85"/>
      <c r="Z15" s="12"/>
      <c r="AA15" s="67"/>
      <c r="AB15" s="67"/>
    </row>
    <row r="16" spans="1:31" x14ac:dyDescent="0.35">
      <c r="D16" s="85"/>
      <c r="E16" s="85"/>
      <c r="F16" s="109"/>
      <c r="G16" s="109"/>
      <c r="H16" s="109"/>
      <c r="I16" s="109"/>
      <c r="J16" s="109"/>
      <c r="K16" s="109"/>
      <c r="L16" s="109"/>
      <c r="M16" s="109"/>
      <c r="N16" s="112"/>
      <c r="O16" s="109"/>
      <c r="P16" s="109"/>
      <c r="Q16" s="109"/>
      <c r="R16" s="109"/>
      <c r="S16" s="109"/>
      <c r="T16" s="85"/>
      <c r="U16" s="85"/>
      <c r="V16" s="85"/>
      <c r="W16" s="85"/>
      <c r="Z16" s="12"/>
      <c r="AA16" s="67"/>
      <c r="AB16" s="67"/>
    </row>
    <row r="17" spans="1:30" x14ac:dyDescent="0.35">
      <c r="D17" s="85"/>
      <c r="E17" s="85"/>
      <c r="F17" s="109"/>
      <c r="G17" s="109"/>
      <c r="H17" s="109"/>
      <c r="I17" s="109"/>
      <c r="J17" s="109"/>
      <c r="K17" s="109"/>
      <c r="L17" s="109"/>
      <c r="M17" s="109"/>
      <c r="N17" s="85"/>
      <c r="O17" s="85"/>
      <c r="P17" s="85"/>
      <c r="Q17" s="85"/>
      <c r="R17" s="109"/>
      <c r="S17" s="109"/>
      <c r="T17" s="85"/>
      <c r="U17" s="85"/>
      <c r="V17" s="85"/>
      <c r="W17" s="85"/>
      <c r="AA17" s="67"/>
      <c r="AB17" s="67"/>
    </row>
    <row r="18" spans="1:30" x14ac:dyDescent="0.35">
      <c r="D18" s="85"/>
      <c r="E18" s="85"/>
      <c r="F18" s="109"/>
      <c r="G18" s="109"/>
      <c r="H18" s="109"/>
      <c r="I18" s="109"/>
      <c r="J18" s="109"/>
      <c r="K18" s="109"/>
      <c r="L18" s="109"/>
      <c r="M18" s="109"/>
      <c r="N18" s="109"/>
      <c r="O18" s="109"/>
      <c r="P18" s="109"/>
      <c r="Q18" s="109"/>
      <c r="R18" s="109"/>
      <c r="S18" s="109"/>
      <c r="T18" s="85"/>
      <c r="U18" s="85"/>
      <c r="V18" s="85"/>
      <c r="W18" s="85"/>
      <c r="AA18" s="67"/>
      <c r="AB18" s="67"/>
    </row>
    <row r="19" spans="1:30" x14ac:dyDescent="0.35">
      <c r="D19" s="85"/>
      <c r="E19" s="85"/>
      <c r="F19" s="109"/>
      <c r="G19" s="109"/>
      <c r="H19" s="109"/>
      <c r="I19" s="109"/>
      <c r="J19" s="109"/>
      <c r="K19" s="109"/>
      <c r="L19" s="109"/>
      <c r="M19" s="109"/>
      <c r="N19" s="109"/>
      <c r="O19" s="109"/>
      <c r="P19" s="109"/>
      <c r="Q19" s="109"/>
      <c r="R19" s="109"/>
      <c r="S19" s="109"/>
      <c r="T19" s="85"/>
      <c r="U19" s="85"/>
      <c r="V19" s="85"/>
      <c r="W19" s="85"/>
      <c r="AA19" s="67"/>
      <c r="AB19" s="67"/>
    </row>
    <row r="20" spans="1:30" x14ac:dyDescent="0.35">
      <c r="D20" s="85"/>
      <c r="E20" s="85"/>
      <c r="F20" s="109"/>
      <c r="G20" s="109"/>
      <c r="H20" s="109"/>
      <c r="I20" s="109"/>
      <c r="J20" s="109"/>
      <c r="K20" s="109"/>
      <c r="L20" s="109"/>
      <c r="M20" s="109"/>
      <c r="N20" s="109"/>
      <c r="O20" s="109"/>
      <c r="P20" s="109"/>
      <c r="Q20" s="109"/>
      <c r="R20" s="109"/>
      <c r="S20" s="109"/>
      <c r="T20" s="85"/>
      <c r="U20" s="85"/>
      <c r="V20" s="85"/>
      <c r="W20" s="85"/>
      <c r="AA20" s="67"/>
      <c r="AB20" s="67"/>
    </row>
    <row r="21" spans="1:30" x14ac:dyDescent="0.35">
      <c r="D21" s="85"/>
      <c r="E21" s="85"/>
      <c r="F21" s="85"/>
      <c r="G21" s="85"/>
      <c r="H21" s="85"/>
      <c r="I21" s="85"/>
      <c r="J21" s="85"/>
      <c r="K21" s="85"/>
      <c r="L21" s="85"/>
      <c r="M21" s="85"/>
      <c r="N21" s="85"/>
      <c r="O21" s="85"/>
      <c r="P21" s="85"/>
      <c r="Q21" s="85"/>
      <c r="R21" s="85"/>
      <c r="S21" s="85"/>
      <c r="T21" s="85"/>
      <c r="U21" s="85"/>
      <c r="V21" s="85"/>
      <c r="W21" s="85"/>
      <c r="AA21" s="67"/>
      <c r="AB21" s="67"/>
    </row>
    <row r="22" spans="1:30" x14ac:dyDescent="0.35">
      <c r="D22" s="85"/>
      <c r="E22" s="85"/>
      <c r="F22" s="85"/>
      <c r="G22" s="85"/>
      <c r="H22" s="85"/>
      <c r="I22" s="85"/>
      <c r="J22" s="85"/>
      <c r="K22" s="85"/>
      <c r="L22" s="85"/>
      <c r="M22" s="85"/>
      <c r="N22" s="85"/>
      <c r="O22" s="85"/>
      <c r="P22" s="85"/>
      <c r="Q22" s="85"/>
      <c r="R22" s="85"/>
      <c r="S22" s="85"/>
      <c r="T22" s="85"/>
      <c r="U22" s="85"/>
      <c r="V22" s="85"/>
      <c r="W22" s="85"/>
      <c r="AA22" s="67"/>
      <c r="AB22" s="67"/>
    </row>
    <row r="23" spans="1:30" x14ac:dyDescent="0.35">
      <c r="D23" s="85"/>
      <c r="E23" s="85"/>
      <c r="F23" s="85"/>
      <c r="G23" s="85"/>
      <c r="H23" s="85"/>
      <c r="I23" s="85"/>
      <c r="J23" s="85"/>
      <c r="K23" s="85"/>
      <c r="L23" s="85"/>
      <c r="M23" s="85"/>
      <c r="N23" s="85"/>
      <c r="O23" s="85"/>
      <c r="P23" s="85"/>
      <c r="Q23" s="85"/>
      <c r="R23" s="85"/>
      <c r="S23" s="85"/>
      <c r="T23" s="85"/>
      <c r="U23" s="85"/>
      <c r="V23" s="85"/>
      <c r="W23" s="85"/>
      <c r="AA23" s="67"/>
      <c r="AB23" s="67"/>
    </row>
    <row r="24" spans="1:30" x14ac:dyDescent="0.35">
      <c r="D24" s="85"/>
      <c r="E24" s="85"/>
      <c r="F24" s="85"/>
      <c r="G24" s="85"/>
      <c r="H24" s="85"/>
      <c r="I24" s="85"/>
      <c r="J24" s="85"/>
      <c r="K24" s="85"/>
      <c r="L24" s="85"/>
      <c r="M24" s="85"/>
      <c r="N24" s="85"/>
      <c r="O24" s="85"/>
      <c r="P24" s="85"/>
      <c r="Q24" s="85"/>
      <c r="R24" s="85"/>
      <c r="S24" s="85"/>
      <c r="T24" s="85"/>
      <c r="U24" s="85"/>
      <c r="V24" s="85"/>
      <c r="W24" s="85"/>
      <c r="AA24" s="67"/>
      <c r="AB24" s="67"/>
    </row>
    <row r="25" spans="1:30" x14ac:dyDescent="0.35">
      <c r="D25" s="85"/>
      <c r="E25" s="85"/>
      <c r="F25" s="85"/>
      <c r="G25" s="85"/>
      <c r="H25" s="85"/>
      <c r="I25" s="85"/>
      <c r="J25" s="85"/>
      <c r="K25" s="85"/>
      <c r="L25" s="85"/>
      <c r="M25" s="85"/>
      <c r="N25" s="85"/>
      <c r="O25" s="85"/>
      <c r="P25" s="85"/>
      <c r="Q25" s="85"/>
      <c r="R25" s="85"/>
      <c r="S25" s="85"/>
      <c r="T25" s="85"/>
      <c r="U25" s="85"/>
      <c r="V25" s="85"/>
      <c r="W25" s="85"/>
      <c r="AA25" s="67"/>
      <c r="AB25" s="67"/>
    </row>
    <row r="26" spans="1:30" x14ac:dyDescent="0.35">
      <c r="D26" s="85"/>
      <c r="E26" s="85"/>
      <c r="F26" s="85"/>
      <c r="G26" s="85"/>
      <c r="H26" s="85"/>
      <c r="I26" s="85"/>
      <c r="J26" s="85"/>
      <c r="K26" s="85"/>
      <c r="L26" s="85"/>
      <c r="M26" s="85"/>
      <c r="N26" s="85"/>
      <c r="O26" s="85"/>
      <c r="P26" s="85"/>
      <c r="Q26" s="85"/>
      <c r="R26" s="85"/>
      <c r="S26" s="85"/>
      <c r="T26" s="85"/>
      <c r="U26" s="85"/>
      <c r="V26" s="85"/>
      <c r="W26" s="85"/>
      <c r="AA26" s="67"/>
      <c r="AB26" s="67"/>
    </row>
    <row r="27" spans="1:30" x14ac:dyDescent="0.35">
      <c r="D27" s="85"/>
      <c r="E27" s="85"/>
      <c r="F27" s="85"/>
      <c r="G27" s="85"/>
      <c r="H27" s="85"/>
      <c r="I27" s="85"/>
      <c r="J27" s="85"/>
      <c r="K27" s="85"/>
      <c r="L27" s="85"/>
      <c r="M27" s="85"/>
      <c r="N27" s="85"/>
      <c r="O27" s="85"/>
      <c r="P27" s="85"/>
      <c r="Q27" s="85"/>
      <c r="R27" s="85"/>
      <c r="S27" s="85"/>
      <c r="T27" s="85"/>
      <c r="U27" s="85"/>
      <c r="V27" s="85"/>
      <c r="W27" s="85"/>
      <c r="AA27" s="67"/>
      <c r="AB27" s="67"/>
    </row>
    <row r="28" spans="1:30" x14ac:dyDescent="0.35">
      <c r="D28" s="85"/>
      <c r="E28" s="85"/>
      <c r="F28" s="85"/>
      <c r="G28" s="85"/>
      <c r="H28" s="85"/>
      <c r="I28" s="85"/>
      <c r="J28" s="85"/>
      <c r="K28" s="85"/>
      <c r="L28" s="85"/>
      <c r="M28" s="85"/>
      <c r="N28" s="85"/>
      <c r="O28" s="85"/>
      <c r="P28" s="85"/>
      <c r="Q28" s="85"/>
      <c r="R28" s="85"/>
      <c r="S28" s="85"/>
      <c r="T28" s="85"/>
      <c r="U28" s="85"/>
      <c r="V28" s="85"/>
      <c r="W28" s="85"/>
      <c r="AA28" s="67"/>
      <c r="AB28" s="67"/>
    </row>
    <row r="29" spans="1:30" ht="12.75" customHeight="1" x14ac:dyDescent="0.35">
      <c r="A29" s="86">
        <v>6</v>
      </c>
      <c r="B29" s="87" t="s">
        <v>58</v>
      </c>
      <c r="C29" s="86"/>
      <c r="D29" s="4642" t="s">
        <v>77</v>
      </c>
      <c r="E29" s="4643"/>
      <c r="F29" s="4643"/>
      <c r="G29" s="4643"/>
      <c r="H29" s="4643"/>
      <c r="I29" s="4643"/>
      <c r="J29" s="4643"/>
      <c r="K29" s="4643"/>
      <c r="L29" s="4643"/>
      <c r="M29" s="4643"/>
      <c r="N29" s="4643"/>
      <c r="O29" s="4643"/>
      <c r="P29" s="4643"/>
      <c r="Q29" s="4643"/>
      <c r="R29" s="4643"/>
      <c r="S29" s="4643"/>
      <c r="T29" s="4643"/>
      <c r="U29" s="4643"/>
      <c r="V29" s="4643"/>
      <c r="W29" s="4643"/>
      <c r="X29" s="4643"/>
      <c r="Y29" s="4643"/>
      <c r="Z29" s="4643"/>
      <c r="AA29" s="4643"/>
      <c r="AB29" s="4643"/>
      <c r="AC29" s="4643"/>
      <c r="AD29" s="4644"/>
    </row>
    <row r="30" spans="1:30" ht="13.5" customHeight="1" x14ac:dyDescent="0.35">
      <c r="A30" s="113">
        <v>7</v>
      </c>
      <c r="B30" s="114" t="s">
        <v>60</v>
      </c>
      <c r="C30" s="113"/>
      <c r="D30" s="4642" t="s">
        <v>78</v>
      </c>
      <c r="E30" s="4643"/>
      <c r="F30" s="4643"/>
      <c r="G30" s="4643"/>
      <c r="H30" s="4643"/>
      <c r="I30" s="4643"/>
      <c r="J30" s="4643"/>
      <c r="K30" s="4643"/>
      <c r="L30" s="4643"/>
      <c r="M30" s="4643"/>
      <c r="N30" s="4643"/>
      <c r="O30" s="4643"/>
      <c r="P30" s="4643"/>
      <c r="Q30" s="4643"/>
      <c r="R30" s="4643"/>
      <c r="S30" s="4643"/>
      <c r="T30" s="4643"/>
      <c r="U30" s="4643"/>
      <c r="V30" s="4643"/>
      <c r="W30" s="4643"/>
      <c r="X30" s="4643"/>
      <c r="Y30" s="4643"/>
      <c r="Z30" s="4643"/>
      <c r="AA30" s="4643"/>
      <c r="AB30" s="4643"/>
      <c r="AC30" s="4643"/>
      <c r="AD30" s="4644"/>
    </row>
    <row r="31" spans="1:30" ht="12.75" customHeight="1" x14ac:dyDescent="0.35">
      <c r="A31" s="86">
        <v>8</v>
      </c>
      <c r="B31" s="87" t="s">
        <v>62</v>
      </c>
      <c r="C31" s="86"/>
      <c r="D31" s="4642" t="s">
        <v>79</v>
      </c>
      <c r="E31" s="4643"/>
      <c r="F31" s="4643"/>
      <c r="G31" s="4643"/>
      <c r="H31" s="4643"/>
      <c r="I31" s="4643"/>
      <c r="J31" s="4643"/>
      <c r="K31" s="4643"/>
      <c r="L31" s="4643"/>
      <c r="M31" s="4643"/>
      <c r="N31" s="4643"/>
      <c r="O31" s="4643"/>
      <c r="P31" s="4643"/>
      <c r="Q31" s="4643"/>
      <c r="R31" s="4643"/>
      <c r="S31" s="4643"/>
      <c r="T31" s="4643"/>
      <c r="U31" s="4643"/>
      <c r="V31" s="4643"/>
      <c r="W31" s="4643"/>
      <c r="X31" s="4643"/>
      <c r="Y31" s="4643"/>
      <c r="Z31" s="4643"/>
      <c r="AA31" s="4643"/>
      <c r="AB31" s="4643"/>
      <c r="AC31" s="4643"/>
      <c r="AD31" s="4644"/>
    </row>
    <row r="32" spans="1:30" hidden="1" x14ac:dyDescent="0.35">
      <c r="A32" s="86">
        <v>10</v>
      </c>
      <c r="B32" s="87" t="s">
        <v>62</v>
      </c>
      <c r="D32" s="4645" t="s">
        <v>80</v>
      </c>
      <c r="E32" s="4646"/>
      <c r="F32" s="4646"/>
      <c r="G32" s="4646"/>
      <c r="H32" s="4646"/>
      <c r="I32" s="4646"/>
      <c r="J32" s="4646"/>
      <c r="K32" s="4646"/>
      <c r="L32" s="4646"/>
      <c r="M32" s="4646"/>
      <c r="N32" s="4646"/>
      <c r="O32" s="4646"/>
      <c r="P32" s="4646"/>
      <c r="Q32" s="4646"/>
      <c r="R32" s="4646"/>
      <c r="S32" s="4646"/>
      <c r="T32" s="4647"/>
      <c r="U32" s="115"/>
      <c r="V32" s="115"/>
      <c r="W32" s="115"/>
    </row>
    <row r="33" spans="2:28" hidden="1" x14ac:dyDescent="0.35">
      <c r="B33" s="87" t="s">
        <v>62</v>
      </c>
    </row>
    <row r="34" spans="2:28" hidden="1" x14ac:dyDescent="0.35">
      <c r="B34" s="87" t="s">
        <v>62</v>
      </c>
    </row>
    <row r="35" spans="2:28" hidden="1" x14ac:dyDescent="0.35">
      <c r="B35" s="87" t="s">
        <v>62</v>
      </c>
      <c r="AB35" s="116"/>
    </row>
    <row r="36" spans="2:28" hidden="1" x14ac:dyDescent="0.35">
      <c r="B36" s="87" t="s">
        <v>62</v>
      </c>
    </row>
    <row r="37" spans="2:28" hidden="1" x14ac:dyDescent="0.35">
      <c r="B37" s="87" t="s">
        <v>62</v>
      </c>
    </row>
    <row r="38" spans="2:28" hidden="1" x14ac:dyDescent="0.35">
      <c r="B38" s="87" t="s">
        <v>62</v>
      </c>
    </row>
    <row r="39" spans="2:28" hidden="1" x14ac:dyDescent="0.35">
      <c r="B39" s="87" t="s">
        <v>62</v>
      </c>
    </row>
    <row r="40" spans="2:28" hidden="1" x14ac:dyDescent="0.35">
      <c r="B40" s="87" t="s">
        <v>62</v>
      </c>
    </row>
    <row r="41" spans="2:28" hidden="1" x14ac:dyDescent="0.35">
      <c r="B41" s="87" t="s">
        <v>62</v>
      </c>
    </row>
    <row r="42" spans="2:28" hidden="1" x14ac:dyDescent="0.35">
      <c r="B42" s="87" t="s">
        <v>62</v>
      </c>
    </row>
    <row r="43" spans="2:28" hidden="1" x14ac:dyDescent="0.35">
      <c r="B43" s="87" t="s">
        <v>62</v>
      </c>
    </row>
    <row r="44" spans="2:28" hidden="1" x14ac:dyDescent="0.35">
      <c r="B44" s="87" t="s">
        <v>62</v>
      </c>
    </row>
    <row r="45" spans="2:28" hidden="1" x14ac:dyDescent="0.35">
      <c r="B45" s="87" t="s">
        <v>62</v>
      </c>
    </row>
    <row r="46" spans="2:28" hidden="1" x14ac:dyDescent="0.35">
      <c r="B46" s="87" t="s">
        <v>62</v>
      </c>
    </row>
    <row r="47" spans="2:28" hidden="1" x14ac:dyDescent="0.35">
      <c r="B47" s="87" t="s">
        <v>62</v>
      </c>
    </row>
    <row r="48" spans="2:28" hidden="1" x14ac:dyDescent="0.35">
      <c r="B48" s="87" t="s">
        <v>62</v>
      </c>
    </row>
    <row r="49" spans="1:30" hidden="1" x14ac:dyDescent="0.35">
      <c r="B49" s="87" t="s">
        <v>62</v>
      </c>
    </row>
    <row r="50" spans="1:30" hidden="1" x14ac:dyDescent="0.35">
      <c r="B50" s="87" t="s">
        <v>62</v>
      </c>
    </row>
    <row r="51" spans="1:30" hidden="1" x14ac:dyDescent="0.35">
      <c r="B51" s="87" t="s">
        <v>62</v>
      </c>
    </row>
    <row r="52" spans="1:30" hidden="1" x14ac:dyDescent="0.35">
      <c r="B52" s="87" t="s">
        <v>62</v>
      </c>
    </row>
    <row r="53" spans="1:30" hidden="1" x14ac:dyDescent="0.35">
      <c r="B53" s="87" t="s">
        <v>62</v>
      </c>
    </row>
    <row r="54" spans="1:30" hidden="1" x14ac:dyDescent="0.35">
      <c r="B54" s="87" t="s">
        <v>62</v>
      </c>
    </row>
    <row r="55" spans="1:30" hidden="1" x14ac:dyDescent="0.35">
      <c r="B55" s="87" t="s">
        <v>62</v>
      </c>
    </row>
    <row r="56" spans="1:30" hidden="1" x14ac:dyDescent="0.35">
      <c r="B56" s="87" t="s">
        <v>62</v>
      </c>
    </row>
    <row r="57" spans="1:30" hidden="1" x14ac:dyDescent="0.35">
      <c r="B57" s="87" t="s">
        <v>62</v>
      </c>
    </row>
    <row r="58" spans="1:30" hidden="1" x14ac:dyDescent="0.35">
      <c r="B58" s="87" t="s">
        <v>62</v>
      </c>
    </row>
    <row r="59" spans="1:30" hidden="1" x14ac:dyDescent="0.35">
      <c r="B59" s="87" t="s">
        <v>62</v>
      </c>
    </row>
    <row r="60" spans="1:30" hidden="1" x14ac:dyDescent="0.35">
      <c r="B60" s="87" t="s">
        <v>62</v>
      </c>
    </row>
    <row r="61" spans="1:30" x14ac:dyDescent="0.35">
      <c r="A61" s="86">
        <v>9</v>
      </c>
      <c r="B61" s="87" t="s">
        <v>64</v>
      </c>
      <c r="D61" s="4642" t="s">
        <v>81</v>
      </c>
      <c r="E61" s="4643"/>
      <c r="F61" s="4643"/>
      <c r="G61" s="4643"/>
      <c r="H61" s="4643"/>
      <c r="I61" s="4643"/>
      <c r="J61" s="4643"/>
      <c r="K61" s="4643"/>
      <c r="L61" s="4643"/>
      <c r="M61" s="4643"/>
      <c r="N61" s="4643"/>
      <c r="O61" s="4643"/>
      <c r="P61" s="4643"/>
      <c r="Q61" s="4643"/>
      <c r="R61" s="4643"/>
      <c r="S61" s="4643"/>
      <c r="T61" s="4643"/>
      <c r="U61" s="4643"/>
      <c r="V61" s="4643"/>
      <c r="W61" s="4643"/>
      <c r="X61" s="4643"/>
      <c r="Y61" s="4643"/>
      <c r="Z61" s="4643"/>
      <c r="AA61" s="4643"/>
      <c r="AB61" s="4643"/>
      <c r="AC61" s="4643"/>
      <c r="AD61" s="4644"/>
    </row>
    <row r="62" spans="1:30" x14ac:dyDescent="0.35">
      <c r="A62" s="4"/>
      <c r="B62" s="4"/>
    </row>
    <row r="64" spans="1:30" x14ac:dyDescent="0.35">
      <c r="C64" s="117"/>
      <c r="D64" s="59">
        <v>1.092341810975328</v>
      </c>
      <c r="E64" s="59">
        <v>0.97551868188288093</v>
      </c>
      <c r="F64" s="59">
        <v>2.1401992280490889</v>
      </c>
      <c r="G64" s="59">
        <v>0.51365600887018914</v>
      </c>
      <c r="H64" s="59">
        <v>-1.5758667266996818</v>
      </c>
      <c r="I64" s="59">
        <v>0.24245196706313976</v>
      </c>
      <c r="J64" s="59">
        <v>2.0741112581572629</v>
      </c>
      <c r="K64" s="59">
        <v>0.76003129540627157</v>
      </c>
      <c r="L64" s="59">
        <v>1.603993344425958</v>
      </c>
      <c r="M64" s="59">
        <v>1.0677322153805902</v>
      </c>
      <c r="N64" s="59">
        <v>2.847451768315068</v>
      </c>
      <c r="O64" s="59">
        <v>3.6340720512551217</v>
      </c>
      <c r="P64" s="59">
        <v>4.0458092632005727</v>
      </c>
      <c r="Q64" s="59">
        <v>3.9021254212853851</v>
      </c>
      <c r="R64" s="59">
        <v>1.8524768440394412</v>
      </c>
      <c r="S64" s="59">
        <v>-2.7318581790066632</v>
      </c>
      <c r="T64" s="59">
        <v>1.8641886521064466</v>
      </c>
      <c r="U64" s="59">
        <v>2.0567415417200863</v>
      </c>
      <c r="V64" s="59">
        <v>1.0704533042053432</v>
      </c>
      <c r="W64" s="59">
        <v>0.94744046975756557</v>
      </c>
      <c r="X64" s="59"/>
      <c r="Y64" s="59"/>
    </row>
    <row r="66" spans="7:10" x14ac:dyDescent="0.35">
      <c r="G66" s="118"/>
      <c r="I66" s="119"/>
      <c r="J66" s="67"/>
    </row>
    <row r="67" spans="7:10" x14ac:dyDescent="0.35">
      <c r="G67" s="118"/>
      <c r="I67" s="119"/>
      <c r="J67" s="67"/>
    </row>
    <row r="68" spans="7:10" x14ac:dyDescent="0.35">
      <c r="G68" s="118"/>
      <c r="I68" s="119"/>
      <c r="J68" s="67"/>
    </row>
    <row r="69" spans="7:10" x14ac:dyDescent="0.35">
      <c r="G69" s="118"/>
      <c r="I69" s="119"/>
      <c r="J69" s="67"/>
    </row>
    <row r="70" spans="7:10" x14ac:dyDescent="0.35">
      <c r="G70" s="118"/>
      <c r="I70" s="119"/>
      <c r="J70" s="67"/>
    </row>
    <row r="71" spans="7:10" x14ac:dyDescent="0.35">
      <c r="G71" s="118"/>
      <c r="I71" s="119"/>
      <c r="J71" s="67"/>
    </row>
    <row r="72" spans="7:10" x14ac:dyDescent="0.35">
      <c r="G72" s="118"/>
      <c r="I72" s="119"/>
      <c r="J72" s="67"/>
    </row>
    <row r="73" spans="7:10" x14ac:dyDescent="0.35">
      <c r="G73" s="118"/>
      <c r="I73" s="119"/>
      <c r="J73" s="67"/>
    </row>
    <row r="74" spans="7:10" x14ac:dyDescent="0.35">
      <c r="G74" s="118"/>
      <c r="I74" s="119"/>
      <c r="J74" s="67"/>
    </row>
    <row r="75" spans="7:10" x14ac:dyDescent="0.35">
      <c r="G75" s="118"/>
      <c r="I75" s="119"/>
      <c r="J75" s="67"/>
    </row>
    <row r="76" spans="7:10" x14ac:dyDescent="0.35">
      <c r="G76" s="118"/>
      <c r="I76" s="119"/>
      <c r="J76" s="67"/>
    </row>
    <row r="77" spans="7:10" x14ac:dyDescent="0.35">
      <c r="G77" s="118"/>
      <c r="I77" s="119"/>
      <c r="J77" s="67"/>
    </row>
    <row r="78" spans="7:10" x14ac:dyDescent="0.35">
      <c r="G78" s="118"/>
      <c r="I78" s="119"/>
      <c r="J78" s="67"/>
    </row>
    <row r="79" spans="7:10" x14ac:dyDescent="0.35">
      <c r="G79" s="118"/>
      <c r="I79" s="119"/>
      <c r="J79" s="67"/>
    </row>
    <row r="80" spans="7:10" x14ac:dyDescent="0.35">
      <c r="G80" s="118"/>
      <c r="I80" s="119"/>
      <c r="J80" s="67"/>
    </row>
    <row r="81" spans="7:10" x14ac:dyDescent="0.35">
      <c r="G81" s="118"/>
      <c r="I81" s="119"/>
      <c r="J81" s="67"/>
    </row>
    <row r="82" spans="7:10" x14ac:dyDescent="0.35">
      <c r="G82" s="118"/>
      <c r="I82" s="119"/>
      <c r="J82" s="67"/>
    </row>
    <row r="83" spans="7:10" x14ac:dyDescent="0.35">
      <c r="G83" s="118"/>
      <c r="I83" s="119"/>
      <c r="J83" s="67"/>
    </row>
    <row r="84" spans="7:10" x14ac:dyDescent="0.35">
      <c r="G84" s="118"/>
      <c r="I84" s="119"/>
      <c r="J84" s="67"/>
    </row>
    <row r="85" spans="7:10" x14ac:dyDescent="0.35">
      <c r="G85" s="118"/>
      <c r="I85" s="119"/>
      <c r="J85" s="67"/>
    </row>
    <row r="86" spans="7:10" x14ac:dyDescent="0.35">
      <c r="G86" s="118"/>
      <c r="I86" s="119"/>
      <c r="J86" s="67"/>
    </row>
    <row r="87" spans="7:10" x14ac:dyDescent="0.35">
      <c r="I87" s="119"/>
      <c r="J87" s="67"/>
    </row>
  </sheetData>
  <mergeCells count="9">
    <mergeCell ref="D31:AD31"/>
    <mergeCell ref="D32:T32"/>
    <mergeCell ref="D61:AD61"/>
    <mergeCell ref="D2:AD2"/>
    <mergeCell ref="D3:AD3"/>
    <mergeCell ref="D4:AD4"/>
    <mergeCell ref="D5:AD5"/>
    <mergeCell ref="D29:AD29"/>
    <mergeCell ref="D30:AD30"/>
  </mergeCells>
  <pageMargins left="0.74803149606299202" right="0.74803149606299202" top="0.98425196850393704" bottom="0.98425196850393704" header="0.511811023622047" footer="0.511811023622047"/>
  <pageSetup paperSize="9" scale="5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26"/>
  <sheetViews>
    <sheetView showGridLines="0" view="pageBreakPreview" topLeftCell="B1" zoomScale="130" zoomScaleNormal="100" zoomScaleSheetLayoutView="130" workbookViewId="0">
      <selection activeCell="G14" sqref="G14"/>
    </sheetView>
  </sheetViews>
  <sheetFormatPr defaultColWidth="9.08984375" defaultRowHeight="14" x14ac:dyDescent="0.3"/>
  <cols>
    <col min="1" max="1" width="9.08984375" style="1318"/>
    <col min="2" max="2" width="11.26953125" style="1318" customWidth="1"/>
    <col min="3" max="3" width="9.08984375" style="1318"/>
    <col min="4" max="4" width="15.26953125" style="1318" customWidth="1"/>
    <col min="5" max="16384" width="9.08984375" style="1318"/>
  </cols>
  <sheetData>
    <row r="1" spans="1:14" s="1313" customFormat="1" ht="12.75" customHeight="1" x14ac:dyDescent="0.3">
      <c r="A1" s="1312">
        <v>1</v>
      </c>
      <c r="B1" s="1312" t="s">
        <v>487</v>
      </c>
      <c r="C1" s="1312">
        <v>20</v>
      </c>
      <c r="D1" s="4738" t="s">
        <v>488</v>
      </c>
      <c r="E1" s="4739"/>
      <c r="F1" s="4739"/>
      <c r="G1" s="4739"/>
      <c r="H1" s="4739"/>
      <c r="I1" s="4739"/>
      <c r="J1" s="4739"/>
      <c r="K1" s="4739"/>
      <c r="L1" s="4739"/>
      <c r="M1" s="4739"/>
      <c r="N1" s="4739"/>
    </row>
    <row r="2" spans="1:14" s="1313" customFormat="1" ht="12.75" customHeight="1" x14ac:dyDescent="0.3">
      <c r="A2" s="1312">
        <v>2</v>
      </c>
      <c r="B2" s="1312" t="s">
        <v>489</v>
      </c>
      <c r="C2" s="1312"/>
      <c r="D2" s="4738" t="s">
        <v>490</v>
      </c>
      <c r="E2" s="4739"/>
      <c r="F2" s="4739"/>
      <c r="G2" s="4739"/>
      <c r="H2" s="4739"/>
      <c r="I2" s="4739"/>
      <c r="J2" s="4739"/>
      <c r="K2" s="4739"/>
      <c r="L2" s="4739"/>
      <c r="M2" s="4739"/>
      <c r="N2" s="4739"/>
    </row>
    <row r="3" spans="1:14" s="1313" customFormat="1" ht="12.75" customHeight="1" x14ac:dyDescent="0.3">
      <c r="A3" s="1312">
        <v>3</v>
      </c>
      <c r="B3" s="1312" t="s">
        <v>4</v>
      </c>
      <c r="C3" s="1312"/>
      <c r="D3" s="4738" t="s">
        <v>491</v>
      </c>
      <c r="E3" s="4740"/>
      <c r="F3" s="4740"/>
      <c r="G3" s="4740"/>
      <c r="H3" s="4740"/>
      <c r="I3" s="4740"/>
      <c r="J3" s="4740"/>
      <c r="K3" s="4740"/>
      <c r="L3" s="4740"/>
      <c r="M3" s="4740"/>
      <c r="N3" s="4740"/>
    </row>
    <row r="4" spans="1:14" s="1313" customFormat="1" ht="12.75" customHeight="1" x14ac:dyDescent="0.3">
      <c r="A4" s="1312"/>
      <c r="B4" s="1312"/>
      <c r="C4" s="1312"/>
      <c r="D4" s="1314"/>
      <c r="E4" s="1315"/>
      <c r="F4" s="1315"/>
      <c r="G4" s="1315"/>
      <c r="H4" s="1315"/>
      <c r="I4" s="1315"/>
      <c r="J4" s="1315"/>
      <c r="K4" s="1315"/>
      <c r="L4" s="1315"/>
      <c r="M4" s="1315"/>
      <c r="N4" s="1315"/>
    </row>
    <row r="5" spans="1:14" s="1313" customFormat="1" x14ac:dyDescent="0.3">
      <c r="A5" s="1312">
        <v>4</v>
      </c>
      <c r="B5" s="1312" t="s">
        <v>6</v>
      </c>
      <c r="C5" s="1316"/>
      <c r="D5" s="1317"/>
      <c r="E5" s="1317"/>
      <c r="F5" s="1317"/>
      <c r="G5" s="1317"/>
      <c r="H5" s="1317"/>
      <c r="I5" s="1317"/>
      <c r="J5" s="1317"/>
      <c r="K5" s="1317"/>
      <c r="L5" s="1317"/>
      <c r="M5" s="1317"/>
      <c r="N5" s="1317"/>
    </row>
    <row r="6" spans="1:14" s="1313" customFormat="1" x14ac:dyDescent="0.3">
      <c r="A6" s="1312"/>
      <c r="B6" s="4741" t="s">
        <v>492</v>
      </c>
      <c r="C6" s="4742"/>
      <c r="D6" s="4742"/>
      <c r="E6" s="4742"/>
      <c r="F6" s="4742"/>
      <c r="G6" s="4742"/>
      <c r="H6" s="4742"/>
      <c r="I6" s="4742"/>
      <c r="J6" s="4742"/>
      <c r="K6" s="4742"/>
      <c r="L6" s="4742"/>
      <c r="M6" s="4742"/>
      <c r="N6" s="4742"/>
    </row>
    <row r="7" spans="1:14" x14ac:dyDescent="0.3">
      <c r="D7" s="4743" t="s">
        <v>424</v>
      </c>
      <c r="E7" s="4744" t="s">
        <v>493</v>
      </c>
      <c r="F7" s="4744"/>
      <c r="G7" s="4744"/>
      <c r="H7" s="4744" t="s">
        <v>494</v>
      </c>
      <c r="I7" s="4744"/>
      <c r="J7" s="4744"/>
      <c r="K7" s="4744" t="s">
        <v>495</v>
      </c>
      <c r="L7" s="4744"/>
      <c r="M7" s="4744"/>
    </row>
    <row r="8" spans="1:14" x14ac:dyDescent="0.3">
      <c r="D8" s="4743"/>
      <c r="E8" s="1319">
        <v>2001</v>
      </c>
      <c r="F8" s="1319">
        <v>2011</v>
      </c>
      <c r="G8" s="1319">
        <v>2016</v>
      </c>
      <c r="H8" s="1319">
        <v>2001</v>
      </c>
      <c r="I8" s="1319">
        <v>2011</v>
      </c>
      <c r="J8" s="1319">
        <v>2016</v>
      </c>
      <c r="K8" s="1319">
        <v>2001</v>
      </c>
      <c r="L8" s="1319">
        <v>2011</v>
      </c>
      <c r="M8" s="1319">
        <v>2016</v>
      </c>
    </row>
    <row r="9" spans="1:14" x14ac:dyDescent="0.3">
      <c r="D9" s="1320"/>
      <c r="E9" s="1320"/>
      <c r="F9" s="1320"/>
      <c r="G9" s="1320"/>
      <c r="H9" s="1320"/>
      <c r="I9" s="1320"/>
      <c r="J9" s="1320"/>
      <c r="K9" s="1320"/>
      <c r="L9" s="1320"/>
      <c r="M9" s="1320"/>
    </row>
    <row r="10" spans="1:14" x14ac:dyDescent="0.3">
      <c r="D10" s="1319" t="s">
        <v>496</v>
      </c>
      <c r="E10" s="1320">
        <v>17.899999999999999</v>
      </c>
      <c r="F10" s="1321">
        <v>8</v>
      </c>
      <c r="G10" s="1321">
        <v>7.0449623858297281</v>
      </c>
      <c r="H10" s="1320">
        <v>43.9</v>
      </c>
      <c r="I10" s="1320">
        <v>42.3</v>
      </c>
      <c r="J10" s="1321">
        <v>42.801735200319925</v>
      </c>
      <c r="K10" s="1320">
        <v>0.08</v>
      </c>
      <c r="L10" s="1320">
        <v>0.03</v>
      </c>
      <c r="M10" s="1322">
        <v>3.0153661453449811E-2</v>
      </c>
    </row>
    <row r="11" spans="1:14" x14ac:dyDescent="0.3">
      <c r="D11" s="1320"/>
      <c r="E11" s="1320"/>
      <c r="F11" s="1320"/>
      <c r="G11" s="1321"/>
      <c r="H11" s="1320"/>
      <c r="I11" s="1320"/>
      <c r="J11" s="1321"/>
      <c r="K11" s="1320"/>
      <c r="L11" s="1320"/>
      <c r="M11" s="1323"/>
    </row>
    <row r="12" spans="1:14" x14ac:dyDescent="0.3">
      <c r="D12" s="1320" t="s">
        <v>401</v>
      </c>
      <c r="E12" s="1320">
        <v>6.7</v>
      </c>
      <c r="F12" s="1320">
        <v>3.6</v>
      </c>
      <c r="G12" s="1321">
        <v>2.6842853822174018</v>
      </c>
      <c r="H12" s="1320">
        <v>44.9</v>
      </c>
      <c r="I12" s="1320">
        <v>42.6</v>
      </c>
      <c r="J12" s="1321">
        <v>40.113675284940811</v>
      </c>
      <c r="K12" s="1320">
        <v>0.03</v>
      </c>
      <c r="L12" s="1320">
        <v>0.02</v>
      </c>
      <c r="M12" s="1323">
        <v>1.076765521943821E-2</v>
      </c>
    </row>
    <row r="13" spans="1:14" x14ac:dyDescent="0.3">
      <c r="D13" s="1320" t="s">
        <v>402</v>
      </c>
      <c r="E13" s="1320">
        <v>30.2</v>
      </c>
      <c r="F13" s="1320">
        <v>14.4</v>
      </c>
      <c r="G13" s="1321">
        <v>12.671609401957973</v>
      </c>
      <c r="H13" s="1320">
        <v>43.7</v>
      </c>
      <c r="I13" s="1320">
        <v>41.9</v>
      </c>
      <c r="J13" s="1321">
        <v>43.266343684220146</v>
      </c>
      <c r="K13" s="1320">
        <v>0.13</v>
      </c>
      <c r="L13" s="1320">
        <v>0.06</v>
      </c>
      <c r="M13" s="1323">
        <v>5.4825420741730892E-2</v>
      </c>
    </row>
    <row r="14" spans="1:14" x14ac:dyDescent="0.3">
      <c r="D14" s="1320" t="s">
        <v>403</v>
      </c>
      <c r="E14" s="1320">
        <v>11.3</v>
      </c>
      <c r="F14" s="1320">
        <v>7.1</v>
      </c>
      <c r="G14" s="1321">
        <v>6.6025349770142583</v>
      </c>
      <c r="H14" s="1320">
        <v>42.3</v>
      </c>
      <c r="I14" s="1320">
        <v>42.1</v>
      </c>
      <c r="J14" s="1321">
        <v>42.011215822566491</v>
      </c>
      <c r="K14" s="1320">
        <v>0.05</v>
      </c>
      <c r="L14" s="1320">
        <v>0.03</v>
      </c>
      <c r="M14" s="1323">
        <v>2.7738052189539009E-2</v>
      </c>
    </row>
    <row r="15" spans="1:14" x14ac:dyDescent="0.3">
      <c r="D15" s="1320" t="s">
        <v>404</v>
      </c>
      <c r="E15" s="1320">
        <v>17.399999999999999</v>
      </c>
      <c r="F15" s="1320">
        <v>5.5</v>
      </c>
      <c r="G15" s="1321">
        <v>5.4825660620129408</v>
      </c>
      <c r="H15" s="1320">
        <v>44.3</v>
      </c>
      <c r="I15" s="1320">
        <v>42.2</v>
      </c>
      <c r="J15" s="1321">
        <v>41.698147888744501</v>
      </c>
      <c r="K15" s="1320">
        <v>0.08</v>
      </c>
      <c r="L15" s="1320">
        <v>0.02</v>
      </c>
      <c r="M15" s="1323">
        <v>2.2861285046362718E-2</v>
      </c>
    </row>
    <row r="16" spans="1:14" x14ac:dyDescent="0.3">
      <c r="D16" s="1320" t="s">
        <v>497</v>
      </c>
      <c r="E16" s="1320">
        <v>22.3</v>
      </c>
      <c r="F16" s="1320">
        <v>10.9</v>
      </c>
      <c r="G16" s="1321">
        <v>7.6568917534209717</v>
      </c>
      <c r="H16" s="1320">
        <v>43.9</v>
      </c>
      <c r="I16" s="1320">
        <v>42</v>
      </c>
      <c r="J16" s="1321">
        <v>42.548142231768203</v>
      </c>
      <c r="K16" s="1323">
        <v>0.1</v>
      </c>
      <c r="L16" s="1320">
        <v>0.05</v>
      </c>
      <c r="M16" s="1323">
        <v>3.2578651937780853E-2</v>
      </c>
    </row>
    <row r="17" spans="1:14" x14ac:dyDescent="0.3">
      <c r="D17" s="1320" t="s">
        <v>406</v>
      </c>
      <c r="E17" s="1320">
        <v>18.8</v>
      </c>
      <c r="F17" s="1320">
        <v>9.1999999999999993</v>
      </c>
      <c r="G17" s="1321">
        <v>8.81991871038759</v>
      </c>
      <c r="H17" s="1320">
        <v>43.4</v>
      </c>
      <c r="I17" s="1320">
        <v>42</v>
      </c>
      <c r="J17" s="1321">
        <v>42.502593134141947</v>
      </c>
      <c r="K17" s="1320">
        <v>0.08</v>
      </c>
      <c r="L17" s="1320">
        <v>0.04</v>
      </c>
      <c r="M17" s="1323">
        <v>3.7486941642380964E-2</v>
      </c>
    </row>
    <row r="18" spans="1:14" x14ac:dyDescent="0.3">
      <c r="D18" s="1320" t="s">
        <v>407</v>
      </c>
      <c r="E18" s="1320">
        <v>10.5</v>
      </c>
      <c r="F18" s="1320">
        <v>4.8</v>
      </c>
      <c r="G18" s="1321">
        <v>4.6401076115850755</v>
      </c>
      <c r="H18" s="1320">
        <v>45</v>
      </c>
      <c r="I18" s="1320">
        <v>43.8</v>
      </c>
      <c r="J18" s="1321">
        <v>44.120479714121139</v>
      </c>
      <c r="K18" s="1320">
        <v>0.05</v>
      </c>
      <c r="L18" s="1320">
        <v>0.02</v>
      </c>
      <c r="M18" s="1323">
        <v>2.0472377374827839E-2</v>
      </c>
    </row>
    <row r="19" spans="1:14" x14ac:dyDescent="0.3">
      <c r="D19" s="1320" t="s">
        <v>408</v>
      </c>
      <c r="E19" s="1320">
        <v>18.8</v>
      </c>
      <c r="F19" s="1320">
        <v>7.9</v>
      </c>
      <c r="G19" s="1321">
        <v>7.7807224831877422</v>
      </c>
      <c r="H19" s="1320">
        <v>43.2</v>
      </c>
      <c r="I19" s="1320">
        <v>41.8</v>
      </c>
      <c r="J19" s="1321">
        <v>42.714685255936061</v>
      </c>
      <c r="K19" s="1320">
        <v>0.08</v>
      </c>
      <c r="L19" s="1320">
        <v>0.03</v>
      </c>
      <c r="M19" s="1323">
        <v>3.3235111193314966E-2</v>
      </c>
    </row>
    <row r="20" spans="1:14" x14ac:dyDescent="0.3">
      <c r="D20" s="1320" t="s">
        <v>409</v>
      </c>
      <c r="E20" s="1320">
        <v>21.8</v>
      </c>
      <c r="F20" s="1320">
        <v>10.1</v>
      </c>
      <c r="G20" s="1321">
        <v>11.485208117514787</v>
      </c>
      <c r="H20" s="1320">
        <v>43.5</v>
      </c>
      <c r="I20" s="1320">
        <v>41.6</v>
      </c>
      <c r="J20" s="1321">
        <v>42.285579210127537</v>
      </c>
      <c r="K20" s="1320">
        <v>0.09</v>
      </c>
      <c r="L20" s="1320">
        <v>0.04</v>
      </c>
      <c r="M20" s="1323">
        <v>4.8565867759797134E-2</v>
      </c>
    </row>
    <row r="23" spans="1:14" x14ac:dyDescent="0.3">
      <c r="A23" s="1312">
        <v>5</v>
      </c>
      <c r="B23" s="1312" t="s">
        <v>58</v>
      </c>
      <c r="C23" s="1324"/>
      <c r="D23" s="4736" t="s">
        <v>498</v>
      </c>
      <c r="E23" s="4737"/>
      <c r="F23" s="4737"/>
      <c r="G23" s="4737"/>
      <c r="H23" s="4737"/>
      <c r="I23" s="4737"/>
      <c r="J23" s="4737"/>
      <c r="K23" s="4737"/>
      <c r="L23" s="4737"/>
      <c r="M23" s="4737"/>
      <c r="N23" s="4737"/>
    </row>
    <row r="24" spans="1:14" ht="39" customHeight="1" x14ac:dyDescent="0.3">
      <c r="A24" s="1325">
        <v>6</v>
      </c>
      <c r="B24" s="1325" t="s">
        <v>60</v>
      </c>
      <c r="C24" s="1324"/>
      <c r="D24" s="4736" t="s">
        <v>499</v>
      </c>
      <c r="E24" s="4737"/>
      <c r="F24" s="4737"/>
      <c r="G24" s="4737"/>
      <c r="H24" s="4737"/>
      <c r="I24" s="4737"/>
      <c r="J24" s="4737"/>
      <c r="K24" s="4737"/>
      <c r="L24" s="4737"/>
      <c r="M24" s="4737"/>
      <c r="N24" s="4737"/>
    </row>
    <row r="25" spans="1:14" x14ac:dyDescent="0.3">
      <c r="A25" s="1312">
        <v>7</v>
      </c>
      <c r="B25" s="1312" t="s">
        <v>62</v>
      </c>
      <c r="C25" s="1324"/>
      <c r="D25" s="4736" t="s">
        <v>500</v>
      </c>
      <c r="E25" s="4737"/>
      <c r="F25" s="4737"/>
      <c r="G25" s="4737"/>
      <c r="H25" s="4737"/>
      <c r="I25" s="4737"/>
      <c r="J25" s="4737"/>
      <c r="K25" s="4737"/>
      <c r="L25" s="4737"/>
      <c r="M25" s="4737"/>
      <c r="N25" s="4737"/>
    </row>
    <row r="26" spans="1:14" ht="61.5" customHeight="1" x14ac:dyDescent="0.3">
      <c r="A26" s="1312">
        <v>8</v>
      </c>
      <c r="B26" s="1312" t="s">
        <v>501</v>
      </c>
      <c r="C26" s="1324"/>
      <c r="D26" s="4736" t="s">
        <v>502</v>
      </c>
      <c r="E26" s="4737"/>
      <c r="F26" s="4737"/>
      <c r="G26" s="4737"/>
      <c r="H26" s="4737"/>
      <c r="I26" s="4737"/>
      <c r="J26" s="4737"/>
      <c r="K26" s="4737"/>
      <c r="L26" s="4737"/>
      <c r="M26" s="4737"/>
      <c r="N26" s="4737"/>
    </row>
  </sheetData>
  <mergeCells count="12">
    <mergeCell ref="D23:N23"/>
    <mergeCell ref="D24:N24"/>
    <mergeCell ref="D25:N25"/>
    <mergeCell ref="D26:N26"/>
    <mergeCell ref="D1:N1"/>
    <mergeCell ref="D2:N2"/>
    <mergeCell ref="D3:N3"/>
    <mergeCell ref="B6:N6"/>
    <mergeCell ref="D7:D8"/>
    <mergeCell ref="E7:G7"/>
    <mergeCell ref="H7:J7"/>
    <mergeCell ref="K7:M7"/>
  </mergeCells>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U108"/>
  <sheetViews>
    <sheetView showGridLines="0" view="pageBreakPreview" zoomScale="115" zoomScaleNormal="100" zoomScaleSheetLayoutView="115" workbookViewId="0">
      <selection activeCell="S57" sqref="S57"/>
    </sheetView>
  </sheetViews>
  <sheetFormatPr defaultColWidth="6" defaultRowHeight="14.5" x14ac:dyDescent="0.35"/>
  <cols>
    <col min="1" max="1" width="3.7265625" style="1191" customWidth="1"/>
    <col min="2" max="2" width="13.453125" style="1189" customWidth="1"/>
    <col min="3" max="3" width="8.453125" style="1189" customWidth="1"/>
    <col min="4" max="4" width="11.26953125" style="12" customWidth="1"/>
    <col min="5" max="5" width="11.08984375" style="12" customWidth="1"/>
    <col min="6" max="6" width="7.36328125" style="12" customWidth="1"/>
    <col min="7" max="7" width="8.36328125" style="12" bestFit="1" customWidth="1"/>
    <col min="8" max="18" width="6" style="12" customWidth="1"/>
    <col min="19" max="19" width="6.7265625" style="12" customWidth="1"/>
    <col min="20" max="247" width="9.08984375" style="12" customWidth="1"/>
    <col min="248" max="248" width="3.7265625" style="12" customWidth="1"/>
    <col min="249" max="249" width="17" style="12" customWidth="1"/>
    <col min="250" max="250" width="3.7265625" style="12" customWidth="1"/>
    <col min="251" max="251" width="13.453125" style="12" customWidth="1"/>
    <col min="252" max="252" width="5.453125" style="12" customWidth="1"/>
    <col min="253" max="16384" width="6" style="12"/>
  </cols>
  <sheetData>
    <row r="1" spans="1:19" x14ac:dyDescent="0.35">
      <c r="A1" s="1192"/>
      <c r="B1" s="826"/>
      <c r="C1" s="826"/>
      <c r="D1" s="92"/>
      <c r="E1" s="92"/>
      <c r="F1" s="92"/>
      <c r="G1" s="92"/>
      <c r="H1" s="92"/>
      <c r="I1" s="92"/>
      <c r="J1" s="92"/>
      <c r="K1" s="92"/>
      <c r="L1" s="92"/>
      <c r="M1" s="92"/>
      <c r="N1" s="92"/>
      <c r="O1" s="92"/>
      <c r="P1" s="92"/>
      <c r="Q1" s="92"/>
      <c r="R1" s="92"/>
      <c r="S1" s="92"/>
    </row>
    <row r="2" spans="1:19" ht="12.75" customHeight="1" x14ac:dyDescent="0.35">
      <c r="A2" s="1192">
        <v>1</v>
      </c>
      <c r="B2" s="1192" t="s">
        <v>0</v>
      </c>
      <c r="C2" s="1192">
        <v>21</v>
      </c>
      <c r="D2" s="4642" t="s">
        <v>503</v>
      </c>
      <c r="E2" s="4750"/>
      <c r="F2" s="4750"/>
      <c r="G2" s="4750"/>
      <c r="H2" s="4750"/>
      <c r="I2" s="4750"/>
      <c r="J2" s="4750"/>
      <c r="K2" s="4750"/>
      <c r="L2" s="4750"/>
      <c r="M2" s="4750"/>
      <c r="N2" s="4750"/>
      <c r="O2" s="4750"/>
      <c r="P2" s="4750"/>
      <c r="Q2" s="4750"/>
      <c r="R2" s="4750"/>
      <c r="S2" s="4751"/>
    </row>
    <row r="3" spans="1:19" ht="12.75" customHeight="1" x14ac:dyDescent="0.35">
      <c r="A3" s="1192">
        <v>2</v>
      </c>
      <c r="B3" s="1192" t="s">
        <v>2</v>
      </c>
      <c r="C3" s="1192"/>
      <c r="D3" s="4642" t="s">
        <v>504</v>
      </c>
      <c r="E3" s="4750"/>
      <c r="F3" s="4750"/>
      <c r="G3" s="4750"/>
      <c r="H3" s="4750"/>
      <c r="I3" s="4750"/>
      <c r="J3" s="4750"/>
      <c r="K3" s="4750"/>
      <c r="L3" s="4750"/>
      <c r="M3" s="4750"/>
      <c r="N3" s="4750"/>
      <c r="O3" s="4750"/>
      <c r="P3" s="4750"/>
      <c r="Q3" s="4750"/>
      <c r="R3" s="4750"/>
      <c r="S3" s="4751"/>
    </row>
    <row r="4" spans="1:19" ht="15.75" customHeight="1" x14ac:dyDescent="0.35">
      <c r="A4" s="1192">
        <v>3</v>
      </c>
      <c r="B4" s="1192" t="s">
        <v>4</v>
      </c>
      <c r="C4" s="1192"/>
      <c r="D4" s="4642" t="s">
        <v>505</v>
      </c>
      <c r="E4" s="4752"/>
      <c r="F4" s="4752"/>
      <c r="G4" s="4752"/>
      <c r="H4" s="4752"/>
      <c r="I4" s="4752"/>
      <c r="J4" s="4752"/>
      <c r="K4" s="4752"/>
      <c r="L4" s="4752"/>
      <c r="M4" s="4752"/>
      <c r="N4" s="4752"/>
      <c r="O4" s="4752"/>
      <c r="P4" s="4752"/>
      <c r="Q4" s="4752"/>
      <c r="R4" s="4752"/>
      <c r="S4" s="4753"/>
    </row>
    <row r="5" spans="1:19" x14ac:dyDescent="0.35">
      <c r="A5" s="1192">
        <v>4</v>
      </c>
      <c r="B5" s="1192" t="s">
        <v>6</v>
      </c>
      <c r="C5" s="1326"/>
      <c r="D5" s="92"/>
      <c r="E5" s="92"/>
      <c r="F5" s="92"/>
      <c r="G5" s="92"/>
      <c r="H5" s="92"/>
      <c r="I5" s="92"/>
      <c r="J5" s="92"/>
      <c r="K5" s="92"/>
      <c r="L5" s="92"/>
      <c r="M5" s="92"/>
      <c r="N5" s="92"/>
      <c r="O5" s="92"/>
      <c r="P5" s="92"/>
      <c r="Q5" s="92"/>
      <c r="R5" s="92"/>
      <c r="S5" s="92"/>
    </row>
    <row r="6" spans="1:19" hidden="1" x14ac:dyDescent="0.35">
      <c r="A6" s="1192"/>
      <c r="B6" s="826"/>
      <c r="C6" s="826"/>
      <c r="D6" s="89" t="s">
        <v>7</v>
      </c>
      <c r="E6" s="89"/>
      <c r="F6" s="89" t="s">
        <v>503</v>
      </c>
      <c r="G6" s="89"/>
      <c r="H6" s="89"/>
      <c r="I6" s="89"/>
      <c r="J6" s="89"/>
      <c r="K6" s="1327" t="s">
        <v>506</v>
      </c>
      <c r="L6" s="89"/>
      <c r="M6" s="89"/>
      <c r="N6" s="89"/>
      <c r="O6" s="92"/>
      <c r="P6" s="92"/>
      <c r="Q6" s="92"/>
      <c r="R6" s="92"/>
      <c r="S6" s="92"/>
    </row>
    <row r="7" spans="1:19" hidden="1" x14ac:dyDescent="0.35">
      <c r="A7" s="1192"/>
      <c r="B7" s="826"/>
      <c r="C7" s="826"/>
      <c r="D7" s="875"/>
      <c r="E7" s="1328"/>
      <c r="F7" s="1329"/>
      <c r="G7" s="1329">
        <v>2000</v>
      </c>
      <c r="H7" s="1329">
        <v>2001</v>
      </c>
      <c r="I7" s="1329"/>
      <c r="J7" s="1329">
        <v>2002</v>
      </c>
      <c r="K7" s="1329">
        <v>2003</v>
      </c>
      <c r="L7" s="1329">
        <v>2004</v>
      </c>
      <c r="M7" s="1329">
        <v>2005</v>
      </c>
      <c r="N7" s="1329">
        <v>2006</v>
      </c>
      <c r="O7" s="1329">
        <v>2007</v>
      </c>
      <c r="P7" s="1329">
        <v>2008</v>
      </c>
      <c r="Q7" s="1329">
        <v>2009</v>
      </c>
      <c r="R7" s="1329">
        <v>2010</v>
      </c>
      <c r="S7" s="1330"/>
    </row>
    <row r="8" spans="1:19" ht="14.25" hidden="1" customHeight="1" x14ac:dyDescent="0.35">
      <c r="A8" s="1192"/>
      <c r="B8" s="826"/>
      <c r="C8" s="826"/>
      <c r="D8" s="416" t="s">
        <v>507</v>
      </c>
      <c r="E8" s="89" t="s">
        <v>508</v>
      </c>
      <c r="F8" s="1331"/>
      <c r="G8" s="1331"/>
      <c r="H8" s="1331"/>
      <c r="I8" s="1331"/>
      <c r="J8" s="1331"/>
      <c r="K8" s="1331"/>
      <c r="L8" s="1331"/>
      <c r="M8" s="1331"/>
      <c r="N8" s="1331"/>
      <c r="O8" s="1331"/>
      <c r="P8" s="1331">
        <v>0.7</v>
      </c>
      <c r="Q8" s="1331"/>
      <c r="R8" s="1331">
        <v>0.68</v>
      </c>
      <c r="S8" s="1332"/>
    </row>
    <row r="9" spans="1:19" ht="14.25" hidden="1" customHeight="1" x14ac:dyDescent="0.35">
      <c r="A9" s="1192"/>
      <c r="B9" s="826"/>
      <c r="C9" s="826"/>
      <c r="D9" s="107"/>
      <c r="E9" s="1333" t="s">
        <v>509</v>
      </c>
      <c r="P9" s="1334">
        <v>0.62</v>
      </c>
      <c r="Q9" s="1334"/>
      <c r="R9" s="1334">
        <v>0.62</v>
      </c>
    </row>
    <row r="10" spans="1:19" ht="14.25" hidden="1" customHeight="1" x14ac:dyDescent="0.35">
      <c r="A10" s="1192"/>
      <c r="B10" s="826"/>
      <c r="C10" s="826"/>
      <c r="D10" s="107"/>
      <c r="E10" s="586" t="s">
        <v>510</v>
      </c>
      <c r="F10" s="1334"/>
      <c r="G10" s="1334"/>
      <c r="H10" s="1334"/>
      <c r="I10" s="1334"/>
      <c r="J10" s="1334"/>
      <c r="K10" s="1334"/>
      <c r="L10" s="1334"/>
      <c r="M10" s="1334"/>
      <c r="N10" s="1334"/>
      <c r="O10" s="1334"/>
      <c r="P10" s="1334">
        <v>0.54</v>
      </c>
      <c r="Q10" s="1334"/>
      <c r="R10" s="1334">
        <v>0.57999999999999996</v>
      </c>
      <c r="S10" s="1332"/>
    </row>
    <row r="11" spans="1:19" ht="14.25" hidden="1" customHeight="1" x14ac:dyDescent="0.35">
      <c r="A11" s="1192"/>
      <c r="B11" s="826"/>
      <c r="C11" s="826"/>
      <c r="D11" s="107"/>
      <c r="E11" s="586" t="s">
        <v>511</v>
      </c>
      <c r="F11" s="1334"/>
      <c r="G11" s="1334"/>
      <c r="H11" s="1334"/>
      <c r="I11" s="1334"/>
      <c r="J11" s="1334"/>
      <c r="K11" s="1334"/>
      <c r="L11" s="1334"/>
      <c r="M11" s="1334"/>
      <c r="N11" s="1334"/>
      <c r="O11" s="1334"/>
      <c r="P11" s="1334">
        <v>0.6</v>
      </c>
      <c r="Q11" s="1334"/>
      <c r="R11" s="1334">
        <v>0.56000000000000005</v>
      </c>
      <c r="S11" s="1332"/>
    </row>
    <row r="12" spans="1:19" ht="14.25" hidden="1" customHeight="1" x14ac:dyDescent="0.35">
      <c r="A12" s="1192"/>
      <c r="B12" s="826"/>
      <c r="C12" s="826"/>
      <c r="D12" s="107"/>
      <c r="E12" s="1335" t="s">
        <v>512</v>
      </c>
      <c r="F12" s="1336"/>
      <c r="G12" s="1336"/>
      <c r="H12" s="1336"/>
      <c r="I12" s="1336"/>
      <c r="J12" s="1336"/>
      <c r="K12" s="1336"/>
      <c r="L12" s="1336"/>
      <c r="M12" s="1336"/>
      <c r="N12" s="1336"/>
      <c r="O12" s="1336"/>
      <c r="P12" s="1336">
        <v>0.5</v>
      </c>
      <c r="Q12" s="1336"/>
      <c r="R12" s="1336">
        <v>0.44</v>
      </c>
      <c r="S12" s="1332"/>
    </row>
    <row r="13" spans="1:19" ht="14.25" hidden="1" customHeight="1" x14ac:dyDescent="0.35">
      <c r="A13" s="1192"/>
      <c r="B13" s="826"/>
      <c r="C13" s="826"/>
      <c r="D13" s="107"/>
      <c r="E13" s="89" t="s">
        <v>513</v>
      </c>
      <c r="F13" s="1331"/>
      <c r="G13" s="1331"/>
      <c r="H13" s="1331"/>
      <c r="I13" s="1331"/>
      <c r="J13" s="1331"/>
      <c r="K13" s="1331"/>
      <c r="L13" s="1331"/>
      <c r="M13" s="1331"/>
      <c r="N13" s="1331"/>
      <c r="O13" s="1331"/>
      <c r="P13" s="1331">
        <v>0.7</v>
      </c>
      <c r="Q13" s="1331"/>
      <c r="R13" s="1331">
        <v>0.71</v>
      </c>
      <c r="S13" s="1332"/>
    </row>
    <row r="14" spans="1:19" ht="14.25" hidden="1" customHeight="1" x14ac:dyDescent="0.35">
      <c r="A14" s="1192"/>
      <c r="B14" s="826"/>
      <c r="C14" s="826"/>
      <c r="D14" s="107"/>
      <c r="E14" s="1333" t="s">
        <v>509</v>
      </c>
      <c r="F14" s="1334"/>
      <c r="G14" s="1334"/>
      <c r="H14" s="1334"/>
      <c r="I14" s="1334"/>
      <c r="J14" s="1334"/>
      <c r="K14" s="1334"/>
      <c r="L14" s="1334"/>
      <c r="M14" s="1334"/>
      <c r="N14" s="1334"/>
      <c r="O14" s="1334"/>
      <c r="P14" s="1334">
        <v>0.62</v>
      </c>
      <c r="Q14" s="1334"/>
      <c r="R14" s="1334">
        <v>0.63</v>
      </c>
      <c r="S14" s="1332"/>
    </row>
    <row r="15" spans="1:19" ht="14.25" hidden="1" customHeight="1" x14ac:dyDescent="0.35">
      <c r="A15" s="1192"/>
      <c r="B15" s="826"/>
      <c r="C15" s="826"/>
      <c r="D15" s="107"/>
      <c r="E15" s="586" t="s">
        <v>510</v>
      </c>
      <c r="F15" s="1334"/>
      <c r="G15" s="1334"/>
      <c r="H15" s="1334"/>
      <c r="I15" s="1334"/>
      <c r="J15" s="1334"/>
      <c r="K15" s="1334"/>
      <c r="L15" s="1334"/>
      <c r="M15" s="1334"/>
      <c r="N15" s="1334"/>
      <c r="O15" s="1334"/>
      <c r="P15" s="1334">
        <v>0.57999999999999996</v>
      </c>
      <c r="Q15" s="1334"/>
      <c r="R15" s="1334">
        <v>0.63</v>
      </c>
      <c r="S15" s="1332"/>
    </row>
    <row r="16" spans="1:19" ht="14.25" hidden="1" customHeight="1" x14ac:dyDescent="0.35">
      <c r="A16" s="1192"/>
      <c r="B16" s="826"/>
      <c r="C16" s="826"/>
      <c r="D16" s="107"/>
      <c r="E16" s="586" t="s">
        <v>511</v>
      </c>
      <c r="F16" s="1334"/>
      <c r="G16" s="1334"/>
      <c r="H16" s="1334"/>
      <c r="I16" s="1334"/>
      <c r="J16" s="1334"/>
      <c r="K16" s="1334"/>
      <c r="L16" s="1334"/>
      <c r="M16" s="1334"/>
      <c r="N16" s="1334"/>
      <c r="O16" s="1334"/>
      <c r="P16" s="1334">
        <v>0.54</v>
      </c>
      <c r="Q16" s="1334"/>
      <c r="R16" s="1334">
        <v>0.45</v>
      </c>
      <c r="S16" s="1332"/>
    </row>
    <row r="17" spans="1:19" ht="14.25" hidden="1" customHeight="1" x14ac:dyDescent="0.35">
      <c r="A17" s="1192"/>
      <c r="B17" s="826"/>
      <c r="C17" s="826"/>
      <c r="D17" s="881"/>
      <c r="E17" s="1337" t="s">
        <v>512</v>
      </c>
      <c r="F17" s="1338"/>
      <c r="G17" s="1338"/>
      <c r="H17" s="1338"/>
      <c r="I17" s="1338"/>
      <c r="J17" s="1338"/>
      <c r="K17" s="1338"/>
      <c r="L17" s="1338"/>
      <c r="M17" s="1338"/>
      <c r="N17" s="1338"/>
      <c r="O17" s="1338"/>
      <c r="P17" s="1338">
        <v>0.48</v>
      </c>
      <c r="Q17" s="1338"/>
      <c r="R17" s="1338">
        <v>0.49</v>
      </c>
      <c r="S17" s="1332"/>
    </row>
    <row r="18" spans="1:19" ht="18" hidden="1" customHeight="1" x14ac:dyDescent="0.35">
      <c r="A18" s="1192"/>
      <c r="B18" s="826"/>
      <c r="C18" s="826"/>
      <c r="D18" s="1339" t="s">
        <v>514</v>
      </c>
      <c r="E18" s="1339"/>
      <c r="F18" s="1340"/>
      <c r="G18" s="1340"/>
      <c r="H18" s="1340"/>
      <c r="I18" s="1340"/>
      <c r="J18" s="1340"/>
      <c r="K18" s="1340"/>
      <c r="L18" s="1340"/>
      <c r="M18" s="1340"/>
      <c r="N18" s="1340"/>
      <c r="O18" s="1340"/>
      <c r="P18" s="1340"/>
      <c r="Q18" s="1340"/>
      <c r="R18" s="1340"/>
      <c r="S18" s="1341"/>
    </row>
    <row r="19" spans="1:19" ht="15" hidden="1" customHeight="1" x14ac:dyDescent="0.35">
      <c r="A19" s="1192"/>
      <c r="B19" s="826"/>
      <c r="C19" s="826"/>
      <c r="D19" s="108" t="s">
        <v>515</v>
      </c>
      <c r="E19" s="641" t="s">
        <v>508</v>
      </c>
      <c r="F19" s="1334"/>
      <c r="G19" s="1334"/>
      <c r="H19" s="1342"/>
      <c r="I19" s="1342"/>
      <c r="J19" s="1334"/>
      <c r="K19" s="1334"/>
      <c r="L19" s="1334"/>
      <c r="M19" s="1334"/>
      <c r="N19" s="1342"/>
      <c r="O19" s="1334"/>
      <c r="P19" s="1334">
        <v>0.69</v>
      </c>
      <c r="Q19" s="1334"/>
      <c r="R19" s="1334">
        <v>0.69</v>
      </c>
      <c r="S19" s="1341"/>
    </row>
    <row r="20" spans="1:19" hidden="1" x14ac:dyDescent="0.35">
      <c r="A20" s="1192"/>
      <c r="B20" s="826"/>
      <c r="C20" s="826"/>
      <c r="D20" s="108"/>
      <c r="E20" s="1343" t="s">
        <v>516</v>
      </c>
      <c r="F20" s="1336"/>
      <c r="G20" s="1336"/>
      <c r="H20" s="1344"/>
      <c r="I20" s="1344"/>
      <c r="J20" s="1336"/>
      <c r="K20" s="1336"/>
      <c r="L20" s="1336"/>
      <c r="M20" s="1336"/>
      <c r="N20" s="1344"/>
      <c r="O20" s="1336"/>
      <c r="P20" s="1336">
        <v>0.66</v>
      </c>
      <c r="Q20" s="1336"/>
      <c r="R20" s="1336">
        <v>0.7</v>
      </c>
      <c r="S20" s="1341"/>
    </row>
    <row r="21" spans="1:19" hidden="1" x14ac:dyDescent="0.35">
      <c r="A21" s="1192"/>
      <c r="B21" s="826"/>
      <c r="C21" s="826"/>
      <c r="D21" s="108" t="s">
        <v>517</v>
      </c>
      <c r="E21" s="641" t="s">
        <v>518</v>
      </c>
      <c r="F21" s="1334"/>
      <c r="G21" s="1334"/>
      <c r="H21" s="1342"/>
      <c r="I21" s="1342"/>
      <c r="J21" s="1334"/>
      <c r="K21" s="1334"/>
      <c r="L21" s="1334"/>
      <c r="M21" s="1334"/>
      <c r="N21" s="1342"/>
      <c r="O21" s="1334"/>
      <c r="P21" s="1334">
        <v>0.31</v>
      </c>
      <c r="Q21" s="1334"/>
      <c r="R21" s="1334">
        <v>0.27</v>
      </c>
      <c r="S21" s="1341"/>
    </row>
    <row r="22" spans="1:19" hidden="1" x14ac:dyDescent="0.35">
      <c r="A22" s="1192"/>
      <c r="B22" s="826"/>
      <c r="C22" s="826"/>
      <c r="D22" s="108"/>
      <c r="E22" s="1343" t="s">
        <v>516</v>
      </c>
      <c r="F22" s="1336"/>
      <c r="G22" s="1336"/>
      <c r="H22" s="1344"/>
      <c r="I22" s="1344"/>
      <c r="J22" s="1336"/>
      <c r="K22" s="1336"/>
      <c r="L22" s="1336"/>
      <c r="M22" s="1336"/>
      <c r="N22" s="1344"/>
      <c r="O22" s="1336"/>
      <c r="P22" s="1336">
        <v>0.33</v>
      </c>
      <c r="Q22" s="1336"/>
      <c r="R22" s="1336">
        <v>0.32</v>
      </c>
      <c r="S22" s="1341"/>
    </row>
    <row r="23" spans="1:19" hidden="1" x14ac:dyDescent="0.35">
      <c r="A23" s="1192"/>
      <c r="B23" s="826"/>
      <c r="C23" s="826"/>
      <c r="D23" s="108" t="s">
        <v>519</v>
      </c>
      <c r="E23" s="641" t="s">
        <v>518</v>
      </c>
      <c r="F23" s="1334"/>
      <c r="G23" s="1334"/>
      <c r="H23" s="1345"/>
      <c r="I23" s="1345"/>
      <c r="J23" s="1334"/>
      <c r="K23" s="1334"/>
      <c r="L23" s="1334"/>
      <c r="M23" s="1334"/>
      <c r="N23" s="1345"/>
      <c r="O23" s="1334"/>
      <c r="P23" s="1334">
        <v>0.31</v>
      </c>
      <c r="Q23" s="1334"/>
      <c r="R23" s="1334">
        <v>0.25</v>
      </c>
      <c r="S23" s="1332"/>
    </row>
    <row r="24" spans="1:19" hidden="1" x14ac:dyDescent="0.35">
      <c r="A24" s="1192"/>
      <c r="B24" s="826"/>
      <c r="C24" s="826"/>
      <c r="D24" s="120"/>
      <c r="E24" s="640" t="s">
        <v>513</v>
      </c>
      <c r="F24" s="1338"/>
      <c r="G24" s="1338"/>
      <c r="H24" s="1338"/>
      <c r="I24" s="1338"/>
      <c r="J24" s="1338"/>
      <c r="K24" s="1338"/>
      <c r="L24" s="1338"/>
      <c r="M24" s="1338"/>
      <c r="N24" s="1338"/>
      <c r="O24" s="1338"/>
      <c r="P24" s="1338">
        <v>0.33</v>
      </c>
      <c r="Q24" s="1338"/>
      <c r="R24" s="1338">
        <v>0.33</v>
      </c>
      <c r="S24" s="1332"/>
    </row>
    <row r="25" spans="1:19" ht="15" hidden="1" customHeight="1" x14ac:dyDescent="0.35">
      <c r="A25" s="1192"/>
      <c r="B25" s="826"/>
      <c r="C25" s="826"/>
      <c r="D25" s="164" t="s">
        <v>520</v>
      </c>
      <c r="E25" s="164"/>
      <c r="F25" s="1334"/>
      <c r="G25" s="1334"/>
      <c r="H25" s="1334"/>
      <c r="I25" s="1334"/>
      <c r="J25" s="1334"/>
      <c r="K25" s="1334"/>
      <c r="L25" s="1334"/>
      <c r="M25" s="1334"/>
      <c r="N25" s="1334"/>
      <c r="O25" s="1334"/>
      <c r="P25" s="1334"/>
      <c r="Q25" s="1334"/>
      <c r="R25" s="1334"/>
      <c r="S25" s="1341"/>
    </row>
    <row r="26" spans="1:19" ht="15" hidden="1" customHeight="1" x14ac:dyDescent="0.35">
      <c r="A26" s="1192"/>
      <c r="B26" s="826"/>
      <c r="C26" s="826"/>
      <c r="D26" s="108" t="s">
        <v>515</v>
      </c>
      <c r="E26" s="641" t="s">
        <v>508</v>
      </c>
      <c r="F26" s="1334"/>
      <c r="G26" s="1334"/>
      <c r="H26" s="1342"/>
      <c r="I26" s="1342"/>
      <c r="J26" s="1334"/>
      <c r="K26" s="1334"/>
      <c r="L26" s="1334"/>
      <c r="M26" s="1334"/>
      <c r="N26" s="1342"/>
      <c r="O26" s="1334"/>
      <c r="P26" s="1334">
        <v>0.63</v>
      </c>
      <c r="Q26" s="1334"/>
      <c r="R26" s="1334">
        <v>0.61</v>
      </c>
      <c r="S26" s="1341"/>
    </row>
    <row r="27" spans="1:19" hidden="1" x14ac:dyDescent="0.35">
      <c r="A27" s="1192"/>
      <c r="B27" s="826"/>
      <c r="C27" s="826"/>
      <c r="D27" s="108"/>
      <c r="E27" s="1343" t="s">
        <v>516</v>
      </c>
      <c r="F27" s="1336"/>
      <c r="G27" s="1336"/>
      <c r="H27" s="1344"/>
      <c r="I27" s="1344"/>
      <c r="J27" s="1336"/>
      <c r="K27" s="1336"/>
      <c r="L27" s="1336"/>
      <c r="M27" s="1336"/>
      <c r="N27" s="1344"/>
      <c r="O27" s="1336"/>
      <c r="P27" s="1336">
        <v>0.6</v>
      </c>
      <c r="Q27" s="1336"/>
      <c r="R27" s="1336">
        <v>0.66</v>
      </c>
      <c r="S27" s="1341"/>
    </row>
    <row r="28" spans="1:19" hidden="1" x14ac:dyDescent="0.35">
      <c r="A28" s="1192"/>
      <c r="B28" s="826"/>
      <c r="C28" s="826"/>
      <c r="D28" s="108" t="s">
        <v>517</v>
      </c>
      <c r="E28" s="641" t="s">
        <v>518</v>
      </c>
      <c r="F28" s="1334"/>
      <c r="G28" s="1334"/>
      <c r="H28" s="1342"/>
      <c r="I28" s="1342"/>
      <c r="J28" s="1334"/>
      <c r="K28" s="1334"/>
      <c r="L28" s="1334"/>
      <c r="M28" s="1334"/>
      <c r="N28" s="1342"/>
      <c r="O28" s="1334"/>
      <c r="P28" s="1334">
        <v>0.39</v>
      </c>
      <c r="Q28" s="1334"/>
      <c r="R28" s="1334">
        <v>0.34</v>
      </c>
      <c r="S28" s="1341"/>
    </row>
    <row r="29" spans="1:19" hidden="1" x14ac:dyDescent="0.35">
      <c r="A29" s="1192"/>
      <c r="B29" s="826"/>
      <c r="C29" s="826"/>
      <c r="D29" s="108"/>
      <c r="E29" s="1343" t="s">
        <v>516</v>
      </c>
      <c r="F29" s="1336"/>
      <c r="G29" s="1336"/>
      <c r="H29" s="1344"/>
      <c r="I29" s="1344"/>
      <c r="J29" s="1336"/>
      <c r="K29" s="1336"/>
      <c r="L29" s="1336"/>
      <c r="M29" s="1336"/>
      <c r="N29" s="1344"/>
      <c r="O29" s="1336"/>
      <c r="P29" s="1336">
        <v>0.41</v>
      </c>
      <c r="Q29" s="1336"/>
      <c r="R29" s="1336">
        <v>0.39</v>
      </c>
      <c r="S29" s="1341"/>
    </row>
    <row r="30" spans="1:19" hidden="1" x14ac:dyDescent="0.35">
      <c r="A30" s="1192"/>
      <c r="B30" s="826"/>
      <c r="C30" s="826"/>
      <c r="D30" s="108" t="s">
        <v>519</v>
      </c>
      <c r="E30" s="641" t="s">
        <v>518</v>
      </c>
      <c r="F30" s="1334"/>
      <c r="G30" s="1334"/>
      <c r="H30" s="1345"/>
      <c r="I30" s="1345"/>
      <c r="J30" s="1334"/>
      <c r="K30" s="1334"/>
      <c r="L30" s="1334"/>
      <c r="M30" s="1334"/>
      <c r="N30" s="1345"/>
      <c r="O30" s="1334"/>
      <c r="P30" s="1334">
        <v>0.63</v>
      </c>
      <c r="Q30" s="1334"/>
      <c r="R30" s="1334">
        <v>0.61</v>
      </c>
      <c r="S30" s="1332"/>
    </row>
    <row r="31" spans="1:19" hidden="1" x14ac:dyDescent="0.35">
      <c r="A31" s="1192"/>
      <c r="B31" s="826"/>
      <c r="C31" s="826"/>
      <c r="D31" s="120"/>
      <c r="E31" s="640" t="s">
        <v>513</v>
      </c>
      <c r="F31" s="1338"/>
      <c r="G31" s="1338"/>
      <c r="H31" s="1338"/>
      <c r="I31" s="1338"/>
      <c r="J31" s="1338"/>
      <c r="K31" s="1338"/>
      <c r="L31" s="1338"/>
      <c r="M31" s="1338"/>
      <c r="N31" s="1338"/>
      <c r="O31" s="1338"/>
      <c r="P31" s="1338">
        <v>0.6</v>
      </c>
      <c r="Q31" s="1338"/>
      <c r="R31" s="1338">
        <v>0.66</v>
      </c>
      <c r="S31" s="1332"/>
    </row>
    <row r="32" spans="1:19" hidden="1" x14ac:dyDescent="0.35">
      <c r="A32" s="1192"/>
      <c r="B32" s="826"/>
      <c r="C32" s="826"/>
      <c r="D32" s="108"/>
      <c r="E32" s="641"/>
      <c r="F32" s="1334"/>
      <c r="G32" s="1334"/>
      <c r="H32" s="1334"/>
      <c r="I32" s="1334"/>
      <c r="J32" s="1334"/>
      <c r="K32" s="1334"/>
      <c r="L32" s="1334"/>
      <c r="M32" s="1334"/>
      <c r="N32" s="1334"/>
      <c r="O32" s="1334"/>
      <c r="P32" s="1334"/>
      <c r="Q32" s="1334"/>
      <c r="R32" s="1334"/>
      <c r="S32" s="1332"/>
    </row>
    <row r="33" spans="1:21" hidden="1" x14ac:dyDescent="0.35">
      <c r="A33" s="1192"/>
      <c r="B33" s="826"/>
      <c r="C33" s="826"/>
      <c r="D33" s="638" t="s">
        <v>521</v>
      </c>
      <c r="E33" s="1346" t="s">
        <v>522</v>
      </c>
      <c r="F33" s="638"/>
      <c r="G33" s="638"/>
      <c r="J33" s="638"/>
      <c r="L33" s="1327" t="s">
        <v>506</v>
      </c>
      <c r="M33" s="1347"/>
    </row>
    <row r="34" spans="1:21" ht="15.65" hidden="1" customHeight="1" x14ac:dyDescent="0.35">
      <c r="A34" s="1192"/>
      <c r="B34" s="826"/>
      <c r="C34" s="826"/>
      <c r="D34" s="1348" t="s">
        <v>523</v>
      </c>
      <c r="E34" s="4754" t="s">
        <v>518</v>
      </c>
      <c r="F34" s="4754"/>
      <c r="G34" s="4754"/>
      <c r="H34" s="4754"/>
      <c r="I34" s="4754"/>
      <c r="J34" s="4755"/>
      <c r="K34" s="4756" t="s">
        <v>516</v>
      </c>
      <c r="L34" s="4754"/>
      <c r="M34" s="4754"/>
      <c r="N34" s="4754"/>
      <c r="O34" s="4754"/>
      <c r="P34" s="1349"/>
      <c r="Q34" s="1349"/>
      <c r="R34" s="1349"/>
      <c r="T34" s="1341"/>
    </row>
    <row r="35" spans="1:21" hidden="1" x14ac:dyDescent="0.35">
      <c r="A35" s="1192"/>
      <c r="B35" s="826"/>
      <c r="C35" s="826"/>
      <c r="D35" s="1350"/>
      <c r="E35" s="588">
        <v>2000</v>
      </c>
      <c r="F35" s="588">
        <v>2005</v>
      </c>
      <c r="G35" s="588">
        <v>2008</v>
      </c>
      <c r="H35" s="588">
        <v>2009</v>
      </c>
      <c r="I35" s="588"/>
      <c r="J35" s="1351">
        <v>2010</v>
      </c>
      <c r="K35" s="588">
        <v>2000</v>
      </c>
      <c r="L35" s="588">
        <v>2005</v>
      </c>
      <c r="M35" s="588">
        <v>2008</v>
      </c>
      <c r="N35" s="588">
        <v>2009</v>
      </c>
      <c r="O35" s="588">
        <v>2010</v>
      </c>
      <c r="P35" s="1352"/>
      <c r="Q35" s="1352"/>
      <c r="R35" s="1352"/>
      <c r="T35" s="1341"/>
    </row>
    <row r="36" spans="1:21" hidden="1" x14ac:dyDescent="0.35">
      <c r="A36" s="1192"/>
      <c r="B36" s="826"/>
      <c r="C36" s="826"/>
      <c r="D36" s="1353" t="s">
        <v>402</v>
      </c>
      <c r="E36" s="1354"/>
      <c r="F36" s="1354"/>
      <c r="G36" s="1354">
        <v>0.67</v>
      </c>
      <c r="H36" s="1354"/>
      <c r="I36" s="1354"/>
      <c r="J36" s="1355">
        <v>0.69</v>
      </c>
      <c r="K36" s="1356"/>
      <c r="L36" s="1354"/>
      <c r="M36" s="1354">
        <v>0.7</v>
      </c>
      <c r="N36" s="1354"/>
      <c r="O36" s="1354">
        <v>0.7</v>
      </c>
      <c r="P36" s="1357"/>
      <c r="Q36" s="4749"/>
      <c r="R36" s="4749"/>
      <c r="T36" s="1341"/>
    </row>
    <row r="37" spans="1:21" hidden="1" x14ac:dyDescent="0.35">
      <c r="A37" s="1192"/>
      <c r="B37" s="826"/>
      <c r="C37" s="826"/>
      <c r="D37" s="1353" t="s">
        <v>404</v>
      </c>
      <c r="E37" s="1354"/>
      <c r="F37" s="1354"/>
      <c r="G37" s="1354">
        <v>0.68</v>
      </c>
      <c r="H37" s="1354"/>
      <c r="I37" s="1354"/>
      <c r="J37" s="1355">
        <v>0.69</v>
      </c>
      <c r="K37" s="1356"/>
      <c r="L37" s="1354"/>
      <c r="M37" s="1354">
        <v>0.64</v>
      </c>
      <c r="N37" s="1354"/>
      <c r="O37" s="1354">
        <v>0.72</v>
      </c>
      <c r="P37" s="683"/>
      <c r="Q37" s="1358"/>
      <c r="R37" s="1358"/>
      <c r="T37" s="1341"/>
    </row>
    <row r="38" spans="1:21" hidden="1" x14ac:dyDescent="0.35">
      <c r="A38" s="1192"/>
      <c r="B38" s="826"/>
      <c r="C38" s="826"/>
      <c r="D38" s="1353" t="s">
        <v>524</v>
      </c>
      <c r="E38" s="1354"/>
      <c r="F38" s="1354"/>
      <c r="G38" s="1354">
        <v>0.67</v>
      </c>
      <c r="H38" s="1354"/>
      <c r="I38" s="1354"/>
      <c r="J38" s="1355">
        <v>0.61</v>
      </c>
      <c r="K38" s="1356"/>
      <c r="L38" s="1354"/>
      <c r="M38" s="1354">
        <v>0.61</v>
      </c>
      <c r="N38" s="1354"/>
      <c r="O38" s="1354">
        <v>0.7</v>
      </c>
      <c r="P38" s="683"/>
      <c r="Q38" s="1359"/>
      <c r="R38" s="1359"/>
      <c r="T38" s="1360"/>
    </row>
    <row r="39" spans="1:21" hidden="1" x14ac:dyDescent="0.35">
      <c r="A39" s="1192"/>
      <c r="B39" s="826"/>
      <c r="C39" s="826"/>
      <c r="D39" s="1353" t="s">
        <v>405</v>
      </c>
      <c r="E39" s="1354"/>
      <c r="F39" s="1354"/>
      <c r="G39" s="1354">
        <v>0.72</v>
      </c>
      <c r="H39" s="1354"/>
      <c r="I39" s="1354"/>
      <c r="J39" s="1355">
        <v>0.72</v>
      </c>
      <c r="K39" s="1356"/>
      <c r="L39" s="1354"/>
      <c r="M39" s="1354">
        <v>0.78</v>
      </c>
      <c r="N39" s="1354"/>
      <c r="O39" s="1354">
        <v>0.69</v>
      </c>
      <c r="P39" s="683"/>
      <c r="Q39" s="1359"/>
      <c r="R39" s="1359"/>
    </row>
    <row r="40" spans="1:21" hidden="1" x14ac:dyDescent="0.35">
      <c r="A40" s="1192"/>
      <c r="B40" s="826"/>
      <c r="C40" s="826"/>
      <c r="D40" s="1353" t="s">
        <v>409</v>
      </c>
      <c r="E40" s="1354"/>
      <c r="F40" s="1354"/>
      <c r="G40" s="1354">
        <v>0.71</v>
      </c>
      <c r="H40" s="1354"/>
      <c r="I40" s="1354"/>
      <c r="J40" s="1355">
        <v>0.67</v>
      </c>
      <c r="K40" s="1356"/>
      <c r="L40" s="1354"/>
      <c r="M40" s="1354">
        <v>0.69</v>
      </c>
      <c r="N40" s="1354"/>
      <c r="O40" s="1354">
        <v>0.66</v>
      </c>
      <c r="P40" s="683"/>
      <c r="Q40" s="1359"/>
      <c r="R40" s="1359"/>
      <c r="U40" s="1360"/>
    </row>
    <row r="41" spans="1:21" hidden="1" x14ac:dyDescent="0.35">
      <c r="A41" s="1192"/>
      <c r="B41" s="826"/>
      <c r="C41" s="826"/>
      <c r="D41" s="1353" t="s">
        <v>408</v>
      </c>
      <c r="E41" s="1354"/>
      <c r="F41" s="1354"/>
      <c r="G41" s="1354">
        <v>0.68</v>
      </c>
      <c r="H41" s="1354"/>
      <c r="I41" s="1354"/>
      <c r="J41" s="1355">
        <v>0.7</v>
      </c>
      <c r="K41" s="1356"/>
      <c r="L41" s="1354"/>
      <c r="M41" s="1354">
        <v>0.66</v>
      </c>
      <c r="N41" s="1354"/>
      <c r="O41" s="1354">
        <v>0.73</v>
      </c>
      <c r="P41" s="683"/>
      <c r="Q41" s="1359"/>
      <c r="R41" s="1359"/>
    </row>
    <row r="42" spans="1:21" ht="12.75" hidden="1" customHeight="1" x14ac:dyDescent="0.35">
      <c r="A42" s="1192"/>
      <c r="B42" s="826"/>
      <c r="C42" s="826"/>
      <c r="D42" s="1353" t="s">
        <v>403</v>
      </c>
      <c r="E42" s="1354"/>
      <c r="F42" s="1354"/>
      <c r="G42" s="1354">
        <v>0.6</v>
      </c>
      <c r="H42" s="1354"/>
      <c r="I42" s="1354"/>
      <c r="J42" s="1355">
        <v>0.63</v>
      </c>
      <c r="K42" s="1356"/>
      <c r="L42" s="1354"/>
      <c r="M42" s="1354">
        <v>0.57999999999999996</v>
      </c>
      <c r="N42" s="1354"/>
      <c r="O42" s="1354">
        <v>0.61</v>
      </c>
      <c r="P42" s="683"/>
      <c r="Q42" s="1359"/>
      <c r="R42" s="1359"/>
    </row>
    <row r="43" spans="1:21" hidden="1" x14ac:dyDescent="0.35">
      <c r="A43" s="1192"/>
      <c r="B43" s="826"/>
      <c r="C43" s="826"/>
      <c r="D43" s="1353" t="s">
        <v>406</v>
      </c>
      <c r="E43" s="1354"/>
      <c r="F43" s="1354"/>
      <c r="G43" s="1354">
        <v>0.65</v>
      </c>
      <c r="H43" s="1354"/>
      <c r="I43" s="1354"/>
      <c r="J43" s="1355">
        <v>0.6</v>
      </c>
      <c r="K43" s="1356"/>
      <c r="L43" s="1354"/>
      <c r="M43" s="1354">
        <v>0.66</v>
      </c>
      <c r="N43" s="1354"/>
      <c r="O43" s="1354">
        <v>0.63</v>
      </c>
      <c r="P43" s="683"/>
      <c r="Q43" s="1359"/>
      <c r="R43" s="1359"/>
    </row>
    <row r="44" spans="1:21" hidden="1" x14ac:dyDescent="0.35">
      <c r="A44" s="1192"/>
      <c r="B44" s="826"/>
      <c r="C44" s="826"/>
      <c r="D44" s="1353" t="s">
        <v>401</v>
      </c>
      <c r="E44" s="1354"/>
      <c r="F44" s="1354"/>
      <c r="G44" s="1354">
        <v>0.6</v>
      </c>
      <c r="H44" s="1354"/>
      <c r="I44" s="1354"/>
      <c r="J44" s="1355">
        <v>0.62</v>
      </c>
      <c r="K44" s="1356"/>
      <c r="L44" s="1354"/>
      <c r="M44" s="1354">
        <v>0.65</v>
      </c>
      <c r="N44" s="1354"/>
      <c r="O44" s="1354">
        <v>0.64</v>
      </c>
      <c r="P44" s="683"/>
      <c r="Q44" s="1359"/>
      <c r="R44" s="1359"/>
    </row>
    <row r="45" spans="1:21" hidden="1" x14ac:dyDescent="0.35">
      <c r="A45" s="1192"/>
      <c r="B45" s="826"/>
      <c r="C45" s="826"/>
      <c r="D45" s="1361" t="s">
        <v>306</v>
      </c>
      <c r="E45" s="1362"/>
      <c r="F45" s="1362"/>
      <c r="G45" s="1362">
        <v>0.7</v>
      </c>
      <c r="H45" s="1362"/>
      <c r="I45" s="1362"/>
      <c r="J45" s="1363">
        <v>0.68</v>
      </c>
      <c r="K45" s="1364"/>
      <c r="L45" s="1362"/>
      <c r="M45" s="1362">
        <v>0.7</v>
      </c>
      <c r="N45" s="1362"/>
      <c r="O45" s="1362">
        <v>0.71</v>
      </c>
      <c r="P45" s="683"/>
      <c r="Q45" s="1359"/>
      <c r="R45" s="1359"/>
    </row>
    <row r="46" spans="1:21" hidden="1" x14ac:dyDescent="0.35">
      <c r="A46" s="1192"/>
      <c r="B46" s="826"/>
      <c r="C46" s="826"/>
      <c r="D46" s="1365"/>
      <c r="E46" s="1366"/>
      <c r="F46" s="1366"/>
      <c r="G46" s="1366"/>
      <c r="H46" s="1366"/>
      <c r="I46" s="1366"/>
      <c r="J46" s="1366"/>
      <c r="K46" s="1356"/>
      <c r="L46" s="1366"/>
      <c r="M46" s="1366"/>
      <c r="N46" s="1366"/>
      <c r="O46" s="1366"/>
      <c r="P46" s="683"/>
      <c r="Q46" s="1359"/>
      <c r="R46" s="1359"/>
    </row>
    <row r="47" spans="1:21" hidden="1" x14ac:dyDescent="0.35">
      <c r="A47" s="1192"/>
      <c r="B47" s="826"/>
      <c r="C47" s="826"/>
      <c r="D47" s="1365"/>
      <c r="E47" s="1366"/>
      <c r="F47" s="1366"/>
      <c r="G47" s="1366"/>
      <c r="H47" s="1366"/>
      <c r="I47" s="1366"/>
      <c r="J47" s="1366"/>
      <c r="K47" s="1356"/>
      <c r="L47" s="1366"/>
      <c r="M47" s="1366"/>
      <c r="N47" s="1366"/>
      <c r="O47" s="1366"/>
      <c r="P47" s="683"/>
      <c r="Q47" s="1359"/>
      <c r="R47" s="1359"/>
    </row>
    <row r="48" spans="1:21" x14ac:dyDescent="0.35">
      <c r="A48" s="1192"/>
      <c r="B48" s="826"/>
      <c r="C48" s="826"/>
      <c r="D48" s="1367" t="s">
        <v>85</v>
      </c>
      <c r="E48" s="1367" t="s">
        <v>503</v>
      </c>
      <c r="F48" s="90"/>
      <c r="G48" s="90"/>
      <c r="H48" s="90"/>
      <c r="I48" s="90" t="s">
        <v>525</v>
      </c>
      <c r="J48" s="90"/>
      <c r="K48" s="89"/>
      <c r="L48" s="89"/>
      <c r="M48" s="92"/>
      <c r="N48" s="92"/>
      <c r="O48" s="92"/>
      <c r="R48" s="92"/>
      <c r="S48" s="92"/>
    </row>
    <row r="49" spans="1:20" x14ac:dyDescent="0.35">
      <c r="A49" s="1192"/>
      <c r="B49" s="826"/>
      <c r="C49" s="826"/>
      <c r="D49" s="89"/>
      <c r="F49" s="4746" t="s">
        <v>508</v>
      </c>
      <c r="G49" s="4746"/>
      <c r="H49" s="4746"/>
      <c r="I49" s="4746"/>
      <c r="J49" s="4747"/>
      <c r="K49" s="4748" t="s">
        <v>516</v>
      </c>
      <c r="L49" s="4746"/>
      <c r="M49" s="4746"/>
      <c r="N49" s="4746"/>
      <c r="O49" s="4746"/>
    </row>
    <row r="50" spans="1:20" x14ac:dyDescent="0.35">
      <c r="A50" s="1192"/>
      <c r="B50" s="826"/>
      <c r="C50" s="826"/>
      <c r="D50" s="1328"/>
      <c r="E50" s="1329"/>
      <c r="F50" s="1368">
        <v>2008</v>
      </c>
      <c r="G50" s="1368">
        <v>2010</v>
      </c>
      <c r="H50" s="1368">
        <v>2012</v>
      </c>
      <c r="I50" s="1368" t="s">
        <v>122</v>
      </c>
      <c r="J50" s="1759">
        <v>2017</v>
      </c>
      <c r="K50" s="1369">
        <v>2008</v>
      </c>
      <c r="L50" s="1368">
        <v>2010</v>
      </c>
      <c r="M50" s="1368">
        <v>2012</v>
      </c>
      <c r="N50" s="1368" t="s">
        <v>122</v>
      </c>
      <c r="O50" s="1370">
        <v>2017</v>
      </c>
    </row>
    <row r="51" spans="1:20" ht="14.25" customHeight="1" x14ac:dyDescent="0.35">
      <c r="A51" s="1192"/>
      <c r="B51" s="826"/>
      <c r="C51" s="826"/>
      <c r="D51" s="416" t="s">
        <v>507</v>
      </c>
      <c r="E51" s="1372" t="s">
        <v>306</v>
      </c>
      <c r="F51" s="1373" t="s">
        <v>526</v>
      </c>
      <c r="G51" s="1373" t="s">
        <v>527</v>
      </c>
      <c r="H51" s="1373" t="s">
        <v>528</v>
      </c>
      <c r="I51" s="1373" t="s">
        <v>529</v>
      </c>
      <c r="J51" s="1760" t="s">
        <v>528</v>
      </c>
      <c r="K51" s="1374" t="s">
        <v>526</v>
      </c>
      <c r="L51" s="1373" t="s">
        <v>530</v>
      </c>
      <c r="M51" s="1373" t="s">
        <v>528</v>
      </c>
      <c r="N51" s="1373" t="s">
        <v>528</v>
      </c>
      <c r="O51" s="1373" t="s">
        <v>527</v>
      </c>
    </row>
    <row r="52" spans="1:20" ht="14.25" customHeight="1" x14ac:dyDescent="0.35">
      <c r="A52" s="1192"/>
      <c r="B52" s="826"/>
      <c r="C52" s="826"/>
      <c r="E52" s="1375" t="s">
        <v>509</v>
      </c>
      <c r="F52" s="1376" t="s">
        <v>531</v>
      </c>
      <c r="G52" s="1376" t="s">
        <v>531</v>
      </c>
      <c r="H52" s="1376" t="s">
        <v>532</v>
      </c>
      <c r="I52" s="1376" t="s">
        <v>533</v>
      </c>
      <c r="J52" s="1761" t="s">
        <v>534</v>
      </c>
      <c r="K52" s="1377" t="s">
        <v>531</v>
      </c>
      <c r="L52" s="1376" t="s">
        <v>534</v>
      </c>
      <c r="M52" s="1376" t="s">
        <v>532</v>
      </c>
      <c r="N52" s="1376" t="s">
        <v>532</v>
      </c>
      <c r="O52" s="1376" t="s">
        <v>532</v>
      </c>
    </row>
    <row r="53" spans="1:20" ht="14.25" customHeight="1" x14ac:dyDescent="0.35">
      <c r="A53" s="1192"/>
      <c r="B53" s="826"/>
      <c r="C53" s="826"/>
      <c r="E53" s="1378" t="s">
        <v>535</v>
      </c>
      <c r="F53" s="1376" t="s">
        <v>536</v>
      </c>
      <c r="G53" s="1376" t="s">
        <v>537</v>
      </c>
      <c r="H53" s="1376" t="s">
        <v>538</v>
      </c>
      <c r="I53" s="1376" t="s">
        <v>538</v>
      </c>
      <c r="J53" s="1761" t="s">
        <v>538</v>
      </c>
      <c r="K53" s="1377" t="s">
        <v>537</v>
      </c>
      <c r="L53" s="1376" t="s">
        <v>534</v>
      </c>
      <c r="M53" s="1376" t="s">
        <v>539</v>
      </c>
      <c r="N53" s="1376" t="s">
        <v>540</v>
      </c>
      <c r="O53" s="1376" t="s">
        <v>536</v>
      </c>
    </row>
    <row r="54" spans="1:20" ht="14.25" customHeight="1" x14ac:dyDescent="0.35">
      <c r="A54" s="1192"/>
      <c r="B54" s="826"/>
      <c r="C54" s="826"/>
      <c r="E54" s="1378" t="s">
        <v>511</v>
      </c>
      <c r="F54" s="1376" t="s">
        <v>533</v>
      </c>
      <c r="G54" s="1376" t="s">
        <v>538</v>
      </c>
      <c r="H54" s="1376" t="s">
        <v>541</v>
      </c>
      <c r="I54" s="1376" t="s">
        <v>537</v>
      </c>
      <c r="J54" s="1761" t="s">
        <v>538</v>
      </c>
      <c r="K54" s="1377" t="s">
        <v>536</v>
      </c>
      <c r="L54" s="1376" t="s">
        <v>542</v>
      </c>
      <c r="M54" s="1376" t="s">
        <v>536</v>
      </c>
      <c r="N54" s="1376" t="s">
        <v>540</v>
      </c>
      <c r="O54" s="1376" t="s">
        <v>528</v>
      </c>
    </row>
    <row r="55" spans="1:20" ht="14.25" customHeight="1" x14ac:dyDescent="0.35">
      <c r="A55" s="1192"/>
      <c r="B55" s="826"/>
      <c r="C55" s="826"/>
      <c r="D55" s="177"/>
      <c r="E55" s="1379" t="s">
        <v>512</v>
      </c>
      <c r="F55" s="1380" t="s">
        <v>543</v>
      </c>
      <c r="G55" s="1380" t="s">
        <v>544</v>
      </c>
      <c r="H55" s="1380" t="s">
        <v>543</v>
      </c>
      <c r="I55" s="1380" t="s">
        <v>545</v>
      </c>
      <c r="J55" s="1762" t="s">
        <v>546</v>
      </c>
      <c r="K55" s="1381" t="s">
        <v>547</v>
      </c>
      <c r="L55" s="1380" t="s">
        <v>546</v>
      </c>
      <c r="M55" s="1380" t="s">
        <v>542</v>
      </c>
      <c r="N55" s="1380" t="s">
        <v>548</v>
      </c>
      <c r="O55" s="1380" t="s">
        <v>549</v>
      </c>
    </row>
    <row r="56" spans="1:20" ht="14.25" customHeight="1" x14ac:dyDescent="0.35">
      <c r="A56" s="1192"/>
      <c r="B56" s="826"/>
      <c r="C56" s="826"/>
      <c r="D56" s="107"/>
      <c r="E56" s="89"/>
      <c r="F56" s="1331"/>
      <c r="L56" s="1332"/>
    </row>
    <row r="57" spans="1:20" s="492" customFormat="1" x14ac:dyDescent="0.35">
      <c r="A57" s="1382"/>
      <c r="B57" s="1383"/>
      <c r="C57" s="1383"/>
      <c r="D57" s="1384" t="s">
        <v>252</v>
      </c>
      <c r="E57" s="1385" t="s">
        <v>522</v>
      </c>
      <c r="F57" s="1384"/>
      <c r="G57" s="1386"/>
      <c r="J57" s="1386"/>
      <c r="K57" s="1386" t="s">
        <v>525</v>
      </c>
      <c r="L57" s="1387"/>
      <c r="M57" s="1347"/>
    </row>
    <row r="58" spans="1:20" s="492" customFormat="1" ht="15.65" customHeight="1" x14ac:dyDescent="0.35">
      <c r="A58" s="1382"/>
      <c r="B58" s="1383"/>
      <c r="C58" s="1383"/>
      <c r="D58" s="1388" t="s">
        <v>523</v>
      </c>
      <c r="E58" s="4746" t="s">
        <v>550</v>
      </c>
      <c r="F58" s="4746"/>
      <c r="G58" s="4746"/>
      <c r="H58" s="4746"/>
      <c r="I58" s="4746"/>
      <c r="J58" s="4747"/>
      <c r="K58" s="4746" t="s">
        <v>551</v>
      </c>
      <c r="L58" s="4746"/>
      <c r="M58" s="4746"/>
      <c r="N58" s="4746"/>
      <c r="O58" s="4746"/>
      <c r="P58" s="4746"/>
      <c r="Q58" s="1384"/>
      <c r="R58" s="1384"/>
      <c r="T58" s="1387"/>
    </row>
    <row r="59" spans="1:20" s="492" customFormat="1" x14ac:dyDescent="0.35">
      <c r="A59" s="1382"/>
      <c r="B59" s="1383"/>
      <c r="C59" s="1383"/>
      <c r="D59" s="1389"/>
      <c r="E59" s="1390">
        <v>2008</v>
      </c>
      <c r="F59" s="1390">
        <v>2010</v>
      </c>
      <c r="G59" s="1390">
        <v>2012</v>
      </c>
      <c r="H59" s="1390" t="s">
        <v>122</v>
      </c>
      <c r="I59" s="1391">
        <v>2017</v>
      </c>
      <c r="J59" s="1371">
        <v>2018</v>
      </c>
      <c r="K59" s="1390">
        <v>2008</v>
      </c>
      <c r="L59" s="1390">
        <v>2010</v>
      </c>
      <c r="M59" s="1390">
        <v>2012</v>
      </c>
      <c r="N59" s="1390" t="s">
        <v>122</v>
      </c>
      <c r="O59" s="1391">
        <v>2017</v>
      </c>
      <c r="P59" s="1371">
        <v>2018</v>
      </c>
      <c r="Q59" s="1392"/>
      <c r="R59" s="1392"/>
      <c r="T59" s="1387"/>
    </row>
    <row r="60" spans="1:20" s="492" customFormat="1" x14ac:dyDescent="0.35">
      <c r="A60" s="1382"/>
      <c r="B60" s="1383"/>
      <c r="C60" s="1383"/>
      <c r="D60" s="1393" t="s">
        <v>306</v>
      </c>
      <c r="E60" s="1394">
        <v>0.7</v>
      </c>
      <c r="F60" s="1395">
        <v>0.68</v>
      </c>
      <c r="G60" s="1395">
        <v>0.67</v>
      </c>
      <c r="H60" s="1395">
        <v>0.65</v>
      </c>
      <c r="I60" s="1396">
        <v>0.67</v>
      </c>
      <c r="J60" s="1397"/>
      <c r="K60" s="1394">
        <v>0.7</v>
      </c>
      <c r="L60" s="1395">
        <v>0.71</v>
      </c>
      <c r="M60" s="1395">
        <v>0.67</v>
      </c>
      <c r="N60" s="1395">
        <v>0.67</v>
      </c>
      <c r="O60" s="1396">
        <v>0.68</v>
      </c>
      <c r="P60" s="1397">
        <v>0.68</v>
      </c>
      <c r="Q60" s="1398"/>
      <c r="R60" s="1398"/>
    </row>
    <row r="61" spans="1:20" s="492" customFormat="1" x14ac:dyDescent="0.35">
      <c r="A61" s="1382"/>
      <c r="B61" s="1383"/>
      <c r="C61" s="1383"/>
      <c r="D61" s="1399"/>
      <c r="E61" s="1400"/>
      <c r="F61" s="1401"/>
      <c r="G61" s="1401"/>
      <c r="H61" s="1401"/>
      <c r="I61" s="1401"/>
      <c r="J61" s="1400"/>
      <c r="K61" s="1401"/>
      <c r="L61" s="1401"/>
      <c r="M61" s="1401"/>
      <c r="N61" s="1402"/>
      <c r="O61" s="1403"/>
      <c r="P61" s="1404"/>
      <c r="Q61" s="1398"/>
      <c r="R61" s="1398"/>
    </row>
    <row r="62" spans="1:20" s="492" customFormat="1" x14ac:dyDescent="0.35">
      <c r="A62" s="1382"/>
      <c r="B62" s="1383"/>
      <c r="C62" s="1383"/>
      <c r="D62" s="1405" t="s">
        <v>306</v>
      </c>
      <c r="E62" s="1394">
        <v>0.7</v>
      </c>
      <c r="F62" s="1395">
        <v>0.72</v>
      </c>
      <c r="G62" s="1395">
        <v>0.7</v>
      </c>
      <c r="H62" s="1396">
        <v>0.69</v>
      </c>
      <c r="I62" s="1395"/>
      <c r="J62" s="1394">
        <v>0.64</v>
      </c>
      <c r="K62" s="1395">
        <v>0.67</v>
      </c>
      <c r="L62" s="1395">
        <v>0.63</v>
      </c>
      <c r="M62" s="1395">
        <v>0.65</v>
      </c>
      <c r="N62" s="1402"/>
      <c r="O62" s="1403"/>
      <c r="P62" s="1404"/>
      <c r="Q62" s="1398"/>
      <c r="R62" s="1398"/>
    </row>
    <row r="76" spans="1:20" x14ac:dyDescent="0.35">
      <c r="A76" s="1192"/>
      <c r="B76" s="826"/>
      <c r="C76" s="826"/>
      <c r="D76" s="1353"/>
      <c r="E76" s="1406"/>
      <c r="F76" s="1407"/>
      <c r="G76" s="1408"/>
      <c r="H76" s="1409"/>
      <c r="I76" s="1409"/>
      <c r="J76" s="1410"/>
      <c r="K76" s="1411"/>
      <c r="L76" s="108"/>
      <c r="M76" s="1365"/>
      <c r="N76" s="1412"/>
      <c r="O76" s="1413"/>
      <c r="P76" s="1414"/>
      <c r="Q76" s="1415"/>
      <c r="R76" s="1416"/>
      <c r="S76" s="1341"/>
    </row>
    <row r="77" spans="1:20" x14ac:dyDescent="0.35">
      <c r="A77" s="1192"/>
      <c r="B77" s="826"/>
      <c r="C77" s="826"/>
      <c r="D77" s="1353"/>
      <c r="E77" s="1406"/>
      <c r="F77" s="1407"/>
      <c r="G77" s="1408"/>
      <c r="H77" s="1409"/>
      <c r="I77" s="1409"/>
      <c r="J77" s="1410"/>
      <c r="K77" s="1411"/>
      <c r="L77" s="108"/>
      <c r="M77" s="1365"/>
      <c r="N77" s="1412"/>
      <c r="O77" s="1413"/>
      <c r="P77" s="1414"/>
      <c r="Q77" s="1415"/>
      <c r="R77" s="1416"/>
      <c r="S77" s="1341"/>
    </row>
    <row r="78" spans="1:20" x14ac:dyDescent="0.35">
      <c r="A78" s="1192">
        <v>5</v>
      </c>
      <c r="B78" s="1192" t="s">
        <v>58</v>
      </c>
      <c r="C78" s="1417"/>
      <c r="D78" s="4745" t="s">
        <v>498</v>
      </c>
      <c r="E78" s="4643"/>
      <c r="F78" s="4643"/>
      <c r="G78" s="4643"/>
      <c r="H78" s="4643"/>
      <c r="I78" s="4643"/>
      <c r="J78" s="4643"/>
      <c r="K78" s="4643"/>
      <c r="L78" s="4643"/>
      <c r="M78" s="4643"/>
      <c r="N78" s="4643"/>
      <c r="O78" s="4643"/>
      <c r="P78" s="4643"/>
      <c r="Q78" s="4643"/>
      <c r="R78" s="4643"/>
      <c r="S78" s="4644"/>
    </row>
    <row r="79" spans="1:20" ht="32.15" customHeight="1" x14ac:dyDescent="0.35">
      <c r="A79" s="1254">
        <v>6</v>
      </c>
      <c r="B79" s="1254" t="s">
        <v>60</v>
      </c>
      <c r="C79" s="1417"/>
      <c r="D79" s="4745" t="s">
        <v>552</v>
      </c>
      <c r="E79" s="4643"/>
      <c r="F79" s="4643"/>
      <c r="G79" s="4643"/>
      <c r="H79" s="4643"/>
      <c r="I79" s="4643"/>
      <c r="J79" s="4643"/>
      <c r="K79" s="4643"/>
      <c r="L79" s="4643"/>
      <c r="M79" s="4643"/>
      <c r="N79" s="4643"/>
      <c r="O79" s="4643"/>
      <c r="P79" s="4643"/>
      <c r="Q79" s="4643"/>
      <c r="R79" s="4643"/>
      <c r="S79" s="4644"/>
    </row>
    <row r="80" spans="1:20" ht="16.5" customHeight="1" x14ac:dyDescent="0.35">
      <c r="A80" s="1192">
        <v>7</v>
      </c>
      <c r="B80" s="1192" t="s">
        <v>62</v>
      </c>
      <c r="C80" s="1417"/>
      <c r="D80" s="4745" t="s">
        <v>553</v>
      </c>
      <c r="E80" s="4643"/>
      <c r="F80" s="4643"/>
      <c r="G80" s="4643"/>
      <c r="H80" s="4643"/>
      <c r="I80" s="4643"/>
      <c r="J80" s="4643"/>
      <c r="K80" s="4643"/>
      <c r="L80" s="4643"/>
      <c r="M80" s="4643"/>
      <c r="N80" s="4643"/>
      <c r="O80" s="4643"/>
      <c r="P80" s="4643"/>
      <c r="Q80" s="4643"/>
      <c r="R80" s="4643"/>
      <c r="S80" s="4644"/>
      <c r="T80" s="1418"/>
    </row>
    <row r="81" spans="1:20" ht="128.15" customHeight="1" x14ac:dyDescent="0.35">
      <c r="A81" s="1192">
        <v>8</v>
      </c>
      <c r="B81" s="1192" t="s">
        <v>501</v>
      </c>
      <c r="C81" s="1417"/>
      <c r="D81" s="4745" t="s">
        <v>554</v>
      </c>
      <c r="E81" s="4643"/>
      <c r="F81" s="4643"/>
      <c r="G81" s="4643"/>
      <c r="H81" s="4643"/>
      <c r="I81" s="4643"/>
      <c r="J81" s="4643"/>
      <c r="K81" s="4643"/>
      <c r="L81" s="4643"/>
      <c r="M81" s="4643"/>
      <c r="N81" s="4643"/>
      <c r="O81" s="4643"/>
      <c r="P81" s="4643"/>
      <c r="Q81" s="4643"/>
      <c r="R81" s="4643"/>
      <c r="S81" s="4644"/>
      <c r="T81" s="1419"/>
    </row>
    <row r="82" spans="1:20" x14ac:dyDescent="0.35">
      <c r="A82" s="12"/>
      <c r="B82" s="12"/>
      <c r="C82" s="1192"/>
    </row>
    <row r="83" spans="1:20" ht="29.25" customHeight="1" x14ac:dyDescent="0.35">
      <c r="A83" s="12"/>
      <c r="B83" s="12"/>
      <c r="C83" s="1254"/>
    </row>
    <row r="84" spans="1:20" ht="12.75" customHeight="1" x14ac:dyDescent="0.35">
      <c r="A84" s="12"/>
      <c r="B84" s="12"/>
      <c r="C84" s="1254"/>
    </row>
    <row r="85" spans="1:20" ht="40.5" customHeight="1" x14ac:dyDescent="0.35">
      <c r="A85" s="12"/>
      <c r="B85" s="12"/>
      <c r="C85" s="12"/>
    </row>
    <row r="86" spans="1:20" x14ac:dyDescent="0.35">
      <c r="B86" s="12"/>
      <c r="C86" s="12"/>
    </row>
    <row r="87" spans="1:20" x14ac:dyDescent="0.35">
      <c r="B87" s="12"/>
      <c r="C87" s="12"/>
    </row>
    <row r="88" spans="1:20" x14ac:dyDescent="0.35">
      <c r="A88" s="1192"/>
      <c r="B88" s="12"/>
      <c r="C88" s="12"/>
    </row>
    <row r="89" spans="1:20" ht="15.65" customHeight="1" x14ac:dyDescent="0.35">
      <c r="A89" s="1192"/>
      <c r="B89" s="12"/>
      <c r="C89" s="12"/>
    </row>
    <row r="90" spans="1:20" x14ac:dyDescent="0.35">
      <c r="A90" s="1192"/>
      <c r="B90" s="12"/>
      <c r="C90" s="12"/>
    </row>
    <row r="91" spans="1:20" x14ac:dyDescent="0.35">
      <c r="A91" s="1192"/>
      <c r="B91" s="12"/>
      <c r="C91" s="12"/>
    </row>
    <row r="92" spans="1:20" x14ac:dyDescent="0.35">
      <c r="A92" s="1192"/>
      <c r="B92" s="12"/>
      <c r="C92" s="12"/>
    </row>
    <row r="93" spans="1:20" x14ac:dyDescent="0.35">
      <c r="A93" s="1192"/>
      <c r="B93" s="12"/>
      <c r="C93" s="12"/>
    </row>
    <row r="94" spans="1:20" x14ac:dyDescent="0.35">
      <c r="A94" s="1192"/>
      <c r="B94" s="12"/>
      <c r="C94" s="12"/>
    </row>
    <row r="95" spans="1:20" x14ac:dyDescent="0.35">
      <c r="A95" s="1192"/>
      <c r="B95" s="12"/>
      <c r="C95" s="12"/>
    </row>
    <row r="96" spans="1:20" x14ac:dyDescent="0.35">
      <c r="A96" s="1192"/>
      <c r="B96" s="12"/>
      <c r="C96" s="12"/>
    </row>
    <row r="97" spans="1:3" ht="12.75" customHeight="1" x14ac:dyDescent="0.35">
      <c r="A97" s="1192"/>
      <c r="B97" s="12"/>
      <c r="C97" s="12"/>
    </row>
    <row r="98" spans="1:3" x14ac:dyDescent="0.35">
      <c r="A98" s="1192"/>
      <c r="B98" s="12"/>
      <c r="C98" s="12"/>
    </row>
    <row r="99" spans="1:3" x14ac:dyDescent="0.35">
      <c r="A99" s="1192"/>
      <c r="B99" s="12"/>
      <c r="C99" s="12"/>
    </row>
    <row r="100" spans="1:3" x14ac:dyDescent="0.35">
      <c r="A100" s="1192"/>
      <c r="B100" s="12"/>
      <c r="C100" s="12"/>
    </row>
    <row r="101" spans="1:3" x14ac:dyDescent="0.35">
      <c r="B101" s="12"/>
      <c r="C101" s="12"/>
    </row>
    <row r="102" spans="1:3" x14ac:dyDescent="0.35">
      <c r="B102" s="12"/>
      <c r="C102" s="12"/>
    </row>
    <row r="103" spans="1:3" x14ac:dyDescent="0.35">
      <c r="B103" s="12"/>
      <c r="C103" s="12"/>
    </row>
    <row r="104" spans="1:3" x14ac:dyDescent="0.35">
      <c r="B104" s="12"/>
      <c r="C104" s="12"/>
    </row>
    <row r="105" spans="1:3" x14ac:dyDescent="0.35">
      <c r="B105" s="12"/>
      <c r="C105" s="12"/>
    </row>
    <row r="106" spans="1:3" x14ac:dyDescent="0.35">
      <c r="B106" s="12"/>
      <c r="C106" s="12"/>
    </row>
    <row r="107" spans="1:3" x14ac:dyDescent="0.35">
      <c r="B107" s="12"/>
      <c r="C107" s="12"/>
    </row>
    <row r="108" spans="1:3" x14ac:dyDescent="0.35">
      <c r="B108" s="12"/>
      <c r="C108" s="12"/>
    </row>
  </sheetData>
  <mergeCells count="14">
    <mergeCell ref="Q36:R36"/>
    <mergeCell ref="D2:S2"/>
    <mergeCell ref="D3:S3"/>
    <mergeCell ref="D4:S4"/>
    <mergeCell ref="E34:J34"/>
    <mergeCell ref="K34:O34"/>
    <mergeCell ref="D80:S80"/>
    <mergeCell ref="D81:S81"/>
    <mergeCell ref="F49:J49"/>
    <mergeCell ref="K49:O49"/>
    <mergeCell ref="E58:J58"/>
    <mergeCell ref="K58:P58"/>
    <mergeCell ref="D78:S78"/>
    <mergeCell ref="D79:S79"/>
  </mergeCells>
  <pageMargins left="0.74803149606299202" right="0.74803149606299202" top="0.98425196850393704" bottom="0.98425196850393704" header="0.511811023622047" footer="0.511811023622047"/>
  <pageSetup paperSize="9" scale="6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E46"/>
  <sheetViews>
    <sheetView showGridLines="0" view="pageBreakPreview" zoomScaleNormal="100" zoomScaleSheetLayoutView="100" workbookViewId="0">
      <selection activeCell="J27" sqref="J27"/>
    </sheetView>
  </sheetViews>
  <sheetFormatPr defaultColWidth="9.08984375" defaultRowHeight="14.5" x14ac:dyDescent="0.35"/>
  <cols>
    <col min="1" max="1" width="3.7265625" style="1191" customWidth="1"/>
    <col min="2" max="2" width="13.7265625" style="1458" customWidth="1"/>
    <col min="3" max="3" width="3.7265625" style="1458" customWidth="1"/>
    <col min="4" max="4" width="45.26953125" style="50" customWidth="1"/>
    <col min="5" max="6" width="11.453125" style="50" customWidth="1"/>
    <col min="7" max="10" width="11.453125" style="1445" customWidth="1"/>
    <col min="11" max="11" width="46.08984375" style="1445" customWidth="1"/>
    <col min="12" max="12" width="16" style="1445" customWidth="1"/>
    <col min="13" max="19" width="10.26953125" style="1445" customWidth="1"/>
    <col min="20" max="20" width="10.26953125" style="1425" customWidth="1"/>
    <col min="21" max="21" width="11" style="1425" customWidth="1"/>
    <col min="22" max="23" width="10.26953125" style="1425" customWidth="1"/>
    <col min="24" max="24" width="9" style="1427" customWidth="1"/>
    <col min="25" max="25" width="9.7265625" style="1427" customWidth="1"/>
    <col min="26" max="26" width="10" style="1427" customWidth="1"/>
    <col min="27" max="27" width="9.08984375" style="1427"/>
    <col min="28" max="28" width="10.90625" style="1427" customWidth="1"/>
    <col min="29" max="29" width="10.08984375" style="1427" customWidth="1"/>
    <col min="30" max="30" width="9.08984375" style="1427"/>
    <col min="31" max="31" width="10.26953125" style="1427" customWidth="1"/>
    <col min="32" max="32" width="10.453125" style="1427" customWidth="1"/>
    <col min="33" max="256" width="9.08984375" style="1427"/>
    <col min="257" max="257" width="3.7265625" style="1427" customWidth="1"/>
    <col min="258" max="258" width="13.7265625" style="1427" customWidth="1"/>
    <col min="259" max="259" width="3.7265625" style="1427" customWidth="1"/>
    <col min="260" max="260" width="11.7265625" style="1427" customWidth="1"/>
    <col min="261" max="261" width="30.453125" style="1427" customWidth="1"/>
    <col min="262" max="262" width="21.08984375" style="1427" customWidth="1"/>
    <col min="263" max="265" width="10.26953125" style="1427" customWidth="1"/>
    <col min="266" max="266" width="11.453125" style="1427" customWidth="1"/>
    <col min="267" max="276" width="10.26953125" style="1427" customWidth="1"/>
    <col min="277" max="277" width="11" style="1427" customWidth="1"/>
    <col min="278" max="279" width="10.26953125" style="1427" customWidth="1"/>
    <col min="280" max="280" width="9" style="1427" customWidth="1"/>
    <col min="281" max="281" width="9.7265625" style="1427" customWidth="1"/>
    <col min="282" max="282" width="10" style="1427" customWidth="1"/>
    <col min="283" max="283" width="9.08984375" style="1427"/>
    <col min="284" max="284" width="10.90625" style="1427" customWidth="1"/>
    <col min="285" max="285" width="10.08984375" style="1427" customWidth="1"/>
    <col min="286" max="286" width="9.08984375" style="1427"/>
    <col min="287" max="287" width="10.26953125" style="1427" customWidth="1"/>
    <col min="288" max="288" width="10.453125" style="1427" customWidth="1"/>
    <col min="289" max="512" width="9.08984375" style="1427"/>
    <col min="513" max="513" width="3.7265625" style="1427" customWidth="1"/>
    <col min="514" max="514" width="13.7265625" style="1427" customWidth="1"/>
    <col min="515" max="515" width="3.7265625" style="1427" customWidth="1"/>
    <col min="516" max="516" width="11.7265625" style="1427" customWidth="1"/>
    <col min="517" max="517" width="30.453125" style="1427" customWidth="1"/>
    <col min="518" max="518" width="21.08984375" style="1427" customWidth="1"/>
    <col min="519" max="521" width="10.26953125" style="1427" customWidth="1"/>
    <col min="522" max="522" width="11.453125" style="1427" customWidth="1"/>
    <col min="523" max="532" width="10.26953125" style="1427" customWidth="1"/>
    <col min="533" max="533" width="11" style="1427" customWidth="1"/>
    <col min="534" max="535" width="10.26953125" style="1427" customWidth="1"/>
    <col min="536" max="536" width="9" style="1427" customWidth="1"/>
    <col min="537" max="537" width="9.7265625" style="1427" customWidth="1"/>
    <col min="538" max="538" width="10" style="1427" customWidth="1"/>
    <col min="539" max="539" width="9.08984375" style="1427"/>
    <col min="540" max="540" width="10.90625" style="1427" customWidth="1"/>
    <col min="541" max="541" width="10.08984375" style="1427" customWidth="1"/>
    <col min="542" max="542" width="9.08984375" style="1427"/>
    <col min="543" max="543" width="10.26953125" style="1427" customWidth="1"/>
    <col min="544" max="544" width="10.453125" style="1427" customWidth="1"/>
    <col min="545" max="768" width="9.08984375" style="1427"/>
    <col min="769" max="769" width="3.7265625" style="1427" customWidth="1"/>
    <col min="770" max="770" width="13.7265625" style="1427" customWidth="1"/>
    <col min="771" max="771" width="3.7265625" style="1427" customWidth="1"/>
    <col min="772" max="772" width="11.7265625" style="1427" customWidth="1"/>
    <col min="773" max="773" width="30.453125" style="1427" customWidth="1"/>
    <col min="774" max="774" width="21.08984375" style="1427" customWidth="1"/>
    <col min="775" max="777" width="10.26953125" style="1427" customWidth="1"/>
    <col min="778" max="778" width="11.453125" style="1427" customWidth="1"/>
    <col min="779" max="788" width="10.26953125" style="1427" customWidth="1"/>
    <col min="789" max="789" width="11" style="1427" customWidth="1"/>
    <col min="790" max="791" width="10.26953125" style="1427" customWidth="1"/>
    <col min="792" max="792" width="9" style="1427" customWidth="1"/>
    <col min="793" max="793" width="9.7265625" style="1427" customWidth="1"/>
    <col min="794" max="794" width="10" style="1427" customWidth="1"/>
    <col min="795" max="795" width="9.08984375" style="1427"/>
    <col min="796" max="796" width="10.90625" style="1427" customWidth="1"/>
    <col min="797" max="797" width="10.08984375" style="1427" customWidth="1"/>
    <col min="798" max="798" width="9.08984375" style="1427"/>
    <col min="799" max="799" width="10.26953125" style="1427" customWidth="1"/>
    <col min="800" max="800" width="10.453125" style="1427" customWidth="1"/>
    <col min="801" max="1024" width="9.08984375" style="1427"/>
    <col min="1025" max="1025" width="3.7265625" style="1427" customWidth="1"/>
    <col min="1026" max="1026" width="13.7265625" style="1427" customWidth="1"/>
    <col min="1027" max="1027" width="3.7265625" style="1427" customWidth="1"/>
    <col min="1028" max="1028" width="11.7265625" style="1427" customWidth="1"/>
    <col min="1029" max="1029" width="30.453125" style="1427" customWidth="1"/>
    <col min="1030" max="1030" width="21.08984375" style="1427" customWidth="1"/>
    <col min="1031" max="1033" width="10.26953125" style="1427" customWidth="1"/>
    <col min="1034" max="1034" width="11.453125" style="1427" customWidth="1"/>
    <col min="1035" max="1044" width="10.26953125" style="1427" customWidth="1"/>
    <col min="1045" max="1045" width="11" style="1427" customWidth="1"/>
    <col min="1046" max="1047" width="10.26953125" style="1427" customWidth="1"/>
    <col min="1048" max="1048" width="9" style="1427" customWidth="1"/>
    <col min="1049" max="1049" width="9.7265625" style="1427" customWidth="1"/>
    <col min="1050" max="1050" width="10" style="1427" customWidth="1"/>
    <col min="1051" max="1051" width="9.08984375" style="1427"/>
    <col min="1052" max="1052" width="10.90625" style="1427" customWidth="1"/>
    <col min="1053" max="1053" width="10.08984375" style="1427" customWidth="1"/>
    <col min="1054" max="1054" width="9.08984375" style="1427"/>
    <col min="1055" max="1055" width="10.26953125" style="1427" customWidth="1"/>
    <col min="1056" max="1056" width="10.453125" style="1427" customWidth="1"/>
    <col min="1057" max="1280" width="9.08984375" style="1427"/>
    <col min="1281" max="1281" width="3.7265625" style="1427" customWidth="1"/>
    <col min="1282" max="1282" width="13.7265625" style="1427" customWidth="1"/>
    <col min="1283" max="1283" width="3.7265625" style="1427" customWidth="1"/>
    <col min="1284" max="1284" width="11.7265625" style="1427" customWidth="1"/>
    <col min="1285" max="1285" width="30.453125" style="1427" customWidth="1"/>
    <col min="1286" max="1286" width="21.08984375" style="1427" customWidth="1"/>
    <col min="1287" max="1289" width="10.26953125" style="1427" customWidth="1"/>
    <col min="1290" max="1290" width="11.453125" style="1427" customWidth="1"/>
    <col min="1291" max="1300" width="10.26953125" style="1427" customWidth="1"/>
    <col min="1301" max="1301" width="11" style="1427" customWidth="1"/>
    <col min="1302" max="1303" width="10.26953125" style="1427" customWidth="1"/>
    <col min="1304" max="1304" width="9" style="1427" customWidth="1"/>
    <col min="1305" max="1305" width="9.7265625" style="1427" customWidth="1"/>
    <col min="1306" max="1306" width="10" style="1427" customWidth="1"/>
    <col min="1307" max="1307" width="9.08984375" style="1427"/>
    <col min="1308" max="1308" width="10.90625" style="1427" customWidth="1"/>
    <col min="1309" max="1309" width="10.08984375" style="1427" customWidth="1"/>
    <col min="1310" max="1310" width="9.08984375" style="1427"/>
    <col min="1311" max="1311" width="10.26953125" style="1427" customWidth="1"/>
    <col min="1312" max="1312" width="10.453125" style="1427" customWidth="1"/>
    <col min="1313" max="1536" width="9.08984375" style="1427"/>
    <col min="1537" max="1537" width="3.7265625" style="1427" customWidth="1"/>
    <col min="1538" max="1538" width="13.7265625" style="1427" customWidth="1"/>
    <col min="1539" max="1539" width="3.7265625" style="1427" customWidth="1"/>
    <col min="1540" max="1540" width="11.7265625" style="1427" customWidth="1"/>
    <col min="1541" max="1541" width="30.453125" style="1427" customWidth="1"/>
    <col min="1542" max="1542" width="21.08984375" style="1427" customWidth="1"/>
    <col min="1543" max="1545" width="10.26953125" style="1427" customWidth="1"/>
    <col min="1546" max="1546" width="11.453125" style="1427" customWidth="1"/>
    <col min="1547" max="1556" width="10.26953125" style="1427" customWidth="1"/>
    <col min="1557" max="1557" width="11" style="1427" customWidth="1"/>
    <col min="1558" max="1559" width="10.26953125" style="1427" customWidth="1"/>
    <col min="1560" max="1560" width="9" style="1427" customWidth="1"/>
    <col min="1561" max="1561" width="9.7265625" style="1427" customWidth="1"/>
    <col min="1562" max="1562" width="10" style="1427" customWidth="1"/>
    <col min="1563" max="1563" width="9.08984375" style="1427"/>
    <col min="1564" max="1564" width="10.90625" style="1427" customWidth="1"/>
    <col min="1565" max="1565" width="10.08984375" style="1427" customWidth="1"/>
    <col min="1566" max="1566" width="9.08984375" style="1427"/>
    <col min="1567" max="1567" width="10.26953125" style="1427" customWidth="1"/>
    <col min="1568" max="1568" width="10.453125" style="1427" customWidth="1"/>
    <col min="1569" max="1792" width="9.08984375" style="1427"/>
    <col min="1793" max="1793" width="3.7265625" style="1427" customWidth="1"/>
    <col min="1794" max="1794" width="13.7265625" style="1427" customWidth="1"/>
    <col min="1795" max="1795" width="3.7265625" style="1427" customWidth="1"/>
    <col min="1796" max="1796" width="11.7265625" style="1427" customWidth="1"/>
    <col min="1797" max="1797" width="30.453125" style="1427" customWidth="1"/>
    <col min="1798" max="1798" width="21.08984375" style="1427" customWidth="1"/>
    <col min="1799" max="1801" width="10.26953125" style="1427" customWidth="1"/>
    <col min="1802" max="1802" width="11.453125" style="1427" customWidth="1"/>
    <col min="1803" max="1812" width="10.26953125" style="1427" customWidth="1"/>
    <col min="1813" max="1813" width="11" style="1427" customWidth="1"/>
    <col min="1814" max="1815" width="10.26953125" style="1427" customWidth="1"/>
    <col min="1816" max="1816" width="9" style="1427" customWidth="1"/>
    <col min="1817" max="1817" width="9.7265625" style="1427" customWidth="1"/>
    <col min="1818" max="1818" width="10" style="1427" customWidth="1"/>
    <col min="1819" max="1819" width="9.08984375" style="1427"/>
    <col min="1820" max="1820" width="10.90625" style="1427" customWidth="1"/>
    <col min="1821" max="1821" width="10.08984375" style="1427" customWidth="1"/>
    <col min="1822" max="1822" width="9.08984375" style="1427"/>
    <col min="1823" max="1823" width="10.26953125" style="1427" customWidth="1"/>
    <col min="1824" max="1824" width="10.453125" style="1427" customWidth="1"/>
    <col min="1825" max="2048" width="9.08984375" style="1427"/>
    <col min="2049" max="2049" width="3.7265625" style="1427" customWidth="1"/>
    <col min="2050" max="2050" width="13.7265625" style="1427" customWidth="1"/>
    <col min="2051" max="2051" width="3.7265625" style="1427" customWidth="1"/>
    <col min="2052" max="2052" width="11.7265625" style="1427" customWidth="1"/>
    <col min="2053" max="2053" width="30.453125" style="1427" customWidth="1"/>
    <col min="2054" max="2054" width="21.08984375" style="1427" customWidth="1"/>
    <col min="2055" max="2057" width="10.26953125" style="1427" customWidth="1"/>
    <col min="2058" max="2058" width="11.453125" style="1427" customWidth="1"/>
    <col min="2059" max="2068" width="10.26953125" style="1427" customWidth="1"/>
    <col min="2069" max="2069" width="11" style="1427" customWidth="1"/>
    <col min="2070" max="2071" width="10.26953125" style="1427" customWidth="1"/>
    <col min="2072" max="2072" width="9" style="1427" customWidth="1"/>
    <col min="2073" max="2073" width="9.7265625" style="1427" customWidth="1"/>
    <col min="2074" max="2074" width="10" style="1427" customWidth="1"/>
    <col min="2075" max="2075" width="9.08984375" style="1427"/>
    <col min="2076" max="2076" width="10.90625" style="1427" customWidth="1"/>
    <col min="2077" max="2077" width="10.08984375" style="1427" customWidth="1"/>
    <col min="2078" max="2078" width="9.08984375" style="1427"/>
    <col min="2079" max="2079" width="10.26953125" style="1427" customWidth="1"/>
    <col min="2080" max="2080" width="10.453125" style="1427" customWidth="1"/>
    <col min="2081" max="2304" width="9.08984375" style="1427"/>
    <col min="2305" max="2305" width="3.7265625" style="1427" customWidth="1"/>
    <col min="2306" max="2306" width="13.7265625" style="1427" customWidth="1"/>
    <col min="2307" max="2307" width="3.7265625" style="1427" customWidth="1"/>
    <col min="2308" max="2308" width="11.7265625" style="1427" customWidth="1"/>
    <col min="2309" max="2309" width="30.453125" style="1427" customWidth="1"/>
    <col min="2310" max="2310" width="21.08984375" style="1427" customWidth="1"/>
    <col min="2311" max="2313" width="10.26953125" style="1427" customWidth="1"/>
    <col min="2314" max="2314" width="11.453125" style="1427" customWidth="1"/>
    <col min="2315" max="2324" width="10.26953125" style="1427" customWidth="1"/>
    <col min="2325" max="2325" width="11" style="1427" customWidth="1"/>
    <col min="2326" max="2327" width="10.26953125" style="1427" customWidth="1"/>
    <col min="2328" max="2328" width="9" style="1427" customWidth="1"/>
    <col min="2329" max="2329" width="9.7265625" style="1427" customWidth="1"/>
    <col min="2330" max="2330" width="10" style="1427" customWidth="1"/>
    <col min="2331" max="2331" width="9.08984375" style="1427"/>
    <col min="2332" max="2332" width="10.90625" style="1427" customWidth="1"/>
    <col min="2333" max="2333" width="10.08984375" style="1427" customWidth="1"/>
    <col min="2334" max="2334" width="9.08984375" style="1427"/>
    <col min="2335" max="2335" width="10.26953125" style="1427" customWidth="1"/>
    <col min="2336" max="2336" width="10.453125" style="1427" customWidth="1"/>
    <col min="2337" max="2560" width="9.08984375" style="1427"/>
    <col min="2561" max="2561" width="3.7265625" style="1427" customWidth="1"/>
    <col min="2562" max="2562" width="13.7265625" style="1427" customWidth="1"/>
    <col min="2563" max="2563" width="3.7265625" style="1427" customWidth="1"/>
    <col min="2564" max="2564" width="11.7265625" style="1427" customWidth="1"/>
    <col min="2565" max="2565" width="30.453125" style="1427" customWidth="1"/>
    <col min="2566" max="2566" width="21.08984375" style="1427" customWidth="1"/>
    <col min="2567" max="2569" width="10.26953125" style="1427" customWidth="1"/>
    <col min="2570" max="2570" width="11.453125" style="1427" customWidth="1"/>
    <col min="2571" max="2580" width="10.26953125" style="1427" customWidth="1"/>
    <col min="2581" max="2581" width="11" style="1427" customWidth="1"/>
    <col min="2582" max="2583" width="10.26953125" style="1427" customWidth="1"/>
    <col min="2584" max="2584" width="9" style="1427" customWidth="1"/>
    <col min="2585" max="2585" width="9.7265625" style="1427" customWidth="1"/>
    <col min="2586" max="2586" width="10" style="1427" customWidth="1"/>
    <col min="2587" max="2587" width="9.08984375" style="1427"/>
    <col min="2588" max="2588" width="10.90625" style="1427" customWidth="1"/>
    <col min="2589" max="2589" width="10.08984375" style="1427" customWidth="1"/>
    <col min="2590" max="2590" width="9.08984375" style="1427"/>
    <col min="2591" max="2591" width="10.26953125" style="1427" customWidth="1"/>
    <col min="2592" max="2592" width="10.453125" style="1427" customWidth="1"/>
    <col min="2593" max="2816" width="9.08984375" style="1427"/>
    <col min="2817" max="2817" width="3.7265625" style="1427" customWidth="1"/>
    <col min="2818" max="2818" width="13.7265625" style="1427" customWidth="1"/>
    <col min="2819" max="2819" width="3.7265625" style="1427" customWidth="1"/>
    <col min="2820" max="2820" width="11.7265625" style="1427" customWidth="1"/>
    <col min="2821" max="2821" width="30.453125" style="1427" customWidth="1"/>
    <col min="2822" max="2822" width="21.08984375" style="1427" customWidth="1"/>
    <col min="2823" max="2825" width="10.26953125" style="1427" customWidth="1"/>
    <col min="2826" max="2826" width="11.453125" style="1427" customWidth="1"/>
    <col min="2827" max="2836" width="10.26953125" style="1427" customWidth="1"/>
    <col min="2837" max="2837" width="11" style="1427" customWidth="1"/>
    <col min="2838" max="2839" width="10.26953125" style="1427" customWidth="1"/>
    <col min="2840" max="2840" width="9" style="1427" customWidth="1"/>
    <col min="2841" max="2841" width="9.7265625" style="1427" customWidth="1"/>
    <col min="2842" max="2842" width="10" style="1427" customWidth="1"/>
    <col min="2843" max="2843" width="9.08984375" style="1427"/>
    <col min="2844" max="2844" width="10.90625" style="1427" customWidth="1"/>
    <col min="2845" max="2845" width="10.08984375" style="1427" customWidth="1"/>
    <col min="2846" max="2846" width="9.08984375" style="1427"/>
    <col min="2847" max="2847" width="10.26953125" style="1427" customWidth="1"/>
    <col min="2848" max="2848" width="10.453125" style="1427" customWidth="1"/>
    <col min="2849" max="3072" width="9.08984375" style="1427"/>
    <col min="3073" max="3073" width="3.7265625" style="1427" customWidth="1"/>
    <col min="3074" max="3074" width="13.7265625" style="1427" customWidth="1"/>
    <col min="3075" max="3075" width="3.7265625" style="1427" customWidth="1"/>
    <col min="3076" max="3076" width="11.7265625" style="1427" customWidth="1"/>
    <col min="3077" max="3077" width="30.453125" style="1427" customWidth="1"/>
    <col min="3078" max="3078" width="21.08984375" style="1427" customWidth="1"/>
    <col min="3079" max="3081" width="10.26953125" style="1427" customWidth="1"/>
    <col min="3082" max="3082" width="11.453125" style="1427" customWidth="1"/>
    <col min="3083" max="3092" width="10.26953125" style="1427" customWidth="1"/>
    <col min="3093" max="3093" width="11" style="1427" customWidth="1"/>
    <col min="3094" max="3095" width="10.26953125" style="1427" customWidth="1"/>
    <col min="3096" max="3096" width="9" style="1427" customWidth="1"/>
    <col min="3097" max="3097" width="9.7265625" style="1427" customWidth="1"/>
    <col min="3098" max="3098" width="10" style="1427" customWidth="1"/>
    <col min="3099" max="3099" width="9.08984375" style="1427"/>
    <col min="3100" max="3100" width="10.90625" style="1427" customWidth="1"/>
    <col min="3101" max="3101" width="10.08984375" style="1427" customWidth="1"/>
    <col min="3102" max="3102" width="9.08984375" style="1427"/>
    <col min="3103" max="3103" width="10.26953125" style="1427" customWidth="1"/>
    <col min="3104" max="3104" width="10.453125" style="1427" customWidth="1"/>
    <col min="3105" max="3328" width="9.08984375" style="1427"/>
    <col min="3329" max="3329" width="3.7265625" style="1427" customWidth="1"/>
    <col min="3330" max="3330" width="13.7265625" style="1427" customWidth="1"/>
    <col min="3331" max="3331" width="3.7265625" style="1427" customWidth="1"/>
    <col min="3332" max="3332" width="11.7265625" style="1427" customWidth="1"/>
    <col min="3333" max="3333" width="30.453125" style="1427" customWidth="1"/>
    <col min="3334" max="3334" width="21.08984375" style="1427" customWidth="1"/>
    <col min="3335" max="3337" width="10.26953125" style="1427" customWidth="1"/>
    <col min="3338" max="3338" width="11.453125" style="1427" customWidth="1"/>
    <col min="3339" max="3348" width="10.26953125" style="1427" customWidth="1"/>
    <col min="3349" max="3349" width="11" style="1427" customWidth="1"/>
    <col min="3350" max="3351" width="10.26953125" style="1427" customWidth="1"/>
    <col min="3352" max="3352" width="9" style="1427" customWidth="1"/>
    <col min="3353" max="3353" width="9.7265625" style="1427" customWidth="1"/>
    <col min="3354" max="3354" width="10" style="1427" customWidth="1"/>
    <col min="3355" max="3355" width="9.08984375" style="1427"/>
    <col min="3356" max="3356" width="10.90625" style="1427" customWidth="1"/>
    <col min="3357" max="3357" width="10.08984375" style="1427" customWidth="1"/>
    <col min="3358" max="3358" width="9.08984375" style="1427"/>
    <col min="3359" max="3359" width="10.26953125" style="1427" customWidth="1"/>
    <col min="3360" max="3360" width="10.453125" style="1427" customWidth="1"/>
    <col min="3361" max="3584" width="9.08984375" style="1427"/>
    <col min="3585" max="3585" width="3.7265625" style="1427" customWidth="1"/>
    <col min="3586" max="3586" width="13.7265625" style="1427" customWidth="1"/>
    <col min="3587" max="3587" width="3.7265625" style="1427" customWidth="1"/>
    <col min="3588" max="3588" width="11.7265625" style="1427" customWidth="1"/>
    <col min="3589" max="3589" width="30.453125" style="1427" customWidth="1"/>
    <col min="3590" max="3590" width="21.08984375" style="1427" customWidth="1"/>
    <col min="3591" max="3593" width="10.26953125" style="1427" customWidth="1"/>
    <col min="3594" max="3594" width="11.453125" style="1427" customWidth="1"/>
    <col min="3595" max="3604" width="10.26953125" style="1427" customWidth="1"/>
    <col min="3605" max="3605" width="11" style="1427" customWidth="1"/>
    <col min="3606" max="3607" width="10.26953125" style="1427" customWidth="1"/>
    <col min="3608" max="3608" width="9" style="1427" customWidth="1"/>
    <col min="3609" max="3609" width="9.7265625" style="1427" customWidth="1"/>
    <col min="3610" max="3610" width="10" style="1427" customWidth="1"/>
    <col min="3611" max="3611" width="9.08984375" style="1427"/>
    <col min="3612" max="3612" width="10.90625" style="1427" customWidth="1"/>
    <col min="3613" max="3613" width="10.08984375" style="1427" customWidth="1"/>
    <col min="3614" max="3614" width="9.08984375" style="1427"/>
    <col min="3615" max="3615" width="10.26953125" style="1427" customWidth="1"/>
    <col min="3616" max="3616" width="10.453125" style="1427" customWidth="1"/>
    <col min="3617" max="3840" width="9.08984375" style="1427"/>
    <col min="3841" max="3841" width="3.7265625" style="1427" customWidth="1"/>
    <col min="3842" max="3842" width="13.7265625" style="1427" customWidth="1"/>
    <col min="3843" max="3843" width="3.7265625" style="1427" customWidth="1"/>
    <col min="3844" max="3844" width="11.7265625" style="1427" customWidth="1"/>
    <col min="3845" max="3845" width="30.453125" style="1427" customWidth="1"/>
    <col min="3846" max="3846" width="21.08984375" style="1427" customWidth="1"/>
    <col min="3847" max="3849" width="10.26953125" style="1427" customWidth="1"/>
    <col min="3850" max="3850" width="11.453125" style="1427" customWidth="1"/>
    <col min="3851" max="3860" width="10.26953125" style="1427" customWidth="1"/>
    <col min="3861" max="3861" width="11" style="1427" customWidth="1"/>
    <col min="3862" max="3863" width="10.26953125" style="1427" customWidth="1"/>
    <col min="3864" max="3864" width="9" style="1427" customWidth="1"/>
    <col min="3865" max="3865" width="9.7265625" style="1427" customWidth="1"/>
    <col min="3866" max="3866" width="10" style="1427" customWidth="1"/>
    <col min="3867" max="3867" width="9.08984375" style="1427"/>
    <col min="3868" max="3868" width="10.90625" style="1427" customWidth="1"/>
    <col min="3869" max="3869" width="10.08984375" style="1427" customWidth="1"/>
    <col min="3870" max="3870" width="9.08984375" style="1427"/>
    <col min="3871" max="3871" width="10.26953125" style="1427" customWidth="1"/>
    <col min="3872" max="3872" width="10.453125" style="1427" customWidth="1"/>
    <col min="3873" max="4096" width="9.08984375" style="1427"/>
    <col min="4097" max="4097" width="3.7265625" style="1427" customWidth="1"/>
    <col min="4098" max="4098" width="13.7265625" style="1427" customWidth="1"/>
    <col min="4099" max="4099" width="3.7265625" style="1427" customWidth="1"/>
    <col min="4100" max="4100" width="11.7265625" style="1427" customWidth="1"/>
    <col min="4101" max="4101" width="30.453125" style="1427" customWidth="1"/>
    <col min="4102" max="4102" width="21.08984375" style="1427" customWidth="1"/>
    <col min="4103" max="4105" width="10.26953125" style="1427" customWidth="1"/>
    <col min="4106" max="4106" width="11.453125" style="1427" customWidth="1"/>
    <col min="4107" max="4116" width="10.26953125" style="1427" customWidth="1"/>
    <col min="4117" max="4117" width="11" style="1427" customWidth="1"/>
    <col min="4118" max="4119" width="10.26953125" style="1427" customWidth="1"/>
    <col min="4120" max="4120" width="9" style="1427" customWidth="1"/>
    <col min="4121" max="4121" width="9.7265625" style="1427" customWidth="1"/>
    <col min="4122" max="4122" width="10" style="1427" customWidth="1"/>
    <col min="4123" max="4123" width="9.08984375" style="1427"/>
    <col min="4124" max="4124" width="10.90625" style="1427" customWidth="1"/>
    <col min="4125" max="4125" width="10.08984375" style="1427" customWidth="1"/>
    <col min="4126" max="4126" width="9.08984375" style="1427"/>
    <col min="4127" max="4127" width="10.26953125" style="1427" customWidth="1"/>
    <col min="4128" max="4128" width="10.453125" style="1427" customWidth="1"/>
    <col min="4129" max="4352" width="9.08984375" style="1427"/>
    <col min="4353" max="4353" width="3.7265625" style="1427" customWidth="1"/>
    <col min="4354" max="4354" width="13.7265625" style="1427" customWidth="1"/>
    <col min="4355" max="4355" width="3.7265625" style="1427" customWidth="1"/>
    <col min="4356" max="4356" width="11.7265625" style="1427" customWidth="1"/>
    <col min="4357" max="4357" width="30.453125" style="1427" customWidth="1"/>
    <col min="4358" max="4358" width="21.08984375" style="1427" customWidth="1"/>
    <col min="4359" max="4361" width="10.26953125" style="1427" customWidth="1"/>
    <col min="4362" max="4362" width="11.453125" style="1427" customWidth="1"/>
    <col min="4363" max="4372" width="10.26953125" style="1427" customWidth="1"/>
    <col min="4373" max="4373" width="11" style="1427" customWidth="1"/>
    <col min="4374" max="4375" width="10.26953125" style="1427" customWidth="1"/>
    <col min="4376" max="4376" width="9" style="1427" customWidth="1"/>
    <col min="4377" max="4377" width="9.7265625" style="1427" customWidth="1"/>
    <col min="4378" max="4378" width="10" style="1427" customWidth="1"/>
    <col min="4379" max="4379" width="9.08984375" style="1427"/>
    <col min="4380" max="4380" width="10.90625" style="1427" customWidth="1"/>
    <col min="4381" max="4381" width="10.08984375" style="1427" customWidth="1"/>
    <col min="4382" max="4382" width="9.08984375" style="1427"/>
    <col min="4383" max="4383" width="10.26953125" style="1427" customWidth="1"/>
    <col min="4384" max="4384" width="10.453125" style="1427" customWidth="1"/>
    <col min="4385" max="4608" width="9.08984375" style="1427"/>
    <col min="4609" max="4609" width="3.7265625" style="1427" customWidth="1"/>
    <col min="4610" max="4610" width="13.7265625" style="1427" customWidth="1"/>
    <col min="4611" max="4611" width="3.7265625" style="1427" customWidth="1"/>
    <col min="4612" max="4612" width="11.7265625" style="1427" customWidth="1"/>
    <col min="4613" max="4613" width="30.453125" style="1427" customWidth="1"/>
    <col min="4614" max="4614" width="21.08984375" style="1427" customWidth="1"/>
    <col min="4615" max="4617" width="10.26953125" style="1427" customWidth="1"/>
    <col min="4618" max="4618" width="11.453125" style="1427" customWidth="1"/>
    <col min="4619" max="4628" width="10.26953125" style="1427" customWidth="1"/>
    <col min="4629" max="4629" width="11" style="1427" customWidth="1"/>
    <col min="4630" max="4631" width="10.26953125" style="1427" customWidth="1"/>
    <col min="4632" max="4632" width="9" style="1427" customWidth="1"/>
    <col min="4633" max="4633" width="9.7265625" style="1427" customWidth="1"/>
    <col min="4634" max="4634" width="10" style="1427" customWidth="1"/>
    <col min="4635" max="4635" width="9.08984375" style="1427"/>
    <col min="4636" max="4636" width="10.90625" style="1427" customWidth="1"/>
    <col min="4637" max="4637" width="10.08984375" style="1427" customWidth="1"/>
    <col min="4638" max="4638" width="9.08984375" style="1427"/>
    <col min="4639" max="4639" width="10.26953125" style="1427" customWidth="1"/>
    <col min="4640" max="4640" width="10.453125" style="1427" customWidth="1"/>
    <col min="4641" max="4864" width="9.08984375" style="1427"/>
    <col min="4865" max="4865" width="3.7265625" style="1427" customWidth="1"/>
    <col min="4866" max="4866" width="13.7265625" style="1427" customWidth="1"/>
    <col min="4867" max="4867" width="3.7265625" style="1427" customWidth="1"/>
    <col min="4868" max="4868" width="11.7265625" style="1427" customWidth="1"/>
    <col min="4869" max="4869" width="30.453125" style="1427" customWidth="1"/>
    <col min="4870" max="4870" width="21.08984375" style="1427" customWidth="1"/>
    <col min="4871" max="4873" width="10.26953125" style="1427" customWidth="1"/>
    <col min="4874" max="4874" width="11.453125" style="1427" customWidth="1"/>
    <col min="4875" max="4884" width="10.26953125" style="1427" customWidth="1"/>
    <col min="4885" max="4885" width="11" style="1427" customWidth="1"/>
    <col min="4886" max="4887" width="10.26953125" style="1427" customWidth="1"/>
    <col min="4888" max="4888" width="9" style="1427" customWidth="1"/>
    <col min="4889" max="4889" width="9.7265625" style="1427" customWidth="1"/>
    <col min="4890" max="4890" width="10" style="1427" customWidth="1"/>
    <col min="4891" max="4891" width="9.08984375" style="1427"/>
    <col min="4892" max="4892" width="10.90625" style="1427" customWidth="1"/>
    <col min="4893" max="4893" width="10.08984375" style="1427" customWidth="1"/>
    <col min="4894" max="4894" width="9.08984375" style="1427"/>
    <col min="4895" max="4895" width="10.26953125" style="1427" customWidth="1"/>
    <col min="4896" max="4896" width="10.453125" style="1427" customWidth="1"/>
    <col min="4897" max="5120" width="9.08984375" style="1427"/>
    <col min="5121" max="5121" width="3.7265625" style="1427" customWidth="1"/>
    <col min="5122" max="5122" width="13.7265625" style="1427" customWidth="1"/>
    <col min="5123" max="5123" width="3.7265625" style="1427" customWidth="1"/>
    <col min="5124" max="5124" width="11.7265625" style="1427" customWidth="1"/>
    <col min="5125" max="5125" width="30.453125" style="1427" customWidth="1"/>
    <col min="5126" max="5126" width="21.08984375" style="1427" customWidth="1"/>
    <col min="5127" max="5129" width="10.26953125" style="1427" customWidth="1"/>
    <col min="5130" max="5130" width="11.453125" style="1427" customWidth="1"/>
    <col min="5131" max="5140" width="10.26953125" style="1427" customWidth="1"/>
    <col min="5141" max="5141" width="11" style="1427" customWidth="1"/>
    <col min="5142" max="5143" width="10.26953125" style="1427" customWidth="1"/>
    <col min="5144" max="5144" width="9" style="1427" customWidth="1"/>
    <col min="5145" max="5145" width="9.7265625" style="1427" customWidth="1"/>
    <col min="5146" max="5146" width="10" style="1427" customWidth="1"/>
    <col min="5147" max="5147" width="9.08984375" style="1427"/>
    <col min="5148" max="5148" width="10.90625" style="1427" customWidth="1"/>
    <col min="5149" max="5149" width="10.08984375" style="1427" customWidth="1"/>
    <col min="5150" max="5150" width="9.08984375" style="1427"/>
    <col min="5151" max="5151" width="10.26953125" style="1427" customWidth="1"/>
    <col min="5152" max="5152" width="10.453125" style="1427" customWidth="1"/>
    <col min="5153" max="5376" width="9.08984375" style="1427"/>
    <col min="5377" max="5377" width="3.7265625" style="1427" customWidth="1"/>
    <col min="5378" max="5378" width="13.7265625" style="1427" customWidth="1"/>
    <col min="5379" max="5379" width="3.7265625" style="1427" customWidth="1"/>
    <col min="5380" max="5380" width="11.7265625" style="1427" customWidth="1"/>
    <col min="5381" max="5381" width="30.453125" style="1427" customWidth="1"/>
    <col min="5382" max="5382" width="21.08984375" style="1427" customWidth="1"/>
    <col min="5383" max="5385" width="10.26953125" style="1427" customWidth="1"/>
    <col min="5386" max="5386" width="11.453125" style="1427" customWidth="1"/>
    <col min="5387" max="5396" width="10.26953125" style="1427" customWidth="1"/>
    <col min="5397" max="5397" width="11" style="1427" customWidth="1"/>
    <col min="5398" max="5399" width="10.26953125" style="1427" customWidth="1"/>
    <col min="5400" max="5400" width="9" style="1427" customWidth="1"/>
    <col min="5401" max="5401" width="9.7265625" style="1427" customWidth="1"/>
    <col min="5402" max="5402" width="10" style="1427" customWidth="1"/>
    <col min="5403" max="5403" width="9.08984375" style="1427"/>
    <col min="5404" max="5404" width="10.90625" style="1427" customWidth="1"/>
    <col min="5405" max="5405" width="10.08984375" style="1427" customWidth="1"/>
    <col min="5406" max="5406" width="9.08984375" style="1427"/>
    <col min="5407" max="5407" width="10.26953125" style="1427" customWidth="1"/>
    <col min="5408" max="5408" width="10.453125" style="1427" customWidth="1"/>
    <col min="5409" max="5632" width="9.08984375" style="1427"/>
    <col min="5633" max="5633" width="3.7265625" style="1427" customWidth="1"/>
    <col min="5634" max="5634" width="13.7265625" style="1427" customWidth="1"/>
    <col min="5635" max="5635" width="3.7265625" style="1427" customWidth="1"/>
    <col min="5636" max="5636" width="11.7265625" style="1427" customWidth="1"/>
    <col min="5637" max="5637" width="30.453125" style="1427" customWidth="1"/>
    <col min="5638" max="5638" width="21.08984375" style="1427" customWidth="1"/>
    <col min="5639" max="5641" width="10.26953125" style="1427" customWidth="1"/>
    <col min="5642" max="5642" width="11.453125" style="1427" customWidth="1"/>
    <col min="5643" max="5652" width="10.26953125" style="1427" customWidth="1"/>
    <col min="5653" max="5653" width="11" style="1427" customWidth="1"/>
    <col min="5654" max="5655" width="10.26953125" style="1427" customWidth="1"/>
    <col min="5656" max="5656" width="9" style="1427" customWidth="1"/>
    <col min="5657" max="5657" width="9.7265625" style="1427" customWidth="1"/>
    <col min="5658" max="5658" width="10" style="1427" customWidth="1"/>
    <col min="5659" max="5659" width="9.08984375" style="1427"/>
    <col min="5660" max="5660" width="10.90625" style="1427" customWidth="1"/>
    <col min="5661" max="5661" width="10.08984375" style="1427" customWidth="1"/>
    <col min="5662" max="5662" width="9.08984375" style="1427"/>
    <col min="5663" max="5663" width="10.26953125" style="1427" customWidth="1"/>
    <col min="5664" max="5664" width="10.453125" style="1427" customWidth="1"/>
    <col min="5665" max="5888" width="9.08984375" style="1427"/>
    <col min="5889" max="5889" width="3.7265625" style="1427" customWidth="1"/>
    <col min="5890" max="5890" width="13.7265625" style="1427" customWidth="1"/>
    <col min="5891" max="5891" width="3.7265625" style="1427" customWidth="1"/>
    <col min="5892" max="5892" width="11.7265625" style="1427" customWidth="1"/>
    <col min="5893" max="5893" width="30.453125" style="1427" customWidth="1"/>
    <col min="5894" max="5894" width="21.08984375" style="1427" customWidth="1"/>
    <col min="5895" max="5897" width="10.26953125" style="1427" customWidth="1"/>
    <col min="5898" max="5898" width="11.453125" style="1427" customWidth="1"/>
    <col min="5899" max="5908" width="10.26953125" style="1427" customWidth="1"/>
    <col min="5909" max="5909" width="11" style="1427" customWidth="1"/>
    <col min="5910" max="5911" width="10.26953125" style="1427" customWidth="1"/>
    <col min="5912" max="5912" width="9" style="1427" customWidth="1"/>
    <col min="5913" max="5913" width="9.7265625" style="1427" customWidth="1"/>
    <col min="5914" max="5914" width="10" style="1427" customWidth="1"/>
    <col min="5915" max="5915" width="9.08984375" style="1427"/>
    <col min="5916" max="5916" width="10.90625" style="1427" customWidth="1"/>
    <col min="5917" max="5917" width="10.08984375" style="1427" customWidth="1"/>
    <col min="5918" max="5918" width="9.08984375" style="1427"/>
    <col min="5919" max="5919" width="10.26953125" style="1427" customWidth="1"/>
    <col min="5920" max="5920" width="10.453125" style="1427" customWidth="1"/>
    <col min="5921" max="6144" width="9.08984375" style="1427"/>
    <col min="6145" max="6145" width="3.7265625" style="1427" customWidth="1"/>
    <col min="6146" max="6146" width="13.7265625" style="1427" customWidth="1"/>
    <col min="6147" max="6147" width="3.7265625" style="1427" customWidth="1"/>
    <col min="6148" max="6148" width="11.7265625" style="1427" customWidth="1"/>
    <col min="6149" max="6149" width="30.453125" style="1427" customWidth="1"/>
    <col min="6150" max="6150" width="21.08984375" style="1427" customWidth="1"/>
    <col min="6151" max="6153" width="10.26953125" style="1427" customWidth="1"/>
    <col min="6154" max="6154" width="11.453125" style="1427" customWidth="1"/>
    <col min="6155" max="6164" width="10.26953125" style="1427" customWidth="1"/>
    <col min="6165" max="6165" width="11" style="1427" customWidth="1"/>
    <col min="6166" max="6167" width="10.26953125" style="1427" customWidth="1"/>
    <col min="6168" max="6168" width="9" style="1427" customWidth="1"/>
    <col min="6169" max="6169" width="9.7265625" style="1427" customWidth="1"/>
    <col min="6170" max="6170" width="10" style="1427" customWidth="1"/>
    <col min="6171" max="6171" width="9.08984375" style="1427"/>
    <col min="6172" max="6172" width="10.90625" style="1427" customWidth="1"/>
    <col min="6173" max="6173" width="10.08984375" style="1427" customWidth="1"/>
    <col min="6174" max="6174" width="9.08984375" style="1427"/>
    <col min="6175" max="6175" width="10.26953125" style="1427" customWidth="1"/>
    <col min="6176" max="6176" width="10.453125" style="1427" customWidth="1"/>
    <col min="6177" max="6400" width="9.08984375" style="1427"/>
    <col min="6401" max="6401" width="3.7265625" style="1427" customWidth="1"/>
    <col min="6402" max="6402" width="13.7265625" style="1427" customWidth="1"/>
    <col min="6403" max="6403" width="3.7265625" style="1427" customWidth="1"/>
    <col min="6404" max="6404" width="11.7265625" style="1427" customWidth="1"/>
    <col min="6405" max="6405" width="30.453125" style="1427" customWidth="1"/>
    <col min="6406" max="6406" width="21.08984375" style="1427" customWidth="1"/>
    <col min="6407" max="6409" width="10.26953125" style="1427" customWidth="1"/>
    <col min="6410" max="6410" width="11.453125" style="1427" customWidth="1"/>
    <col min="6411" max="6420" width="10.26953125" style="1427" customWidth="1"/>
    <col min="6421" max="6421" width="11" style="1427" customWidth="1"/>
    <col min="6422" max="6423" width="10.26953125" style="1427" customWidth="1"/>
    <col min="6424" max="6424" width="9" style="1427" customWidth="1"/>
    <col min="6425" max="6425" width="9.7265625" style="1427" customWidth="1"/>
    <col min="6426" max="6426" width="10" style="1427" customWidth="1"/>
    <col min="6427" max="6427" width="9.08984375" style="1427"/>
    <col min="6428" max="6428" width="10.90625" style="1427" customWidth="1"/>
    <col min="6429" max="6429" width="10.08984375" style="1427" customWidth="1"/>
    <col min="6430" max="6430" width="9.08984375" style="1427"/>
    <col min="6431" max="6431" width="10.26953125" style="1427" customWidth="1"/>
    <col min="6432" max="6432" width="10.453125" style="1427" customWidth="1"/>
    <col min="6433" max="6656" width="9.08984375" style="1427"/>
    <col min="6657" max="6657" width="3.7265625" style="1427" customWidth="1"/>
    <col min="6658" max="6658" width="13.7265625" style="1427" customWidth="1"/>
    <col min="6659" max="6659" width="3.7265625" style="1427" customWidth="1"/>
    <col min="6660" max="6660" width="11.7265625" style="1427" customWidth="1"/>
    <col min="6661" max="6661" width="30.453125" style="1427" customWidth="1"/>
    <col min="6662" max="6662" width="21.08984375" style="1427" customWidth="1"/>
    <col min="6663" max="6665" width="10.26953125" style="1427" customWidth="1"/>
    <col min="6666" max="6666" width="11.453125" style="1427" customWidth="1"/>
    <col min="6667" max="6676" width="10.26953125" style="1427" customWidth="1"/>
    <col min="6677" max="6677" width="11" style="1427" customWidth="1"/>
    <col min="6678" max="6679" width="10.26953125" style="1427" customWidth="1"/>
    <col min="6680" max="6680" width="9" style="1427" customWidth="1"/>
    <col min="6681" max="6681" width="9.7265625" style="1427" customWidth="1"/>
    <col min="6682" max="6682" width="10" style="1427" customWidth="1"/>
    <col min="6683" max="6683" width="9.08984375" style="1427"/>
    <col min="6684" max="6684" width="10.90625" style="1427" customWidth="1"/>
    <col min="6685" max="6685" width="10.08984375" style="1427" customWidth="1"/>
    <col min="6686" max="6686" width="9.08984375" style="1427"/>
    <col min="6687" max="6687" width="10.26953125" style="1427" customWidth="1"/>
    <col min="6688" max="6688" width="10.453125" style="1427" customWidth="1"/>
    <col min="6689" max="6912" width="9.08984375" style="1427"/>
    <col min="6913" max="6913" width="3.7265625" style="1427" customWidth="1"/>
    <col min="6914" max="6914" width="13.7265625" style="1427" customWidth="1"/>
    <col min="6915" max="6915" width="3.7265625" style="1427" customWidth="1"/>
    <col min="6916" max="6916" width="11.7265625" style="1427" customWidth="1"/>
    <col min="6917" max="6917" width="30.453125" style="1427" customWidth="1"/>
    <col min="6918" max="6918" width="21.08984375" style="1427" customWidth="1"/>
    <col min="6919" max="6921" width="10.26953125" style="1427" customWidth="1"/>
    <col min="6922" max="6922" width="11.453125" style="1427" customWidth="1"/>
    <col min="6923" max="6932" width="10.26953125" style="1427" customWidth="1"/>
    <col min="6933" max="6933" width="11" style="1427" customWidth="1"/>
    <col min="6934" max="6935" width="10.26953125" style="1427" customWidth="1"/>
    <col min="6936" max="6936" width="9" style="1427" customWidth="1"/>
    <col min="6937" max="6937" width="9.7265625" style="1427" customWidth="1"/>
    <col min="6938" max="6938" width="10" style="1427" customWidth="1"/>
    <col min="6939" max="6939" width="9.08984375" style="1427"/>
    <col min="6940" max="6940" width="10.90625" style="1427" customWidth="1"/>
    <col min="6941" max="6941" width="10.08984375" style="1427" customWidth="1"/>
    <col min="6942" max="6942" width="9.08984375" style="1427"/>
    <col min="6943" max="6943" width="10.26953125" style="1427" customWidth="1"/>
    <col min="6944" max="6944" width="10.453125" style="1427" customWidth="1"/>
    <col min="6945" max="7168" width="9.08984375" style="1427"/>
    <col min="7169" max="7169" width="3.7265625" style="1427" customWidth="1"/>
    <col min="7170" max="7170" width="13.7265625" style="1427" customWidth="1"/>
    <col min="7171" max="7171" width="3.7265625" style="1427" customWidth="1"/>
    <col min="7172" max="7172" width="11.7265625" style="1427" customWidth="1"/>
    <col min="7173" max="7173" width="30.453125" style="1427" customWidth="1"/>
    <col min="7174" max="7174" width="21.08984375" style="1427" customWidth="1"/>
    <col min="7175" max="7177" width="10.26953125" style="1427" customWidth="1"/>
    <col min="7178" max="7178" width="11.453125" style="1427" customWidth="1"/>
    <col min="7179" max="7188" width="10.26953125" style="1427" customWidth="1"/>
    <col min="7189" max="7189" width="11" style="1427" customWidth="1"/>
    <col min="7190" max="7191" width="10.26953125" style="1427" customWidth="1"/>
    <col min="7192" max="7192" width="9" style="1427" customWidth="1"/>
    <col min="7193" max="7193" width="9.7265625" style="1427" customWidth="1"/>
    <col min="7194" max="7194" width="10" style="1427" customWidth="1"/>
    <col min="7195" max="7195" width="9.08984375" style="1427"/>
    <col min="7196" max="7196" width="10.90625" style="1427" customWidth="1"/>
    <col min="7197" max="7197" width="10.08984375" style="1427" customWidth="1"/>
    <col min="7198" max="7198" width="9.08984375" style="1427"/>
    <col min="7199" max="7199" width="10.26953125" style="1427" customWidth="1"/>
    <col min="7200" max="7200" width="10.453125" style="1427" customWidth="1"/>
    <col min="7201" max="7424" width="9.08984375" style="1427"/>
    <col min="7425" max="7425" width="3.7265625" style="1427" customWidth="1"/>
    <col min="7426" max="7426" width="13.7265625" style="1427" customWidth="1"/>
    <col min="7427" max="7427" width="3.7265625" style="1427" customWidth="1"/>
    <col min="7428" max="7428" width="11.7265625" style="1427" customWidth="1"/>
    <col min="7429" max="7429" width="30.453125" style="1427" customWidth="1"/>
    <col min="7430" max="7430" width="21.08984375" style="1427" customWidth="1"/>
    <col min="7431" max="7433" width="10.26953125" style="1427" customWidth="1"/>
    <col min="7434" max="7434" width="11.453125" style="1427" customWidth="1"/>
    <col min="7435" max="7444" width="10.26953125" style="1427" customWidth="1"/>
    <col min="7445" max="7445" width="11" style="1427" customWidth="1"/>
    <col min="7446" max="7447" width="10.26953125" style="1427" customWidth="1"/>
    <col min="7448" max="7448" width="9" style="1427" customWidth="1"/>
    <col min="7449" max="7449" width="9.7265625" style="1427" customWidth="1"/>
    <col min="7450" max="7450" width="10" style="1427" customWidth="1"/>
    <col min="7451" max="7451" width="9.08984375" style="1427"/>
    <col min="7452" max="7452" width="10.90625" style="1427" customWidth="1"/>
    <col min="7453" max="7453" width="10.08984375" style="1427" customWidth="1"/>
    <col min="7454" max="7454" width="9.08984375" style="1427"/>
    <col min="7455" max="7455" width="10.26953125" style="1427" customWidth="1"/>
    <col min="7456" max="7456" width="10.453125" style="1427" customWidth="1"/>
    <col min="7457" max="7680" width="9.08984375" style="1427"/>
    <col min="7681" max="7681" width="3.7265625" style="1427" customWidth="1"/>
    <col min="7682" max="7682" width="13.7265625" style="1427" customWidth="1"/>
    <col min="7683" max="7683" width="3.7265625" style="1427" customWidth="1"/>
    <col min="7684" max="7684" width="11.7265625" style="1427" customWidth="1"/>
    <col min="7685" max="7685" width="30.453125" style="1427" customWidth="1"/>
    <col min="7686" max="7686" width="21.08984375" style="1427" customWidth="1"/>
    <col min="7687" max="7689" width="10.26953125" style="1427" customWidth="1"/>
    <col min="7690" max="7690" width="11.453125" style="1427" customWidth="1"/>
    <col min="7691" max="7700" width="10.26953125" style="1427" customWidth="1"/>
    <col min="7701" max="7701" width="11" style="1427" customWidth="1"/>
    <col min="7702" max="7703" width="10.26953125" style="1427" customWidth="1"/>
    <col min="7704" max="7704" width="9" style="1427" customWidth="1"/>
    <col min="7705" max="7705" width="9.7265625" style="1427" customWidth="1"/>
    <col min="7706" max="7706" width="10" style="1427" customWidth="1"/>
    <col min="7707" max="7707" width="9.08984375" style="1427"/>
    <col min="7708" max="7708" width="10.90625" style="1427" customWidth="1"/>
    <col min="7709" max="7709" width="10.08984375" style="1427" customWidth="1"/>
    <col min="7710" max="7710" width="9.08984375" style="1427"/>
    <col min="7711" max="7711" width="10.26953125" style="1427" customWidth="1"/>
    <col min="7712" max="7712" width="10.453125" style="1427" customWidth="1"/>
    <col min="7713" max="7936" width="9.08984375" style="1427"/>
    <col min="7937" max="7937" width="3.7265625" style="1427" customWidth="1"/>
    <col min="7938" max="7938" width="13.7265625" style="1427" customWidth="1"/>
    <col min="7939" max="7939" width="3.7265625" style="1427" customWidth="1"/>
    <col min="7940" max="7940" width="11.7265625" style="1427" customWidth="1"/>
    <col min="7941" max="7941" width="30.453125" style="1427" customWidth="1"/>
    <col min="7942" max="7942" width="21.08984375" style="1427" customWidth="1"/>
    <col min="7943" max="7945" width="10.26953125" style="1427" customWidth="1"/>
    <col min="7946" max="7946" width="11.453125" style="1427" customWidth="1"/>
    <col min="7947" max="7956" width="10.26953125" style="1427" customWidth="1"/>
    <col min="7957" max="7957" width="11" style="1427" customWidth="1"/>
    <col min="7958" max="7959" width="10.26953125" style="1427" customWidth="1"/>
    <col min="7960" max="7960" width="9" style="1427" customWidth="1"/>
    <col min="7961" max="7961" width="9.7265625" style="1427" customWidth="1"/>
    <col min="7962" max="7962" width="10" style="1427" customWidth="1"/>
    <col min="7963" max="7963" width="9.08984375" style="1427"/>
    <col min="7964" max="7964" width="10.90625" style="1427" customWidth="1"/>
    <col min="7965" max="7965" width="10.08984375" style="1427" customWidth="1"/>
    <col min="7966" max="7966" width="9.08984375" style="1427"/>
    <col min="7967" max="7967" width="10.26953125" style="1427" customWidth="1"/>
    <col min="7968" max="7968" width="10.453125" style="1427" customWidth="1"/>
    <col min="7969" max="8192" width="9.08984375" style="1427"/>
    <col min="8193" max="8193" width="3.7265625" style="1427" customWidth="1"/>
    <col min="8194" max="8194" width="13.7265625" style="1427" customWidth="1"/>
    <col min="8195" max="8195" width="3.7265625" style="1427" customWidth="1"/>
    <col min="8196" max="8196" width="11.7265625" style="1427" customWidth="1"/>
    <col min="8197" max="8197" width="30.453125" style="1427" customWidth="1"/>
    <col min="8198" max="8198" width="21.08984375" style="1427" customWidth="1"/>
    <col min="8199" max="8201" width="10.26953125" style="1427" customWidth="1"/>
    <col min="8202" max="8202" width="11.453125" style="1427" customWidth="1"/>
    <col min="8203" max="8212" width="10.26953125" style="1427" customWidth="1"/>
    <col min="8213" max="8213" width="11" style="1427" customWidth="1"/>
    <col min="8214" max="8215" width="10.26953125" style="1427" customWidth="1"/>
    <col min="8216" max="8216" width="9" style="1427" customWidth="1"/>
    <col min="8217" max="8217" width="9.7265625" style="1427" customWidth="1"/>
    <col min="8218" max="8218" width="10" style="1427" customWidth="1"/>
    <col min="8219" max="8219" width="9.08984375" style="1427"/>
    <col min="8220" max="8220" width="10.90625" style="1427" customWidth="1"/>
    <col min="8221" max="8221" width="10.08984375" style="1427" customWidth="1"/>
    <col min="8222" max="8222" width="9.08984375" style="1427"/>
    <col min="8223" max="8223" width="10.26953125" style="1427" customWidth="1"/>
    <col min="8224" max="8224" width="10.453125" style="1427" customWidth="1"/>
    <col min="8225" max="8448" width="9.08984375" style="1427"/>
    <col min="8449" max="8449" width="3.7265625" style="1427" customWidth="1"/>
    <col min="8450" max="8450" width="13.7265625" style="1427" customWidth="1"/>
    <col min="8451" max="8451" width="3.7265625" style="1427" customWidth="1"/>
    <col min="8452" max="8452" width="11.7265625" style="1427" customWidth="1"/>
    <col min="8453" max="8453" width="30.453125" style="1427" customWidth="1"/>
    <col min="8454" max="8454" width="21.08984375" style="1427" customWidth="1"/>
    <col min="8455" max="8457" width="10.26953125" style="1427" customWidth="1"/>
    <col min="8458" max="8458" width="11.453125" style="1427" customWidth="1"/>
    <col min="8459" max="8468" width="10.26953125" style="1427" customWidth="1"/>
    <col min="8469" max="8469" width="11" style="1427" customWidth="1"/>
    <col min="8470" max="8471" width="10.26953125" style="1427" customWidth="1"/>
    <col min="8472" max="8472" width="9" style="1427" customWidth="1"/>
    <col min="8473" max="8473" width="9.7265625" style="1427" customWidth="1"/>
    <col min="8474" max="8474" width="10" style="1427" customWidth="1"/>
    <col min="8475" max="8475" width="9.08984375" style="1427"/>
    <col min="8476" max="8476" width="10.90625" style="1427" customWidth="1"/>
    <col min="8477" max="8477" width="10.08984375" style="1427" customWidth="1"/>
    <col min="8478" max="8478" width="9.08984375" style="1427"/>
    <col min="8479" max="8479" width="10.26953125" style="1427" customWidth="1"/>
    <col min="8480" max="8480" width="10.453125" style="1427" customWidth="1"/>
    <col min="8481" max="8704" width="9.08984375" style="1427"/>
    <col min="8705" max="8705" width="3.7265625" style="1427" customWidth="1"/>
    <col min="8706" max="8706" width="13.7265625" style="1427" customWidth="1"/>
    <col min="8707" max="8707" width="3.7265625" style="1427" customWidth="1"/>
    <col min="8708" max="8708" width="11.7265625" style="1427" customWidth="1"/>
    <col min="8709" max="8709" width="30.453125" style="1427" customWidth="1"/>
    <col min="8710" max="8710" width="21.08984375" style="1427" customWidth="1"/>
    <col min="8711" max="8713" width="10.26953125" style="1427" customWidth="1"/>
    <col min="8714" max="8714" width="11.453125" style="1427" customWidth="1"/>
    <col min="8715" max="8724" width="10.26953125" style="1427" customWidth="1"/>
    <col min="8725" max="8725" width="11" style="1427" customWidth="1"/>
    <col min="8726" max="8727" width="10.26953125" style="1427" customWidth="1"/>
    <col min="8728" max="8728" width="9" style="1427" customWidth="1"/>
    <col min="8729" max="8729" width="9.7265625" style="1427" customWidth="1"/>
    <col min="8730" max="8730" width="10" style="1427" customWidth="1"/>
    <col min="8731" max="8731" width="9.08984375" style="1427"/>
    <col min="8732" max="8732" width="10.90625" style="1427" customWidth="1"/>
    <col min="8733" max="8733" width="10.08984375" style="1427" customWidth="1"/>
    <col min="8734" max="8734" width="9.08984375" style="1427"/>
    <col min="8735" max="8735" width="10.26953125" style="1427" customWidth="1"/>
    <col min="8736" max="8736" width="10.453125" style="1427" customWidth="1"/>
    <col min="8737" max="8960" width="9.08984375" style="1427"/>
    <col min="8961" max="8961" width="3.7265625" style="1427" customWidth="1"/>
    <col min="8962" max="8962" width="13.7265625" style="1427" customWidth="1"/>
    <col min="8963" max="8963" width="3.7265625" style="1427" customWidth="1"/>
    <col min="8964" max="8964" width="11.7265625" style="1427" customWidth="1"/>
    <col min="8965" max="8965" width="30.453125" style="1427" customWidth="1"/>
    <col min="8966" max="8966" width="21.08984375" style="1427" customWidth="1"/>
    <col min="8967" max="8969" width="10.26953125" style="1427" customWidth="1"/>
    <col min="8970" max="8970" width="11.453125" style="1427" customWidth="1"/>
    <col min="8971" max="8980" width="10.26953125" style="1427" customWidth="1"/>
    <col min="8981" max="8981" width="11" style="1427" customWidth="1"/>
    <col min="8982" max="8983" width="10.26953125" style="1427" customWidth="1"/>
    <col min="8984" max="8984" width="9" style="1427" customWidth="1"/>
    <col min="8985" max="8985" width="9.7265625" style="1427" customWidth="1"/>
    <col min="8986" max="8986" width="10" style="1427" customWidth="1"/>
    <col min="8987" max="8987" width="9.08984375" style="1427"/>
    <col min="8988" max="8988" width="10.90625" style="1427" customWidth="1"/>
    <col min="8989" max="8989" width="10.08984375" style="1427" customWidth="1"/>
    <col min="8990" max="8990" width="9.08984375" style="1427"/>
    <col min="8991" max="8991" width="10.26953125" style="1427" customWidth="1"/>
    <col min="8992" max="8992" width="10.453125" style="1427" customWidth="1"/>
    <col min="8993" max="9216" width="9.08984375" style="1427"/>
    <col min="9217" max="9217" width="3.7265625" style="1427" customWidth="1"/>
    <col min="9218" max="9218" width="13.7265625" style="1427" customWidth="1"/>
    <col min="9219" max="9219" width="3.7265625" style="1427" customWidth="1"/>
    <col min="9220" max="9220" width="11.7265625" style="1427" customWidth="1"/>
    <col min="9221" max="9221" width="30.453125" style="1427" customWidth="1"/>
    <col min="9222" max="9222" width="21.08984375" style="1427" customWidth="1"/>
    <col min="9223" max="9225" width="10.26953125" style="1427" customWidth="1"/>
    <col min="9226" max="9226" width="11.453125" style="1427" customWidth="1"/>
    <col min="9227" max="9236" width="10.26953125" style="1427" customWidth="1"/>
    <col min="9237" max="9237" width="11" style="1427" customWidth="1"/>
    <col min="9238" max="9239" width="10.26953125" style="1427" customWidth="1"/>
    <col min="9240" max="9240" width="9" style="1427" customWidth="1"/>
    <col min="9241" max="9241" width="9.7265625" style="1427" customWidth="1"/>
    <col min="9242" max="9242" width="10" style="1427" customWidth="1"/>
    <col min="9243" max="9243" width="9.08984375" style="1427"/>
    <col min="9244" max="9244" width="10.90625" style="1427" customWidth="1"/>
    <col min="9245" max="9245" width="10.08984375" style="1427" customWidth="1"/>
    <col min="9246" max="9246" width="9.08984375" style="1427"/>
    <col min="9247" max="9247" width="10.26953125" style="1427" customWidth="1"/>
    <col min="9248" max="9248" width="10.453125" style="1427" customWidth="1"/>
    <col min="9249" max="9472" width="9.08984375" style="1427"/>
    <col min="9473" max="9473" width="3.7265625" style="1427" customWidth="1"/>
    <col min="9474" max="9474" width="13.7265625" style="1427" customWidth="1"/>
    <col min="9475" max="9475" width="3.7265625" style="1427" customWidth="1"/>
    <col min="9476" max="9476" width="11.7265625" style="1427" customWidth="1"/>
    <col min="9477" max="9477" width="30.453125" style="1427" customWidth="1"/>
    <col min="9478" max="9478" width="21.08984375" style="1427" customWidth="1"/>
    <col min="9479" max="9481" width="10.26953125" style="1427" customWidth="1"/>
    <col min="9482" max="9482" width="11.453125" style="1427" customWidth="1"/>
    <col min="9483" max="9492" width="10.26953125" style="1427" customWidth="1"/>
    <col min="9493" max="9493" width="11" style="1427" customWidth="1"/>
    <col min="9494" max="9495" width="10.26953125" style="1427" customWidth="1"/>
    <col min="9496" max="9496" width="9" style="1427" customWidth="1"/>
    <col min="9497" max="9497" width="9.7265625" style="1427" customWidth="1"/>
    <col min="9498" max="9498" width="10" style="1427" customWidth="1"/>
    <col min="9499" max="9499" width="9.08984375" style="1427"/>
    <col min="9500" max="9500" width="10.90625" style="1427" customWidth="1"/>
    <col min="9501" max="9501" width="10.08984375" style="1427" customWidth="1"/>
    <col min="9502" max="9502" width="9.08984375" style="1427"/>
    <col min="9503" max="9503" width="10.26953125" style="1427" customWidth="1"/>
    <col min="9504" max="9504" width="10.453125" style="1427" customWidth="1"/>
    <col min="9505" max="9728" width="9.08984375" style="1427"/>
    <col min="9729" max="9729" width="3.7265625" style="1427" customWidth="1"/>
    <col min="9730" max="9730" width="13.7265625" style="1427" customWidth="1"/>
    <col min="9731" max="9731" width="3.7265625" style="1427" customWidth="1"/>
    <col min="9732" max="9732" width="11.7265625" style="1427" customWidth="1"/>
    <col min="9733" max="9733" width="30.453125" style="1427" customWidth="1"/>
    <col min="9734" max="9734" width="21.08984375" style="1427" customWidth="1"/>
    <col min="9735" max="9737" width="10.26953125" style="1427" customWidth="1"/>
    <col min="9738" max="9738" width="11.453125" style="1427" customWidth="1"/>
    <col min="9739" max="9748" width="10.26953125" style="1427" customWidth="1"/>
    <col min="9749" max="9749" width="11" style="1427" customWidth="1"/>
    <col min="9750" max="9751" width="10.26953125" style="1427" customWidth="1"/>
    <col min="9752" max="9752" width="9" style="1427" customWidth="1"/>
    <col min="9753" max="9753" width="9.7265625" style="1427" customWidth="1"/>
    <col min="9754" max="9754" width="10" style="1427" customWidth="1"/>
    <col min="9755" max="9755" width="9.08984375" style="1427"/>
    <col min="9756" max="9756" width="10.90625" style="1427" customWidth="1"/>
    <col min="9757" max="9757" width="10.08984375" style="1427" customWidth="1"/>
    <col min="9758" max="9758" width="9.08984375" style="1427"/>
    <col min="9759" max="9759" width="10.26953125" style="1427" customWidth="1"/>
    <col min="9760" max="9760" width="10.453125" style="1427" customWidth="1"/>
    <col min="9761" max="9984" width="9.08984375" style="1427"/>
    <col min="9985" max="9985" width="3.7265625" style="1427" customWidth="1"/>
    <col min="9986" max="9986" width="13.7265625" style="1427" customWidth="1"/>
    <col min="9987" max="9987" width="3.7265625" style="1427" customWidth="1"/>
    <col min="9988" max="9988" width="11.7265625" style="1427" customWidth="1"/>
    <col min="9989" max="9989" width="30.453125" style="1427" customWidth="1"/>
    <col min="9990" max="9990" width="21.08984375" style="1427" customWidth="1"/>
    <col min="9991" max="9993" width="10.26953125" style="1427" customWidth="1"/>
    <col min="9994" max="9994" width="11.453125" style="1427" customWidth="1"/>
    <col min="9995" max="10004" width="10.26953125" style="1427" customWidth="1"/>
    <col min="10005" max="10005" width="11" style="1427" customWidth="1"/>
    <col min="10006" max="10007" width="10.26953125" style="1427" customWidth="1"/>
    <col min="10008" max="10008" width="9" style="1427" customWidth="1"/>
    <col min="10009" max="10009" width="9.7265625" style="1427" customWidth="1"/>
    <col min="10010" max="10010" width="10" style="1427" customWidth="1"/>
    <col min="10011" max="10011" width="9.08984375" style="1427"/>
    <col min="10012" max="10012" width="10.90625" style="1427" customWidth="1"/>
    <col min="10013" max="10013" width="10.08984375" style="1427" customWidth="1"/>
    <col min="10014" max="10014" width="9.08984375" style="1427"/>
    <col min="10015" max="10015" width="10.26953125" style="1427" customWidth="1"/>
    <col min="10016" max="10016" width="10.453125" style="1427" customWidth="1"/>
    <col min="10017" max="10240" width="9.08984375" style="1427"/>
    <col min="10241" max="10241" width="3.7265625" style="1427" customWidth="1"/>
    <col min="10242" max="10242" width="13.7265625" style="1427" customWidth="1"/>
    <col min="10243" max="10243" width="3.7265625" style="1427" customWidth="1"/>
    <col min="10244" max="10244" width="11.7265625" style="1427" customWidth="1"/>
    <col min="10245" max="10245" width="30.453125" style="1427" customWidth="1"/>
    <col min="10246" max="10246" width="21.08984375" style="1427" customWidth="1"/>
    <col min="10247" max="10249" width="10.26953125" style="1427" customWidth="1"/>
    <col min="10250" max="10250" width="11.453125" style="1427" customWidth="1"/>
    <col min="10251" max="10260" width="10.26953125" style="1427" customWidth="1"/>
    <col min="10261" max="10261" width="11" style="1427" customWidth="1"/>
    <col min="10262" max="10263" width="10.26953125" style="1427" customWidth="1"/>
    <col min="10264" max="10264" width="9" style="1427" customWidth="1"/>
    <col min="10265" max="10265" width="9.7265625" style="1427" customWidth="1"/>
    <col min="10266" max="10266" width="10" style="1427" customWidth="1"/>
    <col min="10267" max="10267" width="9.08984375" style="1427"/>
    <col min="10268" max="10268" width="10.90625" style="1427" customWidth="1"/>
    <col min="10269" max="10269" width="10.08984375" style="1427" customWidth="1"/>
    <col min="10270" max="10270" width="9.08984375" style="1427"/>
    <col min="10271" max="10271" width="10.26953125" style="1427" customWidth="1"/>
    <col min="10272" max="10272" width="10.453125" style="1427" customWidth="1"/>
    <col min="10273" max="10496" width="9.08984375" style="1427"/>
    <col min="10497" max="10497" width="3.7265625" style="1427" customWidth="1"/>
    <col min="10498" max="10498" width="13.7265625" style="1427" customWidth="1"/>
    <col min="10499" max="10499" width="3.7265625" style="1427" customWidth="1"/>
    <col min="10500" max="10500" width="11.7265625" style="1427" customWidth="1"/>
    <col min="10501" max="10501" width="30.453125" style="1427" customWidth="1"/>
    <col min="10502" max="10502" width="21.08984375" style="1427" customWidth="1"/>
    <col min="10503" max="10505" width="10.26953125" style="1427" customWidth="1"/>
    <col min="10506" max="10506" width="11.453125" style="1427" customWidth="1"/>
    <col min="10507" max="10516" width="10.26953125" style="1427" customWidth="1"/>
    <col min="10517" max="10517" width="11" style="1427" customWidth="1"/>
    <col min="10518" max="10519" width="10.26953125" style="1427" customWidth="1"/>
    <col min="10520" max="10520" width="9" style="1427" customWidth="1"/>
    <col min="10521" max="10521" width="9.7265625" style="1427" customWidth="1"/>
    <col min="10522" max="10522" width="10" style="1427" customWidth="1"/>
    <col min="10523" max="10523" width="9.08984375" style="1427"/>
    <col min="10524" max="10524" width="10.90625" style="1427" customWidth="1"/>
    <col min="10525" max="10525" width="10.08984375" style="1427" customWidth="1"/>
    <col min="10526" max="10526" width="9.08984375" style="1427"/>
    <col min="10527" max="10527" width="10.26953125" style="1427" customWidth="1"/>
    <col min="10528" max="10528" width="10.453125" style="1427" customWidth="1"/>
    <col min="10529" max="10752" width="9.08984375" style="1427"/>
    <col min="10753" max="10753" width="3.7265625" style="1427" customWidth="1"/>
    <col min="10754" max="10754" width="13.7265625" style="1427" customWidth="1"/>
    <col min="10755" max="10755" width="3.7265625" style="1427" customWidth="1"/>
    <col min="10756" max="10756" width="11.7265625" style="1427" customWidth="1"/>
    <col min="10757" max="10757" width="30.453125" style="1427" customWidth="1"/>
    <col min="10758" max="10758" width="21.08984375" style="1427" customWidth="1"/>
    <col min="10759" max="10761" width="10.26953125" style="1427" customWidth="1"/>
    <col min="10762" max="10762" width="11.453125" style="1427" customWidth="1"/>
    <col min="10763" max="10772" width="10.26953125" style="1427" customWidth="1"/>
    <col min="10773" max="10773" width="11" style="1427" customWidth="1"/>
    <col min="10774" max="10775" width="10.26953125" style="1427" customWidth="1"/>
    <col min="10776" max="10776" width="9" style="1427" customWidth="1"/>
    <col min="10777" max="10777" width="9.7265625" style="1427" customWidth="1"/>
    <col min="10778" max="10778" width="10" style="1427" customWidth="1"/>
    <col min="10779" max="10779" width="9.08984375" style="1427"/>
    <col min="10780" max="10780" width="10.90625" style="1427" customWidth="1"/>
    <col min="10781" max="10781" width="10.08984375" style="1427" customWidth="1"/>
    <col min="10782" max="10782" width="9.08984375" style="1427"/>
    <col min="10783" max="10783" width="10.26953125" style="1427" customWidth="1"/>
    <col min="10784" max="10784" width="10.453125" style="1427" customWidth="1"/>
    <col min="10785" max="11008" width="9.08984375" style="1427"/>
    <col min="11009" max="11009" width="3.7265625" style="1427" customWidth="1"/>
    <col min="11010" max="11010" width="13.7265625" style="1427" customWidth="1"/>
    <col min="11011" max="11011" width="3.7265625" style="1427" customWidth="1"/>
    <col min="11012" max="11012" width="11.7265625" style="1427" customWidth="1"/>
    <col min="11013" max="11013" width="30.453125" style="1427" customWidth="1"/>
    <col min="11014" max="11014" width="21.08984375" style="1427" customWidth="1"/>
    <col min="11015" max="11017" width="10.26953125" style="1427" customWidth="1"/>
    <col min="11018" max="11018" width="11.453125" style="1427" customWidth="1"/>
    <col min="11019" max="11028" width="10.26953125" style="1427" customWidth="1"/>
    <col min="11029" max="11029" width="11" style="1427" customWidth="1"/>
    <col min="11030" max="11031" width="10.26953125" style="1427" customWidth="1"/>
    <col min="11032" max="11032" width="9" style="1427" customWidth="1"/>
    <col min="11033" max="11033" width="9.7265625" style="1427" customWidth="1"/>
    <col min="11034" max="11034" width="10" style="1427" customWidth="1"/>
    <col min="11035" max="11035" width="9.08984375" style="1427"/>
    <col min="11036" max="11036" width="10.90625" style="1427" customWidth="1"/>
    <col min="11037" max="11037" width="10.08984375" style="1427" customWidth="1"/>
    <col min="11038" max="11038" width="9.08984375" style="1427"/>
    <col min="11039" max="11039" width="10.26953125" style="1427" customWidth="1"/>
    <col min="11040" max="11040" width="10.453125" style="1427" customWidth="1"/>
    <col min="11041" max="11264" width="9.08984375" style="1427"/>
    <col min="11265" max="11265" width="3.7265625" style="1427" customWidth="1"/>
    <col min="11266" max="11266" width="13.7265625" style="1427" customWidth="1"/>
    <col min="11267" max="11267" width="3.7265625" style="1427" customWidth="1"/>
    <col min="11268" max="11268" width="11.7265625" style="1427" customWidth="1"/>
    <col min="11269" max="11269" width="30.453125" style="1427" customWidth="1"/>
    <col min="11270" max="11270" width="21.08984375" style="1427" customWidth="1"/>
    <col min="11271" max="11273" width="10.26953125" style="1427" customWidth="1"/>
    <col min="11274" max="11274" width="11.453125" style="1427" customWidth="1"/>
    <col min="11275" max="11284" width="10.26953125" style="1427" customWidth="1"/>
    <col min="11285" max="11285" width="11" style="1427" customWidth="1"/>
    <col min="11286" max="11287" width="10.26953125" style="1427" customWidth="1"/>
    <col min="11288" max="11288" width="9" style="1427" customWidth="1"/>
    <col min="11289" max="11289" width="9.7265625" style="1427" customWidth="1"/>
    <col min="11290" max="11290" width="10" style="1427" customWidth="1"/>
    <col min="11291" max="11291" width="9.08984375" style="1427"/>
    <col min="11292" max="11292" width="10.90625" style="1427" customWidth="1"/>
    <col min="11293" max="11293" width="10.08984375" style="1427" customWidth="1"/>
    <col min="11294" max="11294" width="9.08984375" style="1427"/>
    <col min="11295" max="11295" width="10.26953125" style="1427" customWidth="1"/>
    <col min="11296" max="11296" width="10.453125" style="1427" customWidth="1"/>
    <col min="11297" max="11520" width="9.08984375" style="1427"/>
    <col min="11521" max="11521" width="3.7265625" style="1427" customWidth="1"/>
    <col min="11522" max="11522" width="13.7265625" style="1427" customWidth="1"/>
    <col min="11523" max="11523" width="3.7265625" style="1427" customWidth="1"/>
    <col min="11524" max="11524" width="11.7265625" style="1427" customWidth="1"/>
    <col min="11525" max="11525" width="30.453125" style="1427" customWidth="1"/>
    <col min="11526" max="11526" width="21.08984375" style="1427" customWidth="1"/>
    <col min="11527" max="11529" width="10.26953125" style="1427" customWidth="1"/>
    <col min="11530" max="11530" width="11.453125" style="1427" customWidth="1"/>
    <col min="11531" max="11540" width="10.26953125" style="1427" customWidth="1"/>
    <col min="11541" max="11541" width="11" style="1427" customWidth="1"/>
    <col min="11542" max="11543" width="10.26953125" style="1427" customWidth="1"/>
    <col min="11544" max="11544" width="9" style="1427" customWidth="1"/>
    <col min="11545" max="11545" width="9.7265625" style="1427" customWidth="1"/>
    <col min="11546" max="11546" width="10" style="1427" customWidth="1"/>
    <col min="11547" max="11547" width="9.08984375" style="1427"/>
    <col min="11548" max="11548" width="10.90625" style="1427" customWidth="1"/>
    <col min="11549" max="11549" width="10.08984375" style="1427" customWidth="1"/>
    <col min="11550" max="11550" width="9.08984375" style="1427"/>
    <col min="11551" max="11551" width="10.26953125" style="1427" customWidth="1"/>
    <col min="11552" max="11552" width="10.453125" style="1427" customWidth="1"/>
    <col min="11553" max="11776" width="9.08984375" style="1427"/>
    <col min="11777" max="11777" width="3.7265625" style="1427" customWidth="1"/>
    <col min="11778" max="11778" width="13.7265625" style="1427" customWidth="1"/>
    <col min="11779" max="11779" width="3.7265625" style="1427" customWidth="1"/>
    <col min="11780" max="11780" width="11.7265625" style="1427" customWidth="1"/>
    <col min="11781" max="11781" width="30.453125" style="1427" customWidth="1"/>
    <col min="11782" max="11782" width="21.08984375" style="1427" customWidth="1"/>
    <col min="11783" max="11785" width="10.26953125" style="1427" customWidth="1"/>
    <col min="11786" max="11786" width="11.453125" style="1427" customWidth="1"/>
    <col min="11787" max="11796" width="10.26953125" style="1427" customWidth="1"/>
    <col min="11797" max="11797" width="11" style="1427" customWidth="1"/>
    <col min="11798" max="11799" width="10.26953125" style="1427" customWidth="1"/>
    <col min="11800" max="11800" width="9" style="1427" customWidth="1"/>
    <col min="11801" max="11801" width="9.7265625" style="1427" customWidth="1"/>
    <col min="11802" max="11802" width="10" style="1427" customWidth="1"/>
    <col min="11803" max="11803" width="9.08984375" style="1427"/>
    <col min="11804" max="11804" width="10.90625" style="1427" customWidth="1"/>
    <col min="11805" max="11805" width="10.08984375" style="1427" customWidth="1"/>
    <col min="11806" max="11806" width="9.08984375" style="1427"/>
    <col min="11807" max="11807" width="10.26953125" style="1427" customWidth="1"/>
    <col min="11808" max="11808" width="10.453125" style="1427" customWidth="1"/>
    <col min="11809" max="12032" width="9.08984375" style="1427"/>
    <col min="12033" max="12033" width="3.7265625" style="1427" customWidth="1"/>
    <col min="12034" max="12034" width="13.7265625" style="1427" customWidth="1"/>
    <col min="12035" max="12035" width="3.7265625" style="1427" customWidth="1"/>
    <col min="12036" max="12036" width="11.7265625" style="1427" customWidth="1"/>
    <col min="12037" max="12037" width="30.453125" style="1427" customWidth="1"/>
    <col min="12038" max="12038" width="21.08984375" style="1427" customWidth="1"/>
    <col min="12039" max="12041" width="10.26953125" style="1427" customWidth="1"/>
    <col min="12042" max="12042" width="11.453125" style="1427" customWidth="1"/>
    <col min="12043" max="12052" width="10.26953125" style="1427" customWidth="1"/>
    <col min="12053" max="12053" width="11" style="1427" customWidth="1"/>
    <col min="12054" max="12055" width="10.26953125" style="1427" customWidth="1"/>
    <col min="12056" max="12056" width="9" style="1427" customWidth="1"/>
    <col min="12057" max="12057" width="9.7265625" style="1427" customWidth="1"/>
    <col min="12058" max="12058" width="10" style="1427" customWidth="1"/>
    <col min="12059" max="12059" width="9.08984375" style="1427"/>
    <col min="12060" max="12060" width="10.90625" style="1427" customWidth="1"/>
    <col min="12061" max="12061" width="10.08984375" style="1427" customWidth="1"/>
    <col min="12062" max="12062" width="9.08984375" style="1427"/>
    <col min="12063" max="12063" width="10.26953125" style="1427" customWidth="1"/>
    <col min="12064" max="12064" width="10.453125" style="1427" customWidth="1"/>
    <col min="12065" max="12288" width="9.08984375" style="1427"/>
    <col min="12289" max="12289" width="3.7265625" style="1427" customWidth="1"/>
    <col min="12290" max="12290" width="13.7265625" style="1427" customWidth="1"/>
    <col min="12291" max="12291" width="3.7265625" style="1427" customWidth="1"/>
    <col min="12292" max="12292" width="11.7265625" style="1427" customWidth="1"/>
    <col min="12293" max="12293" width="30.453125" style="1427" customWidth="1"/>
    <col min="12294" max="12294" width="21.08984375" style="1427" customWidth="1"/>
    <col min="12295" max="12297" width="10.26953125" style="1427" customWidth="1"/>
    <col min="12298" max="12298" width="11.453125" style="1427" customWidth="1"/>
    <col min="12299" max="12308" width="10.26953125" style="1427" customWidth="1"/>
    <col min="12309" max="12309" width="11" style="1427" customWidth="1"/>
    <col min="12310" max="12311" width="10.26953125" style="1427" customWidth="1"/>
    <col min="12312" max="12312" width="9" style="1427" customWidth="1"/>
    <col min="12313" max="12313" width="9.7265625" style="1427" customWidth="1"/>
    <col min="12314" max="12314" width="10" style="1427" customWidth="1"/>
    <col min="12315" max="12315" width="9.08984375" style="1427"/>
    <col min="12316" max="12316" width="10.90625" style="1427" customWidth="1"/>
    <col min="12317" max="12317" width="10.08984375" style="1427" customWidth="1"/>
    <col min="12318" max="12318" width="9.08984375" style="1427"/>
    <col min="12319" max="12319" width="10.26953125" style="1427" customWidth="1"/>
    <col min="12320" max="12320" width="10.453125" style="1427" customWidth="1"/>
    <col min="12321" max="12544" width="9.08984375" style="1427"/>
    <col min="12545" max="12545" width="3.7265625" style="1427" customWidth="1"/>
    <col min="12546" max="12546" width="13.7265625" style="1427" customWidth="1"/>
    <col min="12547" max="12547" width="3.7265625" style="1427" customWidth="1"/>
    <col min="12548" max="12548" width="11.7265625" style="1427" customWidth="1"/>
    <col min="12549" max="12549" width="30.453125" style="1427" customWidth="1"/>
    <col min="12550" max="12550" width="21.08984375" style="1427" customWidth="1"/>
    <col min="12551" max="12553" width="10.26953125" style="1427" customWidth="1"/>
    <col min="12554" max="12554" width="11.453125" style="1427" customWidth="1"/>
    <col min="12555" max="12564" width="10.26953125" style="1427" customWidth="1"/>
    <col min="12565" max="12565" width="11" style="1427" customWidth="1"/>
    <col min="12566" max="12567" width="10.26953125" style="1427" customWidth="1"/>
    <col min="12568" max="12568" width="9" style="1427" customWidth="1"/>
    <col min="12569" max="12569" width="9.7265625" style="1427" customWidth="1"/>
    <col min="12570" max="12570" width="10" style="1427" customWidth="1"/>
    <col min="12571" max="12571" width="9.08984375" style="1427"/>
    <col min="12572" max="12572" width="10.90625" style="1427" customWidth="1"/>
    <col min="12573" max="12573" width="10.08984375" style="1427" customWidth="1"/>
    <col min="12574" max="12574" width="9.08984375" style="1427"/>
    <col min="12575" max="12575" width="10.26953125" style="1427" customWidth="1"/>
    <col min="12576" max="12576" width="10.453125" style="1427" customWidth="1"/>
    <col min="12577" max="12800" width="9.08984375" style="1427"/>
    <col min="12801" max="12801" width="3.7265625" style="1427" customWidth="1"/>
    <col min="12802" max="12802" width="13.7265625" style="1427" customWidth="1"/>
    <col min="12803" max="12803" width="3.7265625" style="1427" customWidth="1"/>
    <col min="12804" max="12804" width="11.7265625" style="1427" customWidth="1"/>
    <col min="12805" max="12805" width="30.453125" style="1427" customWidth="1"/>
    <col min="12806" max="12806" width="21.08984375" style="1427" customWidth="1"/>
    <col min="12807" max="12809" width="10.26953125" style="1427" customWidth="1"/>
    <col min="12810" max="12810" width="11.453125" style="1427" customWidth="1"/>
    <col min="12811" max="12820" width="10.26953125" style="1427" customWidth="1"/>
    <col min="12821" max="12821" width="11" style="1427" customWidth="1"/>
    <col min="12822" max="12823" width="10.26953125" style="1427" customWidth="1"/>
    <col min="12824" max="12824" width="9" style="1427" customWidth="1"/>
    <col min="12825" max="12825" width="9.7265625" style="1427" customWidth="1"/>
    <col min="12826" max="12826" width="10" style="1427" customWidth="1"/>
    <col min="12827" max="12827" width="9.08984375" style="1427"/>
    <col min="12828" max="12828" width="10.90625" style="1427" customWidth="1"/>
    <col min="12829" max="12829" width="10.08984375" style="1427" customWidth="1"/>
    <col min="12830" max="12830" width="9.08984375" style="1427"/>
    <col min="12831" max="12831" width="10.26953125" style="1427" customWidth="1"/>
    <col min="12832" max="12832" width="10.453125" style="1427" customWidth="1"/>
    <col min="12833" max="13056" width="9.08984375" style="1427"/>
    <col min="13057" max="13057" width="3.7265625" style="1427" customWidth="1"/>
    <col min="13058" max="13058" width="13.7265625" style="1427" customWidth="1"/>
    <col min="13059" max="13059" width="3.7265625" style="1427" customWidth="1"/>
    <col min="13060" max="13060" width="11.7265625" style="1427" customWidth="1"/>
    <col min="13061" max="13061" width="30.453125" style="1427" customWidth="1"/>
    <col min="13062" max="13062" width="21.08984375" style="1427" customWidth="1"/>
    <col min="13063" max="13065" width="10.26953125" style="1427" customWidth="1"/>
    <col min="13066" max="13066" width="11.453125" style="1427" customWidth="1"/>
    <col min="13067" max="13076" width="10.26953125" style="1427" customWidth="1"/>
    <col min="13077" max="13077" width="11" style="1427" customWidth="1"/>
    <col min="13078" max="13079" width="10.26953125" style="1427" customWidth="1"/>
    <col min="13080" max="13080" width="9" style="1427" customWidth="1"/>
    <col min="13081" max="13081" width="9.7265625" style="1427" customWidth="1"/>
    <col min="13082" max="13082" width="10" style="1427" customWidth="1"/>
    <col min="13083" max="13083" width="9.08984375" style="1427"/>
    <col min="13084" max="13084" width="10.90625" style="1427" customWidth="1"/>
    <col min="13085" max="13085" width="10.08984375" style="1427" customWidth="1"/>
    <col min="13086" max="13086" width="9.08984375" style="1427"/>
    <col min="13087" max="13087" width="10.26953125" style="1427" customWidth="1"/>
    <col min="13088" max="13088" width="10.453125" style="1427" customWidth="1"/>
    <col min="13089" max="13312" width="9.08984375" style="1427"/>
    <col min="13313" max="13313" width="3.7265625" style="1427" customWidth="1"/>
    <col min="13314" max="13314" width="13.7265625" style="1427" customWidth="1"/>
    <col min="13315" max="13315" width="3.7265625" style="1427" customWidth="1"/>
    <col min="13316" max="13316" width="11.7265625" style="1427" customWidth="1"/>
    <col min="13317" max="13317" width="30.453125" style="1427" customWidth="1"/>
    <col min="13318" max="13318" width="21.08984375" style="1427" customWidth="1"/>
    <col min="13319" max="13321" width="10.26953125" style="1427" customWidth="1"/>
    <col min="13322" max="13322" width="11.453125" style="1427" customWidth="1"/>
    <col min="13323" max="13332" width="10.26953125" style="1427" customWidth="1"/>
    <col min="13333" max="13333" width="11" style="1427" customWidth="1"/>
    <col min="13334" max="13335" width="10.26953125" style="1427" customWidth="1"/>
    <col min="13336" max="13336" width="9" style="1427" customWidth="1"/>
    <col min="13337" max="13337" width="9.7265625" style="1427" customWidth="1"/>
    <col min="13338" max="13338" width="10" style="1427" customWidth="1"/>
    <col min="13339" max="13339" width="9.08984375" style="1427"/>
    <col min="13340" max="13340" width="10.90625" style="1427" customWidth="1"/>
    <col min="13341" max="13341" width="10.08984375" style="1427" customWidth="1"/>
    <col min="13342" max="13342" width="9.08984375" style="1427"/>
    <col min="13343" max="13343" width="10.26953125" style="1427" customWidth="1"/>
    <col min="13344" max="13344" width="10.453125" style="1427" customWidth="1"/>
    <col min="13345" max="13568" width="9.08984375" style="1427"/>
    <col min="13569" max="13569" width="3.7265625" style="1427" customWidth="1"/>
    <col min="13570" max="13570" width="13.7265625" style="1427" customWidth="1"/>
    <col min="13571" max="13571" width="3.7265625" style="1427" customWidth="1"/>
    <col min="13572" max="13572" width="11.7265625" style="1427" customWidth="1"/>
    <col min="13573" max="13573" width="30.453125" style="1427" customWidth="1"/>
    <col min="13574" max="13574" width="21.08984375" style="1427" customWidth="1"/>
    <col min="13575" max="13577" width="10.26953125" style="1427" customWidth="1"/>
    <col min="13578" max="13578" width="11.453125" style="1427" customWidth="1"/>
    <col min="13579" max="13588" width="10.26953125" style="1427" customWidth="1"/>
    <col min="13589" max="13589" width="11" style="1427" customWidth="1"/>
    <col min="13590" max="13591" width="10.26953125" style="1427" customWidth="1"/>
    <col min="13592" max="13592" width="9" style="1427" customWidth="1"/>
    <col min="13593" max="13593" width="9.7265625" style="1427" customWidth="1"/>
    <col min="13594" max="13594" width="10" style="1427" customWidth="1"/>
    <col min="13595" max="13595" width="9.08984375" style="1427"/>
    <col min="13596" max="13596" width="10.90625" style="1427" customWidth="1"/>
    <col min="13597" max="13597" width="10.08984375" style="1427" customWidth="1"/>
    <col min="13598" max="13598" width="9.08984375" style="1427"/>
    <col min="13599" max="13599" width="10.26953125" style="1427" customWidth="1"/>
    <col min="13600" max="13600" width="10.453125" style="1427" customWidth="1"/>
    <col min="13601" max="13824" width="9.08984375" style="1427"/>
    <col min="13825" max="13825" width="3.7265625" style="1427" customWidth="1"/>
    <col min="13826" max="13826" width="13.7265625" style="1427" customWidth="1"/>
    <col min="13827" max="13827" width="3.7265625" style="1427" customWidth="1"/>
    <col min="13828" max="13828" width="11.7265625" style="1427" customWidth="1"/>
    <col min="13829" max="13829" width="30.453125" style="1427" customWidth="1"/>
    <col min="13830" max="13830" width="21.08984375" style="1427" customWidth="1"/>
    <col min="13831" max="13833" width="10.26953125" style="1427" customWidth="1"/>
    <col min="13834" max="13834" width="11.453125" style="1427" customWidth="1"/>
    <col min="13835" max="13844" width="10.26953125" style="1427" customWidth="1"/>
    <col min="13845" max="13845" width="11" style="1427" customWidth="1"/>
    <col min="13846" max="13847" width="10.26953125" style="1427" customWidth="1"/>
    <col min="13848" max="13848" width="9" style="1427" customWidth="1"/>
    <col min="13849" max="13849" width="9.7265625" style="1427" customWidth="1"/>
    <col min="13850" max="13850" width="10" style="1427" customWidth="1"/>
    <col min="13851" max="13851" width="9.08984375" style="1427"/>
    <col min="13852" max="13852" width="10.90625" style="1427" customWidth="1"/>
    <col min="13853" max="13853" width="10.08984375" style="1427" customWidth="1"/>
    <col min="13854" max="13854" width="9.08984375" style="1427"/>
    <col min="13855" max="13855" width="10.26953125" style="1427" customWidth="1"/>
    <col min="13856" max="13856" width="10.453125" style="1427" customWidth="1"/>
    <col min="13857" max="14080" width="9.08984375" style="1427"/>
    <col min="14081" max="14081" width="3.7265625" style="1427" customWidth="1"/>
    <col min="14082" max="14082" width="13.7265625" style="1427" customWidth="1"/>
    <col min="14083" max="14083" width="3.7265625" style="1427" customWidth="1"/>
    <col min="14084" max="14084" width="11.7265625" style="1427" customWidth="1"/>
    <col min="14085" max="14085" width="30.453125" style="1427" customWidth="1"/>
    <col min="14086" max="14086" width="21.08984375" style="1427" customWidth="1"/>
    <col min="14087" max="14089" width="10.26953125" style="1427" customWidth="1"/>
    <col min="14090" max="14090" width="11.453125" style="1427" customWidth="1"/>
    <col min="14091" max="14100" width="10.26953125" style="1427" customWidth="1"/>
    <col min="14101" max="14101" width="11" style="1427" customWidth="1"/>
    <col min="14102" max="14103" width="10.26953125" style="1427" customWidth="1"/>
    <col min="14104" max="14104" width="9" style="1427" customWidth="1"/>
    <col min="14105" max="14105" width="9.7265625" style="1427" customWidth="1"/>
    <col min="14106" max="14106" width="10" style="1427" customWidth="1"/>
    <col min="14107" max="14107" width="9.08984375" style="1427"/>
    <col min="14108" max="14108" width="10.90625" style="1427" customWidth="1"/>
    <col min="14109" max="14109" width="10.08984375" style="1427" customWidth="1"/>
    <col min="14110" max="14110" width="9.08984375" style="1427"/>
    <col min="14111" max="14111" width="10.26953125" style="1427" customWidth="1"/>
    <col min="14112" max="14112" width="10.453125" style="1427" customWidth="1"/>
    <col min="14113" max="14336" width="9.08984375" style="1427"/>
    <col min="14337" max="14337" width="3.7265625" style="1427" customWidth="1"/>
    <col min="14338" max="14338" width="13.7265625" style="1427" customWidth="1"/>
    <col min="14339" max="14339" width="3.7265625" style="1427" customWidth="1"/>
    <col min="14340" max="14340" width="11.7265625" style="1427" customWidth="1"/>
    <col min="14341" max="14341" width="30.453125" style="1427" customWidth="1"/>
    <col min="14342" max="14342" width="21.08984375" style="1427" customWidth="1"/>
    <col min="14343" max="14345" width="10.26953125" style="1427" customWidth="1"/>
    <col min="14346" max="14346" width="11.453125" style="1427" customWidth="1"/>
    <col min="14347" max="14356" width="10.26953125" style="1427" customWidth="1"/>
    <col min="14357" max="14357" width="11" style="1427" customWidth="1"/>
    <col min="14358" max="14359" width="10.26953125" style="1427" customWidth="1"/>
    <col min="14360" max="14360" width="9" style="1427" customWidth="1"/>
    <col min="14361" max="14361" width="9.7265625" style="1427" customWidth="1"/>
    <col min="14362" max="14362" width="10" style="1427" customWidth="1"/>
    <col min="14363" max="14363" width="9.08984375" style="1427"/>
    <col min="14364" max="14364" width="10.90625" style="1427" customWidth="1"/>
    <col min="14365" max="14365" width="10.08984375" style="1427" customWidth="1"/>
    <col min="14366" max="14366" width="9.08984375" style="1427"/>
    <col min="14367" max="14367" width="10.26953125" style="1427" customWidth="1"/>
    <col min="14368" max="14368" width="10.453125" style="1427" customWidth="1"/>
    <col min="14369" max="14592" width="9.08984375" style="1427"/>
    <col min="14593" max="14593" width="3.7265625" style="1427" customWidth="1"/>
    <col min="14594" max="14594" width="13.7265625" style="1427" customWidth="1"/>
    <col min="14595" max="14595" width="3.7265625" style="1427" customWidth="1"/>
    <col min="14596" max="14596" width="11.7265625" style="1427" customWidth="1"/>
    <col min="14597" max="14597" width="30.453125" style="1427" customWidth="1"/>
    <col min="14598" max="14598" width="21.08984375" style="1427" customWidth="1"/>
    <col min="14599" max="14601" width="10.26953125" style="1427" customWidth="1"/>
    <col min="14602" max="14602" width="11.453125" style="1427" customWidth="1"/>
    <col min="14603" max="14612" width="10.26953125" style="1427" customWidth="1"/>
    <col min="14613" max="14613" width="11" style="1427" customWidth="1"/>
    <col min="14614" max="14615" width="10.26953125" style="1427" customWidth="1"/>
    <col min="14616" max="14616" width="9" style="1427" customWidth="1"/>
    <col min="14617" max="14617" width="9.7265625" style="1427" customWidth="1"/>
    <col min="14618" max="14618" width="10" style="1427" customWidth="1"/>
    <col min="14619" max="14619" width="9.08984375" style="1427"/>
    <col min="14620" max="14620" width="10.90625" style="1427" customWidth="1"/>
    <col min="14621" max="14621" width="10.08984375" style="1427" customWidth="1"/>
    <col min="14622" max="14622" width="9.08984375" style="1427"/>
    <col min="14623" max="14623" width="10.26953125" style="1427" customWidth="1"/>
    <col min="14624" max="14624" width="10.453125" style="1427" customWidth="1"/>
    <col min="14625" max="14848" width="9.08984375" style="1427"/>
    <col min="14849" max="14849" width="3.7265625" style="1427" customWidth="1"/>
    <col min="14850" max="14850" width="13.7265625" style="1427" customWidth="1"/>
    <col min="14851" max="14851" width="3.7265625" style="1427" customWidth="1"/>
    <col min="14852" max="14852" width="11.7265625" style="1427" customWidth="1"/>
    <col min="14853" max="14853" width="30.453125" style="1427" customWidth="1"/>
    <col min="14854" max="14854" width="21.08984375" style="1427" customWidth="1"/>
    <col min="14855" max="14857" width="10.26953125" style="1427" customWidth="1"/>
    <col min="14858" max="14858" width="11.453125" style="1427" customWidth="1"/>
    <col min="14859" max="14868" width="10.26953125" style="1427" customWidth="1"/>
    <col min="14869" max="14869" width="11" style="1427" customWidth="1"/>
    <col min="14870" max="14871" width="10.26953125" style="1427" customWidth="1"/>
    <col min="14872" max="14872" width="9" style="1427" customWidth="1"/>
    <col min="14873" max="14873" width="9.7265625" style="1427" customWidth="1"/>
    <col min="14874" max="14874" width="10" style="1427" customWidth="1"/>
    <col min="14875" max="14875" width="9.08984375" style="1427"/>
    <col min="14876" max="14876" width="10.90625" style="1427" customWidth="1"/>
    <col min="14877" max="14877" width="10.08984375" style="1427" customWidth="1"/>
    <col min="14878" max="14878" width="9.08984375" style="1427"/>
    <col min="14879" max="14879" width="10.26953125" style="1427" customWidth="1"/>
    <col min="14880" max="14880" width="10.453125" style="1427" customWidth="1"/>
    <col min="14881" max="15104" width="9.08984375" style="1427"/>
    <col min="15105" max="15105" width="3.7265625" style="1427" customWidth="1"/>
    <col min="15106" max="15106" width="13.7265625" style="1427" customWidth="1"/>
    <col min="15107" max="15107" width="3.7265625" style="1427" customWidth="1"/>
    <col min="15108" max="15108" width="11.7265625" style="1427" customWidth="1"/>
    <col min="15109" max="15109" width="30.453125" style="1427" customWidth="1"/>
    <col min="15110" max="15110" width="21.08984375" style="1427" customWidth="1"/>
    <col min="15111" max="15113" width="10.26953125" style="1427" customWidth="1"/>
    <col min="15114" max="15114" width="11.453125" style="1427" customWidth="1"/>
    <col min="15115" max="15124" width="10.26953125" style="1427" customWidth="1"/>
    <col min="15125" max="15125" width="11" style="1427" customWidth="1"/>
    <col min="15126" max="15127" width="10.26953125" style="1427" customWidth="1"/>
    <col min="15128" max="15128" width="9" style="1427" customWidth="1"/>
    <col min="15129" max="15129" width="9.7265625" style="1427" customWidth="1"/>
    <col min="15130" max="15130" width="10" style="1427" customWidth="1"/>
    <col min="15131" max="15131" width="9.08984375" style="1427"/>
    <col min="15132" max="15132" width="10.90625" style="1427" customWidth="1"/>
    <col min="15133" max="15133" width="10.08984375" style="1427" customWidth="1"/>
    <col min="15134" max="15134" width="9.08984375" style="1427"/>
    <col min="15135" max="15135" width="10.26953125" style="1427" customWidth="1"/>
    <col min="15136" max="15136" width="10.453125" style="1427" customWidth="1"/>
    <col min="15137" max="15360" width="9.08984375" style="1427"/>
    <col min="15361" max="15361" width="3.7265625" style="1427" customWidth="1"/>
    <col min="15362" max="15362" width="13.7265625" style="1427" customWidth="1"/>
    <col min="15363" max="15363" width="3.7265625" style="1427" customWidth="1"/>
    <col min="15364" max="15364" width="11.7265625" style="1427" customWidth="1"/>
    <col min="15365" max="15365" width="30.453125" style="1427" customWidth="1"/>
    <col min="15366" max="15366" width="21.08984375" style="1427" customWidth="1"/>
    <col min="15367" max="15369" width="10.26953125" style="1427" customWidth="1"/>
    <col min="15370" max="15370" width="11.453125" style="1427" customWidth="1"/>
    <col min="15371" max="15380" width="10.26953125" style="1427" customWidth="1"/>
    <col min="15381" max="15381" width="11" style="1427" customWidth="1"/>
    <col min="15382" max="15383" width="10.26953125" style="1427" customWidth="1"/>
    <col min="15384" max="15384" width="9" style="1427" customWidth="1"/>
    <col min="15385" max="15385" width="9.7265625" style="1427" customWidth="1"/>
    <col min="15386" max="15386" width="10" style="1427" customWidth="1"/>
    <col min="15387" max="15387" width="9.08984375" style="1427"/>
    <col min="15388" max="15388" width="10.90625" style="1427" customWidth="1"/>
    <col min="15389" max="15389" width="10.08984375" style="1427" customWidth="1"/>
    <col min="15390" max="15390" width="9.08984375" style="1427"/>
    <col min="15391" max="15391" width="10.26953125" style="1427" customWidth="1"/>
    <col min="15392" max="15392" width="10.453125" style="1427" customWidth="1"/>
    <col min="15393" max="15616" width="9.08984375" style="1427"/>
    <col min="15617" max="15617" width="3.7265625" style="1427" customWidth="1"/>
    <col min="15618" max="15618" width="13.7265625" style="1427" customWidth="1"/>
    <col min="15619" max="15619" width="3.7265625" style="1427" customWidth="1"/>
    <col min="15620" max="15620" width="11.7265625" style="1427" customWidth="1"/>
    <col min="15621" max="15621" width="30.453125" style="1427" customWidth="1"/>
    <col min="15622" max="15622" width="21.08984375" style="1427" customWidth="1"/>
    <col min="15623" max="15625" width="10.26953125" style="1427" customWidth="1"/>
    <col min="15626" max="15626" width="11.453125" style="1427" customWidth="1"/>
    <col min="15627" max="15636" width="10.26953125" style="1427" customWidth="1"/>
    <col min="15637" max="15637" width="11" style="1427" customWidth="1"/>
    <col min="15638" max="15639" width="10.26953125" style="1427" customWidth="1"/>
    <col min="15640" max="15640" width="9" style="1427" customWidth="1"/>
    <col min="15641" max="15641" width="9.7265625" style="1427" customWidth="1"/>
    <col min="15642" max="15642" width="10" style="1427" customWidth="1"/>
    <col min="15643" max="15643" width="9.08984375" style="1427"/>
    <col min="15644" max="15644" width="10.90625" style="1427" customWidth="1"/>
    <col min="15645" max="15645" width="10.08984375" style="1427" customWidth="1"/>
    <col min="15646" max="15646" width="9.08984375" style="1427"/>
    <col min="15647" max="15647" width="10.26953125" style="1427" customWidth="1"/>
    <col min="15648" max="15648" width="10.453125" style="1427" customWidth="1"/>
    <col min="15649" max="15872" width="9.08984375" style="1427"/>
    <col min="15873" max="15873" width="3.7265625" style="1427" customWidth="1"/>
    <col min="15874" max="15874" width="13.7265625" style="1427" customWidth="1"/>
    <col min="15875" max="15875" width="3.7265625" style="1427" customWidth="1"/>
    <col min="15876" max="15876" width="11.7265625" style="1427" customWidth="1"/>
    <col min="15877" max="15877" width="30.453125" style="1427" customWidth="1"/>
    <col min="15878" max="15878" width="21.08984375" style="1427" customWidth="1"/>
    <col min="15879" max="15881" width="10.26953125" style="1427" customWidth="1"/>
    <col min="15882" max="15882" width="11.453125" style="1427" customWidth="1"/>
    <col min="15883" max="15892" width="10.26953125" style="1427" customWidth="1"/>
    <col min="15893" max="15893" width="11" style="1427" customWidth="1"/>
    <col min="15894" max="15895" width="10.26953125" style="1427" customWidth="1"/>
    <col min="15896" max="15896" width="9" style="1427" customWidth="1"/>
    <col min="15897" max="15897" width="9.7265625" style="1427" customWidth="1"/>
    <col min="15898" max="15898" width="10" style="1427" customWidth="1"/>
    <col min="15899" max="15899" width="9.08984375" style="1427"/>
    <col min="15900" max="15900" width="10.90625" style="1427" customWidth="1"/>
    <col min="15901" max="15901" width="10.08984375" style="1427" customWidth="1"/>
    <col min="15902" max="15902" width="9.08984375" style="1427"/>
    <col min="15903" max="15903" width="10.26953125" style="1427" customWidth="1"/>
    <col min="15904" max="15904" width="10.453125" style="1427" customWidth="1"/>
    <col min="15905" max="16128" width="9.08984375" style="1427"/>
    <col min="16129" max="16129" width="3.7265625" style="1427" customWidth="1"/>
    <col min="16130" max="16130" width="13.7265625" style="1427" customWidth="1"/>
    <col min="16131" max="16131" width="3.7265625" style="1427" customWidth="1"/>
    <col min="16132" max="16132" width="11.7265625" style="1427" customWidth="1"/>
    <col min="16133" max="16133" width="30.453125" style="1427" customWidth="1"/>
    <col min="16134" max="16134" width="21.08984375" style="1427" customWidth="1"/>
    <col min="16135" max="16137" width="10.26953125" style="1427" customWidth="1"/>
    <col min="16138" max="16138" width="11.453125" style="1427" customWidth="1"/>
    <col min="16139" max="16148" width="10.26953125" style="1427" customWidth="1"/>
    <col min="16149" max="16149" width="11" style="1427" customWidth="1"/>
    <col min="16150" max="16151" width="10.26953125" style="1427" customWidth="1"/>
    <col min="16152" max="16152" width="9" style="1427" customWidth="1"/>
    <col min="16153" max="16153" width="9.7265625" style="1427" customWidth="1"/>
    <col min="16154" max="16154" width="10" style="1427" customWidth="1"/>
    <col min="16155" max="16155" width="9.08984375" style="1427"/>
    <col min="16156" max="16156" width="10.90625" style="1427" customWidth="1"/>
    <col min="16157" max="16157" width="10.08984375" style="1427" customWidth="1"/>
    <col min="16158" max="16158" width="9.08984375" style="1427"/>
    <col min="16159" max="16159" width="10.26953125" style="1427" customWidth="1"/>
    <col min="16160" max="16160" width="10.453125" style="1427" customWidth="1"/>
    <col min="16161" max="16384" width="9.08984375" style="1427"/>
  </cols>
  <sheetData>
    <row r="1" spans="1:28" x14ac:dyDescent="0.35">
      <c r="A1" s="1192"/>
      <c r="B1" s="1420"/>
      <c r="C1" s="1420"/>
      <c r="D1" s="1421"/>
      <c r="E1" s="1421"/>
      <c r="F1" s="1421"/>
      <c r="G1" s="1422"/>
      <c r="H1" s="1422"/>
      <c r="I1" s="1422"/>
      <c r="J1" s="1422"/>
      <c r="K1" s="1422"/>
      <c r="L1" s="1422"/>
      <c r="M1" s="1422"/>
      <c r="N1" s="1422"/>
      <c r="O1" s="1422"/>
      <c r="P1" s="1422"/>
      <c r="Q1" s="1422"/>
      <c r="R1" s="1422"/>
      <c r="S1" s="1423"/>
      <c r="T1" s="1424"/>
      <c r="W1" s="1426"/>
    </row>
    <row r="2" spans="1:28" ht="15" customHeight="1" x14ac:dyDescent="0.35">
      <c r="A2" s="1192">
        <v>1</v>
      </c>
      <c r="B2" s="1192" t="s">
        <v>0</v>
      </c>
      <c r="C2" s="1192">
        <v>22</v>
      </c>
      <c r="D2" s="4694" t="s">
        <v>555</v>
      </c>
      <c r="E2" s="4695"/>
      <c r="F2" s="4695"/>
      <c r="G2" s="4695"/>
      <c r="H2" s="4696"/>
      <c r="I2" s="1428"/>
      <c r="J2" s="1428"/>
      <c r="K2" s="1428"/>
      <c r="L2" s="1428"/>
      <c r="M2" s="1428"/>
      <c r="N2" s="1428"/>
      <c r="O2" s="1428"/>
      <c r="P2" s="1428"/>
      <c r="Q2" s="1428"/>
      <c r="R2" s="1428"/>
      <c r="S2" s="1428"/>
      <c r="T2" s="1428"/>
      <c r="U2" s="1428"/>
      <c r="V2" s="1428"/>
      <c r="W2" s="1428"/>
    </row>
    <row r="3" spans="1:28" ht="12.75" customHeight="1" x14ac:dyDescent="0.35">
      <c r="A3" s="1192">
        <v>2</v>
      </c>
      <c r="B3" s="1192" t="s">
        <v>2</v>
      </c>
      <c r="C3" s="1192"/>
      <c r="D3" s="4694" t="s">
        <v>504</v>
      </c>
      <c r="E3" s="4695"/>
      <c r="F3" s="4695"/>
      <c r="G3" s="4695"/>
      <c r="H3" s="4696"/>
      <c r="I3" s="1428"/>
      <c r="J3" s="1428"/>
      <c r="K3" s="1428"/>
      <c r="L3" s="1428"/>
      <c r="M3" s="1428"/>
      <c r="N3" s="1428"/>
      <c r="O3" s="1428"/>
      <c r="P3" s="1428"/>
      <c r="Q3" s="1428"/>
      <c r="R3" s="1428"/>
      <c r="S3" s="1428"/>
      <c r="T3" s="1428"/>
      <c r="U3" s="1428"/>
      <c r="V3" s="1428"/>
      <c r="W3" s="1428"/>
      <c r="X3" s="11"/>
      <c r="Y3" s="11"/>
    </row>
    <row r="4" spans="1:28" ht="15" customHeight="1" x14ac:dyDescent="0.35">
      <c r="A4" s="1192">
        <v>3</v>
      </c>
      <c r="B4" s="1192" t="s">
        <v>4</v>
      </c>
      <c r="C4" s="1192"/>
      <c r="D4" s="4694" t="s">
        <v>556</v>
      </c>
      <c r="E4" s="4695"/>
      <c r="F4" s="4695"/>
      <c r="G4" s="4695"/>
      <c r="H4" s="4696"/>
      <c r="I4" s="1428"/>
      <c r="J4" s="1428"/>
      <c r="K4" s="1428"/>
      <c r="L4" s="1428"/>
      <c r="M4" s="1428"/>
      <c r="N4" s="1428"/>
      <c r="O4" s="1428"/>
      <c r="P4" s="1428"/>
      <c r="Q4" s="1428"/>
      <c r="R4" s="1428"/>
      <c r="S4" s="1428"/>
      <c r="T4" s="1428"/>
      <c r="U4" s="1428"/>
      <c r="V4" s="1428"/>
      <c r="W4" s="1428"/>
      <c r="X4" s="1428"/>
      <c r="Y4" s="11"/>
    </row>
    <row r="5" spans="1:28" ht="15" customHeight="1" x14ac:dyDescent="0.35">
      <c r="A5" s="1192"/>
      <c r="B5" s="1192"/>
      <c r="C5" s="1192"/>
      <c r="D5" s="949"/>
      <c r="E5" s="949"/>
      <c r="F5" s="949"/>
      <c r="G5" s="949"/>
      <c r="H5" s="949"/>
      <c r="I5" s="949"/>
      <c r="J5" s="949"/>
      <c r="K5" s="949"/>
      <c r="L5" s="949"/>
      <c r="M5" s="949"/>
      <c r="N5" s="949"/>
      <c r="O5" s="949"/>
      <c r="P5" s="949"/>
      <c r="Q5" s="949"/>
      <c r="R5" s="949"/>
      <c r="S5" s="949"/>
      <c r="T5" s="949"/>
      <c r="U5" s="949"/>
      <c r="V5" s="949"/>
      <c r="W5" s="949"/>
      <c r="X5" s="1428"/>
      <c r="Y5" s="11"/>
    </row>
    <row r="6" spans="1:28" s="1222" customFormat="1" ht="21.65" customHeight="1" x14ac:dyDescent="0.35">
      <c r="A6" s="1192">
        <v>4</v>
      </c>
      <c r="B6" s="1192" t="s">
        <v>6</v>
      </c>
      <c r="C6" s="1223"/>
      <c r="D6" s="1427" t="s">
        <v>557</v>
      </c>
      <c r="E6" s="1427"/>
      <c r="F6" s="1427"/>
      <c r="G6" s="1427"/>
      <c r="H6" s="1427"/>
      <c r="K6" s="1427"/>
      <c r="L6" s="1429"/>
      <c r="R6" s="11"/>
      <c r="S6" s="1430"/>
    </row>
    <row r="7" spans="1:28" s="1222" customFormat="1" ht="16.899999999999999" customHeight="1" x14ac:dyDescent="0.3">
      <c r="A7" s="1431"/>
      <c r="B7" s="1223"/>
      <c r="C7" s="1223"/>
      <c r="D7" s="1432"/>
      <c r="E7" s="1433">
        <v>2006</v>
      </c>
      <c r="F7" s="1433">
        <v>2009</v>
      </c>
      <c r="G7" s="1433">
        <v>2011</v>
      </c>
      <c r="H7" s="1433">
        <v>2015</v>
      </c>
      <c r="K7" s="1428"/>
      <c r="L7" s="1428"/>
      <c r="M7" s="1429"/>
      <c r="S7" s="11"/>
      <c r="T7" s="1430"/>
    </row>
    <row r="8" spans="1:28" s="1222" customFormat="1" ht="30.75" customHeight="1" x14ac:dyDescent="0.3">
      <c r="A8" s="1431"/>
      <c r="B8" s="1223"/>
      <c r="C8" s="1223"/>
      <c r="D8" s="1434" t="s">
        <v>558</v>
      </c>
      <c r="E8" s="1435">
        <v>0.66600000000000004</v>
      </c>
      <c r="F8" s="1436">
        <v>0.621</v>
      </c>
      <c r="G8" s="1435">
        <v>0.53200000000000003</v>
      </c>
      <c r="H8" s="1435">
        <v>0.55500000000000005</v>
      </c>
      <c r="K8" s="1428"/>
      <c r="L8" s="1428"/>
      <c r="M8" s="1429"/>
      <c r="S8" s="11"/>
      <c r="T8" s="1430"/>
    </row>
    <row r="9" spans="1:28" s="1222" customFormat="1" ht="16.899999999999999" customHeight="1" x14ac:dyDescent="0.3">
      <c r="A9" s="1431"/>
      <c r="B9" s="1223"/>
      <c r="C9" s="1223"/>
      <c r="D9" s="1434" t="s">
        <v>559</v>
      </c>
      <c r="E9" s="1437">
        <v>31.6</v>
      </c>
      <c r="F9" s="1438">
        <v>30.9</v>
      </c>
      <c r="G9" s="1437">
        <v>27.3</v>
      </c>
      <c r="H9" s="1437">
        <v>30.4</v>
      </c>
      <c r="K9" s="1428"/>
      <c r="L9" s="1428"/>
      <c r="M9" s="1429"/>
      <c r="S9" s="11"/>
      <c r="T9" s="1430"/>
    </row>
    <row r="10" spans="1:28" s="1222" customFormat="1" ht="16.899999999999999" customHeight="1" x14ac:dyDescent="0.3">
      <c r="A10" s="1431"/>
      <c r="B10" s="1223"/>
      <c r="C10" s="1223"/>
      <c r="D10" s="1434" t="s">
        <v>560</v>
      </c>
      <c r="E10" s="1435">
        <v>0.51</v>
      </c>
      <c r="F10" s="1436">
        <v>0.47599999999999998</v>
      </c>
      <c r="G10" s="1435">
        <v>0.36399999999999999</v>
      </c>
      <c r="H10" s="1435">
        <v>0.4</v>
      </c>
      <c r="K10" s="1428"/>
      <c r="L10" s="1428"/>
      <c r="M10" s="1429"/>
      <c r="S10" s="11"/>
      <c r="T10" s="1430"/>
    </row>
    <row r="11" spans="1:28" s="1222" customFormat="1" ht="26.25" customHeight="1" x14ac:dyDescent="0.3">
      <c r="A11" s="1431"/>
      <c r="B11" s="1223"/>
      <c r="C11" s="1223"/>
      <c r="D11" s="1434" t="s">
        <v>561</v>
      </c>
      <c r="E11" s="1437">
        <v>24.2</v>
      </c>
      <c r="F11" s="1438">
        <v>23.7</v>
      </c>
      <c r="G11" s="1437">
        <v>18.7</v>
      </c>
      <c r="H11" s="1437">
        <v>21.9</v>
      </c>
      <c r="K11" s="1428"/>
      <c r="L11" s="1428"/>
      <c r="M11" s="1429"/>
      <c r="S11" s="11"/>
      <c r="T11" s="1430"/>
    </row>
    <row r="12" spans="1:28" s="11" customFormat="1" ht="27" customHeight="1" x14ac:dyDescent="0.3">
      <c r="A12" s="1431"/>
      <c r="B12" s="1223"/>
      <c r="C12" s="1223"/>
      <c r="D12" s="1434" t="s">
        <v>562</v>
      </c>
      <c r="E12" s="1435">
        <v>0.28399999999999997</v>
      </c>
      <c r="F12" s="1436">
        <v>0.33500000000000002</v>
      </c>
      <c r="G12" s="1435">
        <v>0.214</v>
      </c>
      <c r="H12" s="1435">
        <v>0.252</v>
      </c>
      <c r="I12" s="1222"/>
      <c r="K12" s="1439"/>
      <c r="L12" s="1440"/>
      <c r="M12" s="1441"/>
      <c r="T12" s="1430"/>
    </row>
    <row r="13" spans="1:28" s="11" customFormat="1" ht="24" customHeight="1" x14ac:dyDescent="0.3">
      <c r="A13" s="1431"/>
      <c r="B13" s="1223"/>
      <c r="C13" s="1223"/>
      <c r="D13" s="1442" t="s">
        <v>563</v>
      </c>
      <c r="E13" s="1443">
        <v>13.4</v>
      </c>
      <c r="F13" s="1444">
        <v>16.7</v>
      </c>
      <c r="G13" s="1443">
        <v>11</v>
      </c>
      <c r="H13" s="1443">
        <v>13.8</v>
      </c>
      <c r="I13" s="1222"/>
      <c r="K13" s="1439"/>
      <c r="L13" s="1440"/>
      <c r="M13" s="1441"/>
      <c r="T13" s="1430"/>
    </row>
    <row r="14" spans="1:28" ht="15.5" x14ac:dyDescent="0.35">
      <c r="A14" s="1192"/>
      <c r="B14" s="1420"/>
      <c r="C14" s="1420"/>
      <c r="D14" s="1421"/>
      <c r="E14" s="1421"/>
      <c r="F14" s="1422"/>
      <c r="G14" s="1422"/>
      <c r="H14" s="1422"/>
      <c r="I14" s="1222"/>
      <c r="J14" s="1427"/>
      <c r="P14" s="1427"/>
      <c r="Q14" s="1427"/>
      <c r="R14" s="1427"/>
      <c r="S14" s="1424"/>
      <c r="T14" s="1424"/>
      <c r="U14" s="1424"/>
      <c r="V14" s="1424"/>
      <c r="W14" s="1427"/>
      <c r="Z14" s="1446"/>
      <c r="AA14" s="1447"/>
      <c r="AB14" s="1448"/>
    </row>
    <row r="15" spans="1:28" ht="15.5" x14ac:dyDescent="0.35">
      <c r="A15" s="1192">
        <v>5</v>
      </c>
      <c r="B15" s="1192" t="s">
        <v>56</v>
      </c>
      <c r="C15" s="1420"/>
      <c r="D15" s="1421"/>
      <c r="E15" s="1421"/>
      <c r="F15" s="1422"/>
      <c r="G15" s="1422"/>
      <c r="H15" s="1422"/>
      <c r="I15" s="1222"/>
      <c r="J15" s="1427"/>
      <c r="P15" s="1427"/>
      <c r="Q15" s="1427"/>
      <c r="R15" s="1427"/>
      <c r="S15" s="1424"/>
      <c r="T15" s="1424"/>
      <c r="U15" s="1424"/>
      <c r="V15" s="1424"/>
      <c r="W15" s="1427"/>
      <c r="Z15" s="1446"/>
      <c r="AA15" s="1447"/>
      <c r="AB15" s="1448"/>
    </row>
    <row r="16" spans="1:28" ht="15.5" x14ac:dyDescent="0.35">
      <c r="A16" s="1192"/>
      <c r="B16" s="1420"/>
      <c r="C16" s="1420"/>
      <c r="D16" s="1421"/>
      <c r="E16" s="1421"/>
      <c r="F16" s="1422"/>
      <c r="G16" s="1422"/>
      <c r="H16" s="1422"/>
      <c r="I16" s="1427"/>
      <c r="J16" s="1427"/>
      <c r="P16" s="1427"/>
      <c r="Q16" s="1427"/>
      <c r="R16" s="1427"/>
      <c r="S16" s="1424"/>
      <c r="T16" s="1424"/>
      <c r="U16" s="1424"/>
      <c r="V16" s="1424"/>
      <c r="W16" s="1427"/>
      <c r="Z16" s="1446"/>
      <c r="AA16" s="1447"/>
      <c r="AB16" s="1448"/>
    </row>
    <row r="17" spans="1:31" ht="15.5" x14ac:dyDescent="0.35">
      <c r="A17" s="1192"/>
      <c r="B17" s="1420"/>
      <c r="C17" s="1420"/>
      <c r="D17" s="1421"/>
      <c r="E17" s="1421"/>
      <c r="F17" s="1422"/>
      <c r="G17" s="1422"/>
      <c r="H17" s="1422"/>
      <c r="I17" s="1427"/>
      <c r="J17" s="1427"/>
      <c r="K17" s="1427"/>
      <c r="L17" s="1427"/>
      <c r="M17" s="1427"/>
      <c r="N17" s="1427"/>
      <c r="O17" s="1427"/>
      <c r="P17" s="1427"/>
      <c r="Q17" s="1427"/>
      <c r="R17" s="1427"/>
      <c r="S17" s="1424"/>
      <c r="T17" s="1424"/>
      <c r="U17" s="1424"/>
      <c r="V17" s="1424"/>
      <c r="W17" s="1427"/>
      <c r="Z17" s="1446"/>
      <c r="AA17" s="1447"/>
      <c r="AB17" s="1448"/>
    </row>
    <row r="18" spans="1:31" ht="15.5" x14ac:dyDescent="0.35">
      <c r="A18" s="1192"/>
      <c r="B18" s="1420"/>
      <c r="C18" s="1420"/>
      <c r="D18" s="1421"/>
      <c r="E18" s="1421"/>
      <c r="F18" s="1422"/>
      <c r="G18" s="1422"/>
      <c r="H18" s="1422"/>
      <c r="I18" s="1427"/>
      <c r="J18" s="1427"/>
      <c r="K18" s="1427"/>
      <c r="L18" s="1427"/>
      <c r="M18" s="1427"/>
      <c r="N18" s="1427"/>
      <c r="O18" s="1427"/>
      <c r="P18" s="1427"/>
      <c r="Q18" s="1427"/>
      <c r="R18" s="1427"/>
      <c r="S18" s="1424"/>
      <c r="T18" s="1424"/>
      <c r="U18" s="1424"/>
      <c r="V18" s="1424"/>
      <c r="W18" s="1427"/>
      <c r="Z18" s="1446"/>
      <c r="AA18" s="1447"/>
      <c r="AB18" s="1448"/>
    </row>
    <row r="19" spans="1:31" ht="15.5" x14ac:dyDescent="0.35">
      <c r="A19" s="1192"/>
      <c r="B19" s="1420"/>
      <c r="C19" s="1420"/>
      <c r="D19" s="1421"/>
      <c r="E19" s="1421"/>
      <c r="F19" s="1422"/>
      <c r="G19" s="1422"/>
      <c r="H19" s="1422"/>
      <c r="I19" s="1427"/>
      <c r="J19" s="1427"/>
      <c r="K19" s="1427"/>
      <c r="L19" s="1427"/>
      <c r="M19" s="1427"/>
      <c r="N19" s="1427"/>
      <c r="O19" s="1427"/>
      <c r="P19" s="1427"/>
      <c r="Q19" s="1427"/>
      <c r="R19" s="1427"/>
      <c r="S19" s="1424"/>
      <c r="T19" s="1424"/>
      <c r="U19" s="1424"/>
      <c r="V19" s="1424"/>
      <c r="W19" s="1427"/>
      <c r="Z19" s="1446"/>
      <c r="AA19" s="1447"/>
      <c r="AB19" s="1448"/>
    </row>
    <row r="20" spans="1:31" ht="15.5" x14ac:dyDescent="0.35">
      <c r="A20" s="1192"/>
      <c r="B20" s="1420"/>
      <c r="C20" s="1420"/>
      <c r="D20" s="1421"/>
      <c r="E20" s="1421"/>
      <c r="F20" s="1422"/>
      <c r="G20" s="1422"/>
      <c r="H20" s="1422"/>
      <c r="I20" s="1427"/>
      <c r="J20" s="1427"/>
      <c r="K20" s="1427"/>
      <c r="L20" s="1427"/>
      <c r="M20" s="1427"/>
      <c r="N20" s="1427"/>
      <c r="O20" s="1427"/>
      <c r="P20" s="1427"/>
      <c r="Q20" s="1427"/>
      <c r="R20" s="1427"/>
      <c r="S20" s="1424"/>
      <c r="T20" s="1424"/>
      <c r="U20" s="1424"/>
      <c r="V20" s="1424"/>
      <c r="W20" s="1427"/>
      <c r="Z20" s="1446"/>
      <c r="AA20" s="1447"/>
      <c r="AB20" s="1448"/>
    </row>
    <row r="21" spans="1:31" ht="15.5" x14ac:dyDescent="0.35">
      <c r="A21" s="1192"/>
      <c r="B21" s="1420"/>
      <c r="C21" s="1420"/>
      <c r="D21" s="1421"/>
      <c r="E21" s="1421"/>
      <c r="F21" s="1422"/>
      <c r="G21" s="1422"/>
      <c r="H21" s="1422"/>
      <c r="I21" s="1427"/>
      <c r="J21" s="1427"/>
      <c r="K21" s="1427"/>
      <c r="L21" s="1427"/>
      <c r="M21" s="1427"/>
      <c r="N21" s="1427"/>
      <c r="O21" s="1427"/>
      <c r="P21" s="1427"/>
      <c r="Q21" s="1427"/>
      <c r="R21" s="1427"/>
      <c r="S21" s="1424"/>
      <c r="T21" s="1424"/>
      <c r="U21" s="1424"/>
      <c r="V21" s="1424"/>
      <c r="W21" s="1427"/>
      <c r="Z21" s="1446"/>
      <c r="AA21" s="1447"/>
      <c r="AB21" s="1448"/>
    </row>
    <row r="22" spans="1:31" ht="15.5" x14ac:dyDescent="0.35">
      <c r="A22" s="1192"/>
      <c r="B22" s="1420"/>
      <c r="C22" s="1420"/>
      <c r="D22" s="1421"/>
      <c r="E22" s="1421"/>
      <c r="F22" s="1422"/>
      <c r="G22" s="1422"/>
      <c r="H22" s="1422"/>
      <c r="I22" s="1427"/>
      <c r="J22" s="1427"/>
      <c r="K22" s="1427"/>
      <c r="L22" s="1427"/>
      <c r="M22" s="1427"/>
      <c r="N22" s="1427"/>
      <c r="O22" s="1427"/>
      <c r="P22" s="1427"/>
      <c r="Q22" s="1427"/>
      <c r="R22" s="1427"/>
      <c r="S22" s="1424"/>
      <c r="T22" s="1424"/>
      <c r="U22" s="1424"/>
      <c r="V22" s="1424"/>
      <c r="W22" s="1427"/>
      <c r="Z22" s="1446"/>
      <c r="AA22" s="1447"/>
      <c r="AB22" s="1448"/>
    </row>
    <row r="23" spans="1:31" ht="15.5" x14ac:dyDescent="0.35">
      <c r="A23" s="1192"/>
      <c r="B23" s="1420"/>
      <c r="C23" s="1420"/>
      <c r="D23" s="1421"/>
      <c r="E23" s="1421"/>
      <c r="F23" s="1422"/>
      <c r="G23" s="1422"/>
      <c r="H23" s="1422"/>
      <c r="I23" s="1427"/>
      <c r="J23" s="1427"/>
      <c r="K23" s="1427"/>
      <c r="L23" s="1427"/>
      <c r="M23" s="1427"/>
      <c r="N23" s="1427"/>
      <c r="O23" s="1427"/>
      <c r="P23" s="1427"/>
      <c r="Q23" s="1427"/>
      <c r="R23" s="1427"/>
      <c r="S23" s="1424"/>
      <c r="T23" s="1424"/>
      <c r="U23" s="1424"/>
      <c r="V23" s="1424"/>
      <c r="W23" s="1427"/>
      <c r="Z23" s="1446"/>
      <c r="AA23" s="1447"/>
      <c r="AB23" s="1448"/>
    </row>
    <row r="24" spans="1:31" ht="15.5" x14ac:dyDescent="0.35">
      <c r="A24" s="1192"/>
      <c r="B24" s="1420"/>
      <c r="C24" s="1420"/>
      <c r="D24" s="1421"/>
      <c r="E24" s="1421"/>
      <c r="F24" s="1422"/>
      <c r="G24" s="1422"/>
      <c r="H24" s="1422"/>
      <c r="I24" s="1427"/>
      <c r="J24" s="1427"/>
      <c r="K24" s="1427"/>
      <c r="L24" s="1427"/>
      <c r="M24" s="1427"/>
      <c r="N24" s="1427"/>
      <c r="O24" s="1427"/>
      <c r="P24" s="1427"/>
      <c r="Q24" s="1427"/>
      <c r="R24" s="1427"/>
      <c r="S24" s="1424"/>
      <c r="T24" s="1424"/>
      <c r="U24" s="1424"/>
      <c r="V24" s="1424"/>
      <c r="W24" s="1427"/>
      <c r="Z24" s="1446"/>
      <c r="AA24" s="1447"/>
      <c r="AB24" s="1448"/>
    </row>
    <row r="25" spans="1:31" ht="15.5" x14ac:dyDescent="0.35">
      <c r="A25" s="1192"/>
      <c r="B25" s="1420"/>
      <c r="C25" s="1420"/>
      <c r="D25" s="1421"/>
      <c r="E25" s="1421"/>
      <c r="F25" s="1422"/>
      <c r="G25" s="1422"/>
      <c r="H25" s="1422"/>
      <c r="I25" s="1427"/>
      <c r="J25" s="1427"/>
      <c r="K25" s="1427"/>
      <c r="L25" s="1427"/>
      <c r="M25" s="1427"/>
      <c r="N25" s="1427"/>
      <c r="O25" s="1427"/>
      <c r="P25" s="1427"/>
      <c r="Q25" s="1427"/>
      <c r="R25" s="1427"/>
      <c r="S25" s="1424"/>
      <c r="T25" s="1424"/>
      <c r="U25" s="1424"/>
      <c r="V25" s="1424"/>
      <c r="W25" s="1427"/>
      <c r="Z25" s="1446"/>
      <c r="AA25" s="1447"/>
      <c r="AB25" s="1448"/>
    </row>
    <row r="26" spans="1:31" ht="15.5" x14ac:dyDescent="0.35">
      <c r="A26" s="1192"/>
      <c r="B26" s="1420"/>
      <c r="C26" s="1420"/>
      <c r="D26" s="1421"/>
      <c r="E26" s="1421"/>
      <c r="F26" s="1422"/>
      <c r="G26" s="1422"/>
      <c r="H26" s="1422"/>
      <c r="I26" s="1427"/>
      <c r="J26" s="1427"/>
      <c r="K26" s="1427"/>
      <c r="L26" s="1427"/>
      <c r="M26" s="1427"/>
      <c r="N26" s="1427"/>
      <c r="O26" s="1427"/>
      <c r="P26" s="1427"/>
      <c r="Q26" s="1427"/>
      <c r="R26" s="1427"/>
      <c r="S26" s="1424"/>
      <c r="T26" s="1424"/>
      <c r="U26" s="1424"/>
      <c r="V26" s="1424"/>
      <c r="W26" s="1427"/>
      <c r="Z26" s="1446"/>
      <c r="AA26" s="1447"/>
      <c r="AB26" s="1448"/>
    </row>
    <row r="27" spans="1:31" s="11" customFormat="1" ht="16.5" customHeight="1" x14ac:dyDescent="0.35">
      <c r="A27" s="1431"/>
      <c r="B27" s="1223"/>
      <c r="C27" s="1223"/>
      <c r="D27" s="786"/>
      <c r="E27" s="1449"/>
      <c r="F27" s="1450"/>
      <c r="G27" s="1449"/>
      <c r="H27" s="1449"/>
      <c r="I27" s="1449"/>
      <c r="J27" s="1450"/>
      <c r="K27" s="1451"/>
      <c r="L27" s="1452"/>
      <c r="M27" s="1451"/>
      <c r="N27" s="1452"/>
      <c r="O27" s="1451"/>
      <c r="P27" s="1452"/>
      <c r="Q27" s="1441"/>
      <c r="W27" s="1427"/>
      <c r="X27" s="1427"/>
    </row>
    <row r="28" spans="1:31" s="11" customFormat="1" ht="16.5" customHeight="1" x14ac:dyDescent="0.35">
      <c r="A28" s="1431"/>
      <c r="B28" s="1223"/>
      <c r="C28" s="1223"/>
      <c r="D28" s="786"/>
      <c r="E28" s="1439"/>
      <c r="F28" s="1453"/>
      <c r="G28" s="1439"/>
      <c r="H28" s="1439"/>
      <c r="I28" s="1453"/>
      <c r="J28" s="1439"/>
      <c r="K28" s="1454"/>
      <c r="L28" s="1455"/>
      <c r="M28" s="1456"/>
      <c r="N28" s="1457"/>
      <c r="O28" s="1455"/>
      <c r="P28" s="1454"/>
      <c r="Q28" s="1441"/>
      <c r="W28" s="1427"/>
      <c r="X28" s="1427"/>
    </row>
    <row r="29" spans="1:31" ht="12" customHeight="1" x14ac:dyDescent="0.35">
      <c r="D29" s="786"/>
      <c r="E29" s="1459"/>
      <c r="F29" s="1460"/>
      <c r="G29" s="1459"/>
      <c r="H29" s="1459"/>
      <c r="I29" s="1427"/>
      <c r="J29" s="1427"/>
      <c r="K29" s="1427"/>
      <c r="L29" s="1427"/>
      <c r="M29" s="1427"/>
      <c r="N29" s="1427"/>
      <c r="O29" s="1427"/>
      <c r="P29" s="1427"/>
      <c r="Q29" s="1427"/>
      <c r="R29" s="1427"/>
      <c r="S29" s="1427"/>
      <c r="T29" s="1427"/>
      <c r="U29" s="1427"/>
      <c r="V29" s="1456"/>
      <c r="W29" s="50"/>
      <c r="X29" s="1461"/>
      <c r="Y29" s="1456"/>
      <c r="Z29" s="1454"/>
      <c r="AA29" s="1462"/>
      <c r="AB29" s="1456"/>
      <c r="AC29" s="1454"/>
      <c r="AD29" s="1462"/>
      <c r="AE29" s="1456"/>
    </row>
    <row r="30" spans="1:31" ht="15.75" customHeight="1" x14ac:dyDescent="0.35">
      <c r="A30" s="1192">
        <v>6</v>
      </c>
      <c r="B30" s="1192" t="s">
        <v>58</v>
      </c>
      <c r="C30" s="1254"/>
      <c r="D30" s="4694" t="s">
        <v>564</v>
      </c>
      <c r="E30" s="4695"/>
      <c r="F30" s="4695"/>
      <c r="G30" s="4695"/>
      <c r="H30" s="4696"/>
      <c r="I30" s="1427"/>
      <c r="J30" s="1427"/>
      <c r="K30" s="1427"/>
      <c r="L30" s="1427"/>
      <c r="M30" s="1427"/>
      <c r="N30" s="1427"/>
      <c r="O30" s="1427"/>
      <c r="P30" s="1427"/>
      <c r="Q30" s="1427"/>
      <c r="R30" s="1427"/>
      <c r="S30" s="1427"/>
      <c r="T30" s="1427"/>
      <c r="U30" s="1427"/>
      <c r="V30" s="1463"/>
      <c r="W30" s="1463"/>
      <c r="X30" s="50"/>
      <c r="Y30" s="1461"/>
      <c r="AA30" s="1448"/>
      <c r="AB30" s="1464"/>
      <c r="AC30" s="1448"/>
    </row>
    <row r="31" spans="1:31" ht="30.65" customHeight="1" x14ac:dyDescent="0.35">
      <c r="A31" s="1254">
        <v>7</v>
      </c>
      <c r="B31" s="1254" t="s">
        <v>60</v>
      </c>
      <c r="C31" s="1192"/>
      <c r="D31" s="4642" t="s">
        <v>565</v>
      </c>
      <c r="E31" s="4643"/>
      <c r="F31" s="4643"/>
      <c r="G31" s="4643"/>
      <c r="H31" s="4644"/>
      <c r="I31" s="1427"/>
      <c r="J31" s="1427"/>
      <c r="K31" s="1427"/>
      <c r="L31" s="1427"/>
      <c r="M31" s="1427"/>
      <c r="N31" s="1427"/>
      <c r="O31" s="1427"/>
      <c r="P31" s="1427"/>
      <c r="Q31" s="1427"/>
      <c r="R31" s="1427"/>
      <c r="S31" s="1427"/>
      <c r="T31" s="1427"/>
      <c r="U31" s="1427"/>
      <c r="V31" s="1463"/>
      <c r="W31" s="1463"/>
      <c r="Y31" s="1461"/>
      <c r="AA31" s="1448"/>
      <c r="AB31" s="1464"/>
      <c r="AC31" s="1448"/>
    </row>
    <row r="32" spans="1:31" ht="30.65" customHeight="1" x14ac:dyDescent="0.35">
      <c r="A32" s="1192">
        <v>8</v>
      </c>
      <c r="B32" s="1192" t="s">
        <v>62</v>
      </c>
      <c r="C32" s="1326"/>
      <c r="D32" s="4642" t="s">
        <v>566</v>
      </c>
      <c r="E32" s="4643"/>
      <c r="F32" s="4643"/>
      <c r="G32" s="4643"/>
      <c r="H32" s="4644"/>
      <c r="I32" s="1427"/>
      <c r="J32" s="1427"/>
      <c r="K32" s="1427"/>
      <c r="L32" s="1427"/>
      <c r="M32" s="1427"/>
      <c r="N32" s="1427"/>
      <c r="O32" s="1427"/>
      <c r="P32" s="1427"/>
      <c r="Q32" s="1427"/>
      <c r="R32" s="1427"/>
      <c r="S32" s="1427"/>
      <c r="T32" s="1427"/>
      <c r="U32" s="1427"/>
      <c r="V32" s="1465"/>
      <c r="W32" s="1465"/>
      <c r="AA32" s="1448"/>
      <c r="AB32" s="1464"/>
      <c r="AC32" s="1448"/>
      <c r="AD32" s="11"/>
    </row>
    <row r="33" spans="1:29" ht="96" customHeight="1" x14ac:dyDescent="0.35">
      <c r="A33" s="1192">
        <v>9</v>
      </c>
      <c r="B33" s="1466" t="s">
        <v>567</v>
      </c>
      <c r="C33" s="1326"/>
      <c r="D33" s="4642" t="s">
        <v>568</v>
      </c>
      <c r="E33" s="4643"/>
      <c r="F33" s="4643"/>
      <c r="G33" s="4643"/>
      <c r="H33" s="4644"/>
      <c r="I33" s="1427"/>
      <c r="J33" s="1427"/>
      <c r="K33" s="1427"/>
      <c r="L33" s="1427"/>
      <c r="M33" s="1427"/>
      <c r="N33" s="1427"/>
      <c r="O33" s="1427"/>
      <c r="P33" s="1427"/>
      <c r="Q33" s="1427"/>
      <c r="R33" s="1427"/>
      <c r="S33" s="1427"/>
      <c r="T33" s="1427"/>
      <c r="U33" s="1427"/>
      <c r="V33" s="1463"/>
      <c r="W33" s="1463"/>
      <c r="AA33" s="1448"/>
      <c r="AB33" s="1464"/>
      <c r="AC33" s="1448"/>
    </row>
    <row r="34" spans="1:29" ht="15.5" x14ac:dyDescent="0.35">
      <c r="A34" s="1467"/>
      <c r="B34" s="1467"/>
      <c r="C34" s="1467"/>
      <c r="D34" s="949"/>
      <c r="E34" s="949"/>
      <c r="F34" s="949"/>
      <c r="G34" s="949"/>
      <c r="H34" s="949"/>
      <c r="I34" s="949"/>
      <c r="J34" s="949"/>
      <c r="K34" s="949"/>
      <c r="L34" s="949"/>
      <c r="M34" s="949"/>
      <c r="N34" s="949"/>
      <c r="O34" s="949"/>
      <c r="P34" s="949"/>
      <c r="Q34" s="949"/>
      <c r="R34" s="949"/>
      <c r="S34" s="949"/>
      <c r="T34" s="949"/>
      <c r="U34" s="949"/>
      <c r="V34" s="949"/>
      <c r="W34" s="949"/>
      <c r="AA34" s="1448"/>
      <c r="AB34" s="1464"/>
      <c r="AC34" s="1448"/>
    </row>
    <row r="35" spans="1:29" ht="15.5" x14ac:dyDescent="0.35">
      <c r="A35" s="1192"/>
      <c r="B35" s="1467"/>
      <c r="C35" s="1467"/>
      <c r="D35" s="949"/>
      <c r="E35" s="949"/>
      <c r="F35" s="949"/>
      <c r="G35" s="949"/>
      <c r="H35" s="949"/>
      <c r="I35" s="949"/>
      <c r="J35" s="949"/>
      <c r="K35" s="949"/>
      <c r="L35" s="949"/>
      <c r="M35" s="949"/>
      <c r="N35" s="949"/>
      <c r="O35" s="949"/>
      <c r="P35" s="949"/>
      <c r="Q35" s="949"/>
      <c r="R35" s="949"/>
      <c r="S35" s="949"/>
      <c r="T35" s="949"/>
      <c r="U35" s="949"/>
      <c r="V35" s="949"/>
      <c r="W35" s="949"/>
      <c r="Z35" s="1461"/>
      <c r="AA35" s="1448"/>
      <c r="AB35" s="1464"/>
      <c r="AC35" s="1448"/>
    </row>
    <row r="42" spans="1:29" x14ac:dyDescent="0.35">
      <c r="B42" s="1427" t="s">
        <v>569</v>
      </c>
      <c r="C42" s="1439"/>
      <c r="D42" s="1440"/>
      <c r="E42" s="1439"/>
      <c r="F42" s="1440"/>
    </row>
    <row r="43" spans="1:29" x14ac:dyDescent="0.35">
      <c r="B43" s="1468"/>
      <c r="C43" s="1469">
        <v>2006</v>
      </c>
      <c r="D43" s="1469">
        <v>2009</v>
      </c>
      <c r="E43" s="1469">
        <v>2011</v>
      </c>
      <c r="F43" s="1470">
        <v>2015</v>
      </c>
    </row>
    <row r="44" spans="1:29" x14ac:dyDescent="0.35">
      <c r="B44" s="1471" t="s">
        <v>558</v>
      </c>
      <c r="C44" s="1472">
        <v>0.66600000000000004</v>
      </c>
      <c r="D44" s="1473">
        <v>0.621</v>
      </c>
      <c r="E44" s="1472">
        <v>0.53200000000000003</v>
      </c>
      <c r="F44" s="1474">
        <v>0.55500000000000005</v>
      </c>
    </row>
    <row r="45" spans="1:29" x14ac:dyDescent="0.35">
      <c r="B45" s="1475" t="s">
        <v>560</v>
      </c>
      <c r="C45" s="1476">
        <v>0.51</v>
      </c>
      <c r="D45" s="1477">
        <v>0.47599999999999998</v>
      </c>
      <c r="E45" s="1476">
        <v>0.36399999999999999</v>
      </c>
      <c r="F45" s="1478">
        <v>0.4</v>
      </c>
    </row>
    <row r="46" spans="1:29" x14ac:dyDescent="0.35">
      <c r="B46" s="1479" t="s">
        <v>562</v>
      </c>
      <c r="C46" s="1480">
        <v>0.28399999999999997</v>
      </c>
      <c r="D46" s="1481">
        <v>0.33500000000000002</v>
      </c>
      <c r="E46" s="1480">
        <v>0.214</v>
      </c>
      <c r="F46" s="1482">
        <v>0.252</v>
      </c>
    </row>
  </sheetData>
  <mergeCells count="7">
    <mergeCell ref="D33:H33"/>
    <mergeCell ref="D2:H2"/>
    <mergeCell ref="D3:H3"/>
    <mergeCell ref="D4:H4"/>
    <mergeCell ref="D30:H30"/>
    <mergeCell ref="D31:H31"/>
    <mergeCell ref="D32:H32"/>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Q43"/>
  <sheetViews>
    <sheetView showGridLines="0" view="pageBreakPreview" zoomScaleNormal="100" zoomScaleSheetLayoutView="100" workbookViewId="0">
      <selection activeCell="Q16" sqref="Q16"/>
    </sheetView>
  </sheetViews>
  <sheetFormatPr defaultColWidth="9.08984375" defaultRowHeight="14.5" x14ac:dyDescent="0.35"/>
  <cols>
    <col min="1" max="1" width="3.7265625" style="1191" customWidth="1"/>
    <col min="2" max="2" width="14.453125" style="1458" customWidth="1"/>
    <col min="3" max="3" width="3.453125" style="1458" customWidth="1"/>
    <col min="4" max="4" width="14.26953125" style="1427" customWidth="1"/>
    <col min="5" max="5" width="10.453125" style="1427" customWidth="1"/>
    <col min="6" max="6" width="9.26953125" style="1427" customWidth="1"/>
    <col min="7" max="12" width="9.453125" style="1427" customWidth="1"/>
    <col min="13" max="239" width="9.08984375" style="1427"/>
    <col min="240" max="240" width="3.7265625" style="1427" customWidth="1"/>
    <col min="241" max="241" width="14.453125" style="1427" customWidth="1"/>
    <col min="242" max="242" width="6.453125" style="1427" customWidth="1"/>
    <col min="243" max="243" width="23.90625" style="1427" customWidth="1"/>
    <col min="244" max="244" width="6.26953125" style="1427" customWidth="1"/>
    <col min="245" max="257" width="5.453125" style="1427" customWidth="1"/>
    <col min="258" max="258" width="6.453125" style="1427" customWidth="1"/>
    <col min="259" max="259" width="6.26953125" style="1427" customWidth="1"/>
    <col min="260" max="260" width="12.90625" style="1427" bestFit="1" customWidth="1"/>
    <col min="261" max="261" width="13.453125" style="1427" bestFit="1" customWidth="1"/>
    <col min="262" max="262" width="6.7265625" style="1427" customWidth="1"/>
    <col min="263" max="263" width="10.453125" style="1427" customWidth="1"/>
    <col min="264" max="264" width="10.08984375" style="1427" customWidth="1"/>
    <col min="265" max="495" width="9.08984375" style="1427"/>
    <col min="496" max="496" width="3.7265625" style="1427" customWidth="1"/>
    <col min="497" max="497" width="14.453125" style="1427" customWidth="1"/>
    <col min="498" max="498" width="6.453125" style="1427" customWidth="1"/>
    <col min="499" max="499" width="23.90625" style="1427" customWidth="1"/>
    <col min="500" max="500" width="6.26953125" style="1427" customWidth="1"/>
    <col min="501" max="513" width="5.453125" style="1427" customWidth="1"/>
    <col min="514" max="514" width="6.453125" style="1427" customWidth="1"/>
    <col min="515" max="515" width="6.26953125" style="1427" customWidth="1"/>
    <col min="516" max="516" width="12.90625" style="1427" bestFit="1" customWidth="1"/>
    <col min="517" max="517" width="13.453125" style="1427" bestFit="1" customWidth="1"/>
    <col min="518" max="518" width="6.7265625" style="1427" customWidth="1"/>
    <col min="519" max="519" width="10.453125" style="1427" customWidth="1"/>
    <col min="520" max="520" width="10.08984375" style="1427" customWidth="1"/>
    <col min="521" max="751" width="9.08984375" style="1427"/>
    <col min="752" max="752" width="3.7265625" style="1427" customWidth="1"/>
    <col min="753" max="753" width="14.453125" style="1427" customWidth="1"/>
    <col min="754" max="754" width="6.453125" style="1427" customWidth="1"/>
    <col min="755" max="755" width="23.90625" style="1427" customWidth="1"/>
    <col min="756" max="756" width="6.26953125" style="1427" customWidth="1"/>
    <col min="757" max="769" width="5.453125" style="1427" customWidth="1"/>
    <col min="770" max="770" width="6.453125" style="1427" customWidth="1"/>
    <col min="771" max="771" width="6.26953125" style="1427" customWidth="1"/>
    <col min="772" max="772" width="12.90625" style="1427" bestFit="1" customWidth="1"/>
    <col min="773" max="773" width="13.453125" style="1427" bestFit="1" customWidth="1"/>
    <col min="774" max="774" width="6.7265625" style="1427" customWidth="1"/>
    <col min="775" max="775" width="10.453125" style="1427" customWidth="1"/>
    <col min="776" max="776" width="10.08984375" style="1427" customWidth="1"/>
    <col min="777" max="1007" width="9.08984375" style="1427"/>
    <col min="1008" max="1008" width="3.7265625" style="1427" customWidth="1"/>
    <col min="1009" max="1009" width="14.453125" style="1427" customWidth="1"/>
    <col min="1010" max="1010" width="6.453125" style="1427" customWidth="1"/>
    <col min="1011" max="1011" width="23.90625" style="1427" customWidth="1"/>
    <col min="1012" max="1012" width="6.26953125" style="1427" customWidth="1"/>
    <col min="1013" max="1025" width="5.453125" style="1427" customWidth="1"/>
    <col min="1026" max="1026" width="6.453125" style="1427" customWidth="1"/>
    <col min="1027" max="1027" width="6.26953125" style="1427" customWidth="1"/>
    <col min="1028" max="1028" width="12.90625" style="1427" bestFit="1" customWidth="1"/>
    <col min="1029" max="1029" width="13.453125" style="1427" bestFit="1" customWidth="1"/>
    <col min="1030" max="1030" width="6.7265625" style="1427" customWidth="1"/>
    <col min="1031" max="1031" width="10.453125" style="1427" customWidth="1"/>
    <col min="1032" max="1032" width="10.08984375" style="1427" customWidth="1"/>
    <col min="1033" max="1263" width="9.08984375" style="1427"/>
    <col min="1264" max="1264" width="3.7265625" style="1427" customWidth="1"/>
    <col min="1265" max="1265" width="14.453125" style="1427" customWidth="1"/>
    <col min="1266" max="1266" width="6.453125" style="1427" customWidth="1"/>
    <col min="1267" max="1267" width="23.90625" style="1427" customWidth="1"/>
    <col min="1268" max="1268" width="6.26953125" style="1427" customWidth="1"/>
    <col min="1269" max="1281" width="5.453125" style="1427" customWidth="1"/>
    <col min="1282" max="1282" width="6.453125" style="1427" customWidth="1"/>
    <col min="1283" max="1283" width="6.26953125" style="1427" customWidth="1"/>
    <col min="1284" max="1284" width="12.90625" style="1427" bestFit="1" customWidth="1"/>
    <col min="1285" max="1285" width="13.453125" style="1427" bestFit="1" customWidth="1"/>
    <col min="1286" max="1286" width="6.7265625" style="1427" customWidth="1"/>
    <col min="1287" max="1287" width="10.453125" style="1427" customWidth="1"/>
    <col min="1288" max="1288" width="10.08984375" style="1427" customWidth="1"/>
    <col min="1289" max="1519" width="9.08984375" style="1427"/>
    <col min="1520" max="1520" width="3.7265625" style="1427" customWidth="1"/>
    <col min="1521" max="1521" width="14.453125" style="1427" customWidth="1"/>
    <col min="1522" max="1522" width="6.453125" style="1427" customWidth="1"/>
    <col min="1523" max="1523" width="23.90625" style="1427" customWidth="1"/>
    <col min="1524" max="1524" width="6.26953125" style="1427" customWidth="1"/>
    <col min="1525" max="1537" width="5.453125" style="1427" customWidth="1"/>
    <col min="1538" max="1538" width="6.453125" style="1427" customWidth="1"/>
    <col min="1539" max="1539" width="6.26953125" style="1427" customWidth="1"/>
    <col min="1540" max="1540" width="12.90625" style="1427" bestFit="1" customWidth="1"/>
    <col min="1541" max="1541" width="13.453125" style="1427" bestFit="1" customWidth="1"/>
    <col min="1542" max="1542" width="6.7265625" style="1427" customWidth="1"/>
    <col min="1543" max="1543" width="10.453125" style="1427" customWidth="1"/>
    <col min="1544" max="1544" width="10.08984375" style="1427" customWidth="1"/>
    <col min="1545" max="1775" width="9.08984375" style="1427"/>
    <col min="1776" max="1776" width="3.7265625" style="1427" customWidth="1"/>
    <col min="1777" max="1777" width="14.453125" style="1427" customWidth="1"/>
    <col min="1778" max="1778" width="6.453125" style="1427" customWidth="1"/>
    <col min="1779" max="1779" width="23.90625" style="1427" customWidth="1"/>
    <col min="1780" max="1780" width="6.26953125" style="1427" customWidth="1"/>
    <col min="1781" max="1793" width="5.453125" style="1427" customWidth="1"/>
    <col min="1794" max="1794" width="6.453125" style="1427" customWidth="1"/>
    <col min="1795" max="1795" width="6.26953125" style="1427" customWidth="1"/>
    <col min="1796" max="1796" width="12.90625" style="1427" bestFit="1" customWidth="1"/>
    <col min="1797" max="1797" width="13.453125" style="1427" bestFit="1" customWidth="1"/>
    <col min="1798" max="1798" width="6.7265625" style="1427" customWidth="1"/>
    <col min="1799" max="1799" width="10.453125" style="1427" customWidth="1"/>
    <col min="1800" max="1800" width="10.08984375" style="1427" customWidth="1"/>
    <col min="1801" max="2031" width="9.08984375" style="1427"/>
    <col min="2032" max="2032" width="3.7265625" style="1427" customWidth="1"/>
    <col min="2033" max="2033" width="14.453125" style="1427" customWidth="1"/>
    <col min="2034" max="2034" width="6.453125" style="1427" customWidth="1"/>
    <col min="2035" max="2035" width="23.90625" style="1427" customWidth="1"/>
    <col min="2036" max="2036" width="6.26953125" style="1427" customWidth="1"/>
    <col min="2037" max="2049" width="5.453125" style="1427" customWidth="1"/>
    <col min="2050" max="2050" width="6.453125" style="1427" customWidth="1"/>
    <col min="2051" max="2051" width="6.26953125" style="1427" customWidth="1"/>
    <col min="2052" max="2052" width="12.90625" style="1427" bestFit="1" customWidth="1"/>
    <col min="2053" max="2053" width="13.453125" style="1427" bestFit="1" customWidth="1"/>
    <col min="2054" max="2054" width="6.7265625" style="1427" customWidth="1"/>
    <col min="2055" max="2055" width="10.453125" style="1427" customWidth="1"/>
    <col min="2056" max="2056" width="10.08984375" style="1427" customWidth="1"/>
    <col min="2057" max="2287" width="9.08984375" style="1427"/>
    <col min="2288" max="2288" width="3.7265625" style="1427" customWidth="1"/>
    <col min="2289" max="2289" width="14.453125" style="1427" customWidth="1"/>
    <col min="2290" max="2290" width="6.453125" style="1427" customWidth="1"/>
    <col min="2291" max="2291" width="23.90625" style="1427" customWidth="1"/>
    <col min="2292" max="2292" width="6.26953125" style="1427" customWidth="1"/>
    <col min="2293" max="2305" width="5.453125" style="1427" customWidth="1"/>
    <col min="2306" max="2306" width="6.453125" style="1427" customWidth="1"/>
    <col min="2307" max="2307" width="6.26953125" style="1427" customWidth="1"/>
    <col min="2308" max="2308" width="12.90625" style="1427" bestFit="1" customWidth="1"/>
    <col min="2309" max="2309" width="13.453125" style="1427" bestFit="1" customWidth="1"/>
    <col min="2310" max="2310" width="6.7265625" style="1427" customWidth="1"/>
    <col min="2311" max="2311" width="10.453125" style="1427" customWidth="1"/>
    <col min="2312" max="2312" width="10.08984375" style="1427" customWidth="1"/>
    <col min="2313" max="2543" width="9.08984375" style="1427"/>
    <col min="2544" max="2544" width="3.7265625" style="1427" customWidth="1"/>
    <col min="2545" max="2545" width="14.453125" style="1427" customWidth="1"/>
    <col min="2546" max="2546" width="6.453125" style="1427" customWidth="1"/>
    <col min="2547" max="2547" width="23.90625" style="1427" customWidth="1"/>
    <col min="2548" max="2548" width="6.26953125" style="1427" customWidth="1"/>
    <col min="2549" max="2561" width="5.453125" style="1427" customWidth="1"/>
    <col min="2562" max="2562" width="6.453125" style="1427" customWidth="1"/>
    <col min="2563" max="2563" width="6.26953125" style="1427" customWidth="1"/>
    <col min="2564" max="2564" width="12.90625" style="1427" bestFit="1" customWidth="1"/>
    <col min="2565" max="2565" width="13.453125" style="1427" bestFit="1" customWidth="1"/>
    <col min="2566" max="2566" width="6.7265625" style="1427" customWidth="1"/>
    <col min="2567" max="2567" width="10.453125" style="1427" customWidth="1"/>
    <col min="2568" max="2568" width="10.08984375" style="1427" customWidth="1"/>
    <col min="2569" max="2799" width="9.08984375" style="1427"/>
    <col min="2800" max="2800" width="3.7265625" style="1427" customWidth="1"/>
    <col min="2801" max="2801" width="14.453125" style="1427" customWidth="1"/>
    <col min="2802" max="2802" width="6.453125" style="1427" customWidth="1"/>
    <col min="2803" max="2803" width="23.90625" style="1427" customWidth="1"/>
    <col min="2804" max="2804" width="6.26953125" style="1427" customWidth="1"/>
    <col min="2805" max="2817" width="5.453125" style="1427" customWidth="1"/>
    <col min="2818" max="2818" width="6.453125" style="1427" customWidth="1"/>
    <col min="2819" max="2819" width="6.26953125" style="1427" customWidth="1"/>
    <col min="2820" max="2820" width="12.90625" style="1427" bestFit="1" customWidth="1"/>
    <col min="2821" max="2821" width="13.453125" style="1427" bestFit="1" customWidth="1"/>
    <col min="2822" max="2822" width="6.7265625" style="1427" customWidth="1"/>
    <col min="2823" max="2823" width="10.453125" style="1427" customWidth="1"/>
    <col min="2824" max="2824" width="10.08984375" style="1427" customWidth="1"/>
    <col min="2825" max="3055" width="9.08984375" style="1427"/>
    <col min="3056" max="3056" width="3.7265625" style="1427" customWidth="1"/>
    <col min="3057" max="3057" width="14.453125" style="1427" customWidth="1"/>
    <col min="3058" max="3058" width="6.453125" style="1427" customWidth="1"/>
    <col min="3059" max="3059" width="23.90625" style="1427" customWidth="1"/>
    <col min="3060" max="3060" width="6.26953125" style="1427" customWidth="1"/>
    <col min="3061" max="3073" width="5.453125" style="1427" customWidth="1"/>
    <col min="3074" max="3074" width="6.453125" style="1427" customWidth="1"/>
    <col min="3075" max="3075" width="6.26953125" style="1427" customWidth="1"/>
    <col min="3076" max="3076" width="12.90625" style="1427" bestFit="1" customWidth="1"/>
    <col min="3077" max="3077" width="13.453125" style="1427" bestFit="1" customWidth="1"/>
    <col min="3078" max="3078" width="6.7265625" style="1427" customWidth="1"/>
    <col min="3079" max="3079" width="10.453125" style="1427" customWidth="1"/>
    <col min="3080" max="3080" width="10.08984375" style="1427" customWidth="1"/>
    <col min="3081" max="3311" width="9.08984375" style="1427"/>
    <col min="3312" max="3312" width="3.7265625" style="1427" customWidth="1"/>
    <col min="3313" max="3313" width="14.453125" style="1427" customWidth="1"/>
    <col min="3314" max="3314" width="6.453125" style="1427" customWidth="1"/>
    <col min="3315" max="3315" width="23.90625" style="1427" customWidth="1"/>
    <col min="3316" max="3316" width="6.26953125" style="1427" customWidth="1"/>
    <col min="3317" max="3329" width="5.453125" style="1427" customWidth="1"/>
    <col min="3330" max="3330" width="6.453125" style="1427" customWidth="1"/>
    <col min="3331" max="3331" width="6.26953125" style="1427" customWidth="1"/>
    <col min="3332" max="3332" width="12.90625" style="1427" bestFit="1" customWidth="1"/>
    <col min="3333" max="3333" width="13.453125" style="1427" bestFit="1" customWidth="1"/>
    <col min="3334" max="3334" width="6.7265625" style="1427" customWidth="1"/>
    <col min="3335" max="3335" width="10.453125" style="1427" customWidth="1"/>
    <col min="3336" max="3336" width="10.08984375" style="1427" customWidth="1"/>
    <col min="3337" max="3567" width="9.08984375" style="1427"/>
    <col min="3568" max="3568" width="3.7265625" style="1427" customWidth="1"/>
    <col min="3569" max="3569" width="14.453125" style="1427" customWidth="1"/>
    <col min="3570" max="3570" width="6.453125" style="1427" customWidth="1"/>
    <col min="3571" max="3571" width="23.90625" style="1427" customWidth="1"/>
    <col min="3572" max="3572" width="6.26953125" style="1427" customWidth="1"/>
    <col min="3573" max="3585" width="5.453125" style="1427" customWidth="1"/>
    <col min="3586" max="3586" width="6.453125" style="1427" customWidth="1"/>
    <col min="3587" max="3587" width="6.26953125" style="1427" customWidth="1"/>
    <col min="3588" max="3588" width="12.90625" style="1427" bestFit="1" customWidth="1"/>
    <col min="3589" max="3589" width="13.453125" style="1427" bestFit="1" customWidth="1"/>
    <col min="3590" max="3590" width="6.7265625" style="1427" customWidth="1"/>
    <col min="3591" max="3591" width="10.453125" style="1427" customWidth="1"/>
    <col min="3592" max="3592" width="10.08984375" style="1427" customWidth="1"/>
    <col min="3593" max="3823" width="9.08984375" style="1427"/>
    <col min="3824" max="3824" width="3.7265625" style="1427" customWidth="1"/>
    <col min="3825" max="3825" width="14.453125" style="1427" customWidth="1"/>
    <col min="3826" max="3826" width="6.453125" style="1427" customWidth="1"/>
    <col min="3827" max="3827" width="23.90625" style="1427" customWidth="1"/>
    <col min="3828" max="3828" width="6.26953125" style="1427" customWidth="1"/>
    <col min="3829" max="3841" width="5.453125" style="1427" customWidth="1"/>
    <col min="3842" max="3842" width="6.453125" style="1427" customWidth="1"/>
    <col min="3843" max="3843" width="6.26953125" style="1427" customWidth="1"/>
    <col min="3844" max="3844" width="12.90625" style="1427" bestFit="1" customWidth="1"/>
    <col min="3845" max="3845" width="13.453125" style="1427" bestFit="1" customWidth="1"/>
    <col min="3846" max="3846" width="6.7265625" style="1427" customWidth="1"/>
    <col min="3847" max="3847" width="10.453125" style="1427" customWidth="1"/>
    <col min="3848" max="3848" width="10.08984375" style="1427" customWidth="1"/>
    <col min="3849" max="4079" width="9.08984375" style="1427"/>
    <col min="4080" max="4080" width="3.7265625" style="1427" customWidth="1"/>
    <col min="4081" max="4081" width="14.453125" style="1427" customWidth="1"/>
    <col min="4082" max="4082" width="6.453125" style="1427" customWidth="1"/>
    <col min="4083" max="4083" width="23.90625" style="1427" customWidth="1"/>
    <col min="4084" max="4084" width="6.26953125" style="1427" customWidth="1"/>
    <col min="4085" max="4097" width="5.453125" style="1427" customWidth="1"/>
    <col min="4098" max="4098" width="6.453125" style="1427" customWidth="1"/>
    <col min="4099" max="4099" width="6.26953125" style="1427" customWidth="1"/>
    <col min="4100" max="4100" width="12.90625" style="1427" bestFit="1" customWidth="1"/>
    <col min="4101" max="4101" width="13.453125" style="1427" bestFit="1" customWidth="1"/>
    <col min="4102" max="4102" width="6.7265625" style="1427" customWidth="1"/>
    <col min="4103" max="4103" width="10.453125" style="1427" customWidth="1"/>
    <col min="4104" max="4104" width="10.08984375" style="1427" customWidth="1"/>
    <col min="4105" max="4335" width="9.08984375" style="1427"/>
    <col min="4336" max="4336" width="3.7265625" style="1427" customWidth="1"/>
    <col min="4337" max="4337" width="14.453125" style="1427" customWidth="1"/>
    <col min="4338" max="4338" width="6.453125" style="1427" customWidth="1"/>
    <col min="4339" max="4339" width="23.90625" style="1427" customWidth="1"/>
    <col min="4340" max="4340" width="6.26953125" style="1427" customWidth="1"/>
    <col min="4341" max="4353" width="5.453125" style="1427" customWidth="1"/>
    <col min="4354" max="4354" width="6.453125" style="1427" customWidth="1"/>
    <col min="4355" max="4355" width="6.26953125" style="1427" customWidth="1"/>
    <col min="4356" max="4356" width="12.90625" style="1427" bestFit="1" customWidth="1"/>
    <col min="4357" max="4357" width="13.453125" style="1427" bestFit="1" customWidth="1"/>
    <col min="4358" max="4358" width="6.7265625" style="1427" customWidth="1"/>
    <col min="4359" max="4359" width="10.453125" style="1427" customWidth="1"/>
    <col min="4360" max="4360" width="10.08984375" style="1427" customWidth="1"/>
    <col min="4361" max="4591" width="9.08984375" style="1427"/>
    <col min="4592" max="4592" width="3.7265625" style="1427" customWidth="1"/>
    <col min="4593" max="4593" width="14.453125" style="1427" customWidth="1"/>
    <col min="4594" max="4594" width="6.453125" style="1427" customWidth="1"/>
    <col min="4595" max="4595" width="23.90625" style="1427" customWidth="1"/>
    <col min="4596" max="4596" width="6.26953125" style="1427" customWidth="1"/>
    <col min="4597" max="4609" width="5.453125" style="1427" customWidth="1"/>
    <col min="4610" max="4610" width="6.453125" style="1427" customWidth="1"/>
    <col min="4611" max="4611" width="6.26953125" style="1427" customWidth="1"/>
    <col min="4612" max="4612" width="12.90625" style="1427" bestFit="1" customWidth="1"/>
    <col min="4613" max="4613" width="13.453125" style="1427" bestFit="1" customWidth="1"/>
    <col min="4614" max="4614" width="6.7265625" style="1427" customWidth="1"/>
    <col min="4615" max="4615" width="10.453125" style="1427" customWidth="1"/>
    <col min="4616" max="4616" width="10.08984375" style="1427" customWidth="1"/>
    <col min="4617" max="4847" width="9.08984375" style="1427"/>
    <col min="4848" max="4848" width="3.7265625" style="1427" customWidth="1"/>
    <col min="4849" max="4849" width="14.453125" style="1427" customWidth="1"/>
    <col min="4850" max="4850" width="6.453125" style="1427" customWidth="1"/>
    <col min="4851" max="4851" width="23.90625" style="1427" customWidth="1"/>
    <col min="4852" max="4852" width="6.26953125" style="1427" customWidth="1"/>
    <col min="4853" max="4865" width="5.453125" style="1427" customWidth="1"/>
    <col min="4866" max="4866" width="6.453125" style="1427" customWidth="1"/>
    <col min="4867" max="4867" width="6.26953125" style="1427" customWidth="1"/>
    <col min="4868" max="4868" width="12.90625" style="1427" bestFit="1" customWidth="1"/>
    <col min="4869" max="4869" width="13.453125" style="1427" bestFit="1" customWidth="1"/>
    <col min="4870" max="4870" width="6.7265625" style="1427" customWidth="1"/>
    <col min="4871" max="4871" width="10.453125" style="1427" customWidth="1"/>
    <col min="4872" max="4872" width="10.08984375" style="1427" customWidth="1"/>
    <col min="4873" max="5103" width="9.08984375" style="1427"/>
    <col min="5104" max="5104" width="3.7265625" style="1427" customWidth="1"/>
    <col min="5105" max="5105" width="14.453125" style="1427" customWidth="1"/>
    <col min="5106" max="5106" width="6.453125" style="1427" customWidth="1"/>
    <col min="5107" max="5107" width="23.90625" style="1427" customWidth="1"/>
    <col min="5108" max="5108" width="6.26953125" style="1427" customWidth="1"/>
    <col min="5109" max="5121" width="5.453125" style="1427" customWidth="1"/>
    <col min="5122" max="5122" width="6.453125" style="1427" customWidth="1"/>
    <col min="5123" max="5123" width="6.26953125" style="1427" customWidth="1"/>
    <col min="5124" max="5124" width="12.90625" style="1427" bestFit="1" customWidth="1"/>
    <col min="5125" max="5125" width="13.453125" style="1427" bestFit="1" customWidth="1"/>
    <col min="5126" max="5126" width="6.7265625" style="1427" customWidth="1"/>
    <col min="5127" max="5127" width="10.453125" style="1427" customWidth="1"/>
    <col min="5128" max="5128" width="10.08984375" style="1427" customWidth="1"/>
    <col min="5129" max="5359" width="9.08984375" style="1427"/>
    <col min="5360" max="5360" width="3.7265625" style="1427" customWidth="1"/>
    <col min="5361" max="5361" width="14.453125" style="1427" customWidth="1"/>
    <col min="5362" max="5362" width="6.453125" style="1427" customWidth="1"/>
    <col min="5363" max="5363" width="23.90625" style="1427" customWidth="1"/>
    <col min="5364" max="5364" width="6.26953125" style="1427" customWidth="1"/>
    <col min="5365" max="5377" width="5.453125" style="1427" customWidth="1"/>
    <col min="5378" max="5378" width="6.453125" style="1427" customWidth="1"/>
    <col min="5379" max="5379" width="6.26953125" style="1427" customWidth="1"/>
    <col min="5380" max="5380" width="12.90625" style="1427" bestFit="1" customWidth="1"/>
    <col min="5381" max="5381" width="13.453125" style="1427" bestFit="1" customWidth="1"/>
    <col min="5382" max="5382" width="6.7265625" style="1427" customWidth="1"/>
    <col min="5383" max="5383" width="10.453125" style="1427" customWidth="1"/>
    <col min="5384" max="5384" width="10.08984375" style="1427" customWidth="1"/>
    <col min="5385" max="5615" width="9.08984375" style="1427"/>
    <col min="5616" max="5616" width="3.7265625" style="1427" customWidth="1"/>
    <col min="5617" max="5617" width="14.453125" style="1427" customWidth="1"/>
    <col min="5618" max="5618" width="6.453125" style="1427" customWidth="1"/>
    <col min="5619" max="5619" width="23.90625" style="1427" customWidth="1"/>
    <col min="5620" max="5620" width="6.26953125" style="1427" customWidth="1"/>
    <col min="5621" max="5633" width="5.453125" style="1427" customWidth="1"/>
    <col min="5634" max="5634" width="6.453125" style="1427" customWidth="1"/>
    <col min="5635" max="5635" width="6.26953125" style="1427" customWidth="1"/>
    <col min="5636" max="5636" width="12.90625" style="1427" bestFit="1" customWidth="1"/>
    <col min="5637" max="5637" width="13.453125" style="1427" bestFit="1" customWidth="1"/>
    <col min="5638" max="5638" width="6.7265625" style="1427" customWidth="1"/>
    <col min="5639" max="5639" width="10.453125" style="1427" customWidth="1"/>
    <col min="5640" max="5640" width="10.08984375" style="1427" customWidth="1"/>
    <col min="5641" max="5871" width="9.08984375" style="1427"/>
    <col min="5872" max="5872" width="3.7265625" style="1427" customWidth="1"/>
    <col min="5873" max="5873" width="14.453125" style="1427" customWidth="1"/>
    <col min="5874" max="5874" width="6.453125" style="1427" customWidth="1"/>
    <col min="5875" max="5875" width="23.90625" style="1427" customWidth="1"/>
    <col min="5876" max="5876" width="6.26953125" style="1427" customWidth="1"/>
    <col min="5877" max="5889" width="5.453125" style="1427" customWidth="1"/>
    <col min="5890" max="5890" width="6.453125" style="1427" customWidth="1"/>
    <col min="5891" max="5891" width="6.26953125" style="1427" customWidth="1"/>
    <col min="5892" max="5892" width="12.90625" style="1427" bestFit="1" customWidth="1"/>
    <col min="5893" max="5893" width="13.453125" style="1427" bestFit="1" customWidth="1"/>
    <col min="5894" max="5894" width="6.7265625" style="1427" customWidth="1"/>
    <col min="5895" max="5895" width="10.453125" style="1427" customWidth="1"/>
    <col min="5896" max="5896" width="10.08984375" style="1427" customWidth="1"/>
    <col min="5897" max="6127" width="9.08984375" style="1427"/>
    <col min="6128" max="6128" width="3.7265625" style="1427" customWidth="1"/>
    <col min="6129" max="6129" width="14.453125" style="1427" customWidth="1"/>
    <col min="6130" max="6130" width="6.453125" style="1427" customWidth="1"/>
    <col min="6131" max="6131" width="23.90625" style="1427" customWidth="1"/>
    <col min="6132" max="6132" width="6.26953125" style="1427" customWidth="1"/>
    <col min="6133" max="6145" width="5.453125" style="1427" customWidth="1"/>
    <col min="6146" max="6146" width="6.453125" style="1427" customWidth="1"/>
    <col min="6147" max="6147" width="6.26953125" style="1427" customWidth="1"/>
    <col min="6148" max="6148" width="12.90625" style="1427" bestFit="1" customWidth="1"/>
    <col min="6149" max="6149" width="13.453125" style="1427" bestFit="1" customWidth="1"/>
    <col min="6150" max="6150" width="6.7265625" style="1427" customWidth="1"/>
    <col min="6151" max="6151" width="10.453125" style="1427" customWidth="1"/>
    <col min="6152" max="6152" width="10.08984375" style="1427" customWidth="1"/>
    <col min="6153" max="6383" width="9.08984375" style="1427"/>
    <col min="6384" max="6384" width="3.7265625" style="1427" customWidth="1"/>
    <col min="6385" max="6385" width="14.453125" style="1427" customWidth="1"/>
    <col min="6386" max="6386" width="6.453125" style="1427" customWidth="1"/>
    <col min="6387" max="6387" width="23.90625" style="1427" customWidth="1"/>
    <col min="6388" max="6388" width="6.26953125" style="1427" customWidth="1"/>
    <col min="6389" max="6401" width="5.453125" style="1427" customWidth="1"/>
    <col min="6402" max="6402" width="6.453125" style="1427" customWidth="1"/>
    <col min="6403" max="6403" width="6.26953125" style="1427" customWidth="1"/>
    <col min="6404" max="6404" width="12.90625" style="1427" bestFit="1" customWidth="1"/>
    <col min="6405" max="6405" width="13.453125" style="1427" bestFit="1" customWidth="1"/>
    <col min="6406" max="6406" width="6.7265625" style="1427" customWidth="1"/>
    <col min="6407" max="6407" width="10.453125" style="1427" customWidth="1"/>
    <col min="6408" max="6408" width="10.08984375" style="1427" customWidth="1"/>
    <col min="6409" max="6639" width="9.08984375" style="1427"/>
    <col min="6640" max="6640" width="3.7265625" style="1427" customWidth="1"/>
    <col min="6641" max="6641" width="14.453125" style="1427" customWidth="1"/>
    <col min="6642" max="6642" width="6.453125" style="1427" customWidth="1"/>
    <col min="6643" max="6643" width="23.90625" style="1427" customWidth="1"/>
    <col min="6644" max="6644" width="6.26953125" style="1427" customWidth="1"/>
    <col min="6645" max="6657" width="5.453125" style="1427" customWidth="1"/>
    <col min="6658" max="6658" width="6.453125" style="1427" customWidth="1"/>
    <col min="6659" max="6659" width="6.26953125" style="1427" customWidth="1"/>
    <col min="6660" max="6660" width="12.90625" style="1427" bestFit="1" customWidth="1"/>
    <col min="6661" max="6661" width="13.453125" style="1427" bestFit="1" customWidth="1"/>
    <col min="6662" max="6662" width="6.7265625" style="1427" customWidth="1"/>
    <col min="6663" max="6663" width="10.453125" style="1427" customWidth="1"/>
    <col min="6664" max="6664" width="10.08984375" style="1427" customWidth="1"/>
    <col min="6665" max="6895" width="9.08984375" style="1427"/>
    <col min="6896" max="6896" width="3.7265625" style="1427" customWidth="1"/>
    <col min="6897" max="6897" width="14.453125" style="1427" customWidth="1"/>
    <col min="6898" max="6898" width="6.453125" style="1427" customWidth="1"/>
    <col min="6899" max="6899" width="23.90625" style="1427" customWidth="1"/>
    <col min="6900" max="6900" width="6.26953125" style="1427" customWidth="1"/>
    <col min="6901" max="6913" width="5.453125" style="1427" customWidth="1"/>
    <col min="6914" max="6914" width="6.453125" style="1427" customWidth="1"/>
    <col min="6915" max="6915" width="6.26953125" style="1427" customWidth="1"/>
    <col min="6916" max="6916" width="12.90625" style="1427" bestFit="1" customWidth="1"/>
    <col min="6917" max="6917" width="13.453125" style="1427" bestFit="1" customWidth="1"/>
    <col min="6918" max="6918" width="6.7265625" style="1427" customWidth="1"/>
    <col min="6919" max="6919" width="10.453125" style="1427" customWidth="1"/>
    <col min="6920" max="6920" width="10.08984375" style="1427" customWidth="1"/>
    <col min="6921" max="7151" width="9.08984375" style="1427"/>
    <col min="7152" max="7152" width="3.7265625" style="1427" customWidth="1"/>
    <col min="7153" max="7153" width="14.453125" style="1427" customWidth="1"/>
    <col min="7154" max="7154" width="6.453125" style="1427" customWidth="1"/>
    <col min="7155" max="7155" width="23.90625" style="1427" customWidth="1"/>
    <col min="7156" max="7156" width="6.26953125" style="1427" customWidth="1"/>
    <col min="7157" max="7169" width="5.453125" style="1427" customWidth="1"/>
    <col min="7170" max="7170" width="6.453125" style="1427" customWidth="1"/>
    <col min="7171" max="7171" width="6.26953125" style="1427" customWidth="1"/>
    <col min="7172" max="7172" width="12.90625" style="1427" bestFit="1" customWidth="1"/>
    <col min="7173" max="7173" width="13.453125" style="1427" bestFit="1" customWidth="1"/>
    <col min="7174" max="7174" width="6.7265625" style="1427" customWidth="1"/>
    <col min="7175" max="7175" width="10.453125" style="1427" customWidth="1"/>
    <col min="7176" max="7176" width="10.08984375" style="1427" customWidth="1"/>
    <col min="7177" max="7407" width="9.08984375" style="1427"/>
    <col min="7408" max="7408" width="3.7265625" style="1427" customWidth="1"/>
    <col min="7409" max="7409" width="14.453125" style="1427" customWidth="1"/>
    <col min="7410" max="7410" width="6.453125" style="1427" customWidth="1"/>
    <col min="7411" max="7411" width="23.90625" style="1427" customWidth="1"/>
    <col min="7412" max="7412" width="6.26953125" style="1427" customWidth="1"/>
    <col min="7413" max="7425" width="5.453125" style="1427" customWidth="1"/>
    <col min="7426" max="7426" width="6.453125" style="1427" customWidth="1"/>
    <col min="7427" max="7427" width="6.26953125" style="1427" customWidth="1"/>
    <col min="7428" max="7428" width="12.90625" style="1427" bestFit="1" customWidth="1"/>
    <col min="7429" max="7429" width="13.453125" style="1427" bestFit="1" customWidth="1"/>
    <col min="7430" max="7430" width="6.7265625" style="1427" customWidth="1"/>
    <col min="7431" max="7431" width="10.453125" style="1427" customWidth="1"/>
    <col min="7432" max="7432" width="10.08984375" style="1427" customWidth="1"/>
    <col min="7433" max="7663" width="9.08984375" style="1427"/>
    <col min="7664" max="7664" width="3.7265625" style="1427" customWidth="1"/>
    <col min="7665" max="7665" width="14.453125" style="1427" customWidth="1"/>
    <col min="7666" max="7666" width="6.453125" style="1427" customWidth="1"/>
    <col min="7667" max="7667" width="23.90625" style="1427" customWidth="1"/>
    <col min="7668" max="7668" width="6.26953125" style="1427" customWidth="1"/>
    <col min="7669" max="7681" width="5.453125" style="1427" customWidth="1"/>
    <col min="7682" max="7682" width="6.453125" style="1427" customWidth="1"/>
    <col min="7683" max="7683" width="6.26953125" style="1427" customWidth="1"/>
    <col min="7684" max="7684" width="12.90625" style="1427" bestFit="1" customWidth="1"/>
    <col min="7685" max="7685" width="13.453125" style="1427" bestFit="1" customWidth="1"/>
    <col min="7686" max="7686" width="6.7265625" style="1427" customWidth="1"/>
    <col min="7687" max="7687" width="10.453125" style="1427" customWidth="1"/>
    <col min="7688" max="7688" width="10.08984375" style="1427" customWidth="1"/>
    <col min="7689" max="7919" width="9.08984375" style="1427"/>
    <col min="7920" max="7920" width="3.7265625" style="1427" customWidth="1"/>
    <col min="7921" max="7921" width="14.453125" style="1427" customWidth="1"/>
    <col min="7922" max="7922" width="6.453125" style="1427" customWidth="1"/>
    <col min="7923" max="7923" width="23.90625" style="1427" customWidth="1"/>
    <col min="7924" max="7924" width="6.26953125" style="1427" customWidth="1"/>
    <col min="7925" max="7937" width="5.453125" style="1427" customWidth="1"/>
    <col min="7938" max="7938" width="6.453125" style="1427" customWidth="1"/>
    <col min="7939" max="7939" width="6.26953125" style="1427" customWidth="1"/>
    <col min="7940" max="7940" width="12.90625" style="1427" bestFit="1" customWidth="1"/>
    <col min="7941" max="7941" width="13.453125" style="1427" bestFit="1" customWidth="1"/>
    <col min="7942" max="7942" width="6.7265625" style="1427" customWidth="1"/>
    <col min="7943" max="7943" width="10.453125" style="1427" customWidth="1"/>
    <col min="7944" max="7944" width="10.08984375" style="1427" customWidth="1"/>
    <col min="7945" max="8175" width="9.08984375" style="1427"/>
    <col min="8176" max="8176" width="3.7265625" style="1427" customWidth="1"/>
    <col min="8177" max="8177" width="14.453125" style="1427" customWidth="1"/>
    <col min="8178" max="8178" width="6.453125" style="1427" customWidth="1"/>
    <col min="8179" max="8179" width="23.90625" style="1427" customWidth="1"/>
    <col min="8180" max="8180" width="6.26953125" style="1427" customWidth="1"/>
    <col min="8181" max="8193" width="5.453125" style="1427" customWidth="1"/>
    <col min="8194" max="8194" width="6.453125" style="1427" customWidth="1"/>
    <col min="8195" max="8195" width="6.26953125" style="1427" customWidth="1"/>
    <col min="8196" max="8196" width="12.90625" style="1427" bestFit="1" customWidth="1"/>
    <col min="8197" max="8197" width="13.453125" style="1427" bestFit="1" customWidth="1"/>
    <col min="8198" max="8198" width="6.7265625" style="1427" customWidth="1"/>
    <col min="8199" max="8199" width="10.453125" style="1427" customWidth="1"/>
    <col min="8200" max="8200" width="10.08984375" style="1427" customWidth="1"/>
    <col min="8201" max="8431" width="9.08984375" style="1427"/>
    <col min="8432" max="8432" width="3.7265625" style="1427" customWidth="1"/>
    <col min="8433" max="8433" width="14.453125" style="1427" customWidth="1"/>
    <col min="8434" max="8434" width="6.453125" style="1427" customWidth="1"/>
    <col min="8435" max="8435" width="23.90625" style="1427" customWidth="1"/>
    <col min="8436" max="8436" width="6.26953125" style="1427" customWidth="1"/>
    <col min="8437" max="8449" width="5.453125" style="1427" customWidth="1"/>
    <col min="8450" max="8450" width="6.453125" style="1427" customWidth="1"/>
    <col min="8451" max="8451" width="6.26953125" style="1427" customWidth="1"/>
    <col min="8452" max="8452" width="12.90625" style="1427" bestFit="1" customWidth="1"/>
    <col min="8453" max="8453" width="13.453125" style="1427" bestFit="1" customWidth="1"/>
    <col min="8454" max="8454" width="6.7265625" style="1427" customWidth="1"/>
    <col min="8455" max="8455" width="10.453125" style="1427" customWidth="1"/>
    <col min="8456" max="8456" width="10.08984375" style="1427" customWidth="1"/>
    <col min="8457" max="8687" width="9.08984375" style="1427"/>
    <col min="8688" max="8688" width="3.7265625" style="1427" customWidth="1"/>
    <col min="8689" max="8689" width="14.453125" style="1427" customWidth="1"/>
    <col min="8690" max="8690" width="6.453125" style="1427" customWidth="1"/>
    <col min="8691" max="8691" width="23.90625" style="1427" customWidth="1"/>
    <col min="8692" max="8692" width="6.26953125" style="1427" customWidth="1"/>
    <col min="8693" max="8705" width="5.453125" style="1427" customWidth="1"/>
    <col min="8706" max="8706" width="6.453125" style="1427" customWidth="1"/>
    <col min="8707" max="8707" width="6.26953125" style="1427" customWidth="1"/>
    <col min="8708" max="8708" width="12.90625" style="1427" bestFit="1" customWidth="1"/>
    <col min="8709" max="8709" width="13.453125" style="1427" bestFit="1" customWidth="1"/>
    <col min="8710" max="8710" width="6.7265625" style="1427" customWidth="1"/>
    <col min="8711" max="8711" width="10.453125" style="1427" customWidth="1"/>
    <col min="8712" max="8712" width="10.08984375" style="1427" customWidth="1"/>
    <col min="8713" max="8943" width="9.08984375" style="1427"/>
    <col min="8944" max="8944" width="3.7265625" style="1427" customWidth="1"/>
    <col min="8945" max="8945" width="14.453125" style="1427" customWidth="1"/>
    <col min="8946" max="8946" width="6.453125" style="1427" customWidth="1"/>
    <col min="8947" max="8947" width="23.90625" style="1427" customWidth="1"/>
    <col min="8948" max="8948" width="6.26953125" style="1427" customWidth="1"/>
    <col min="8949" max="8961" width="5.453125" style="1427" customWidth="1"/>
    <col min="8962" max="8962" width="6.453125" style="1427" customWidth="1"/>
    <col min="8963" max="8963" width="6.26953125" style="1427" customWidth="1"/>
    <col min="8964" max="8964" width="12.90625" style="1427" bestFit="1" customWidth="1"/>
    <col min="8965" max="8965" width="13.453125" style="1427" bestFit="1" customWidth="1"/>
    <col min="8966" max="8966" width="6.7265625" style="1427" customWidth="1"/>
    <col min="8967" max="8967" width="10.453125" style="1427" customWidth="1"/>
    <col min="8968" max="8968" width="10.08984375" style="1427" customWidth="1"/>
    <col min="8969" max="9199" width="9.08984375" style="1427"/>
    <col min="9200" max="9200" width="3.7265625" style="1427" customWidth="1"/>
    <col min="9201" max="9201" width="14.453125" style="1427" customWidth="1"/>
    <col min="9202" max="9202" width="6.453125" style="1427" customWidth="1"/>
    <col min="9203" max="9203" width="23.90625" style="1427" customWidth="1"/>
    <col min="9204" max="9204" width="6.26953125" style="1427" customWidth="1"/>
    <col min="9205" max="9217" width="5.453125" style="1427" customWidth="1"/>
    <col min="9218" max="9218" width="6.453125" style="1427" customWidth="1"/>
    <col min="9219" max="9219" width="6.26953125" style="1427" customWidth="1"/>
    <col min="9220" max="9220" width="12.90625" style="1427" bestFit="1" customWidth="1"/>
    <col min="9221" max="9221" width="13.453125" style="1427" bestFit="1" customWidth="1"/>
    <col min="9222" max="9222" width="6.7265625" style="1427" customWidth="1"/>
    <col min="9223" max="9223" width="10.453125" style="1427" customWidth="1"/>
    <col min="9224" max="9224" width="10.08984375" style="1427" customWidth="1"/>
    <col min="9225" max="9455" width="9.08984375" style="1427"/>
    <col min="9456" max="9456" width="3.7265625" style="1427" customWidth="1"/>
    <col min="9457" max="9457" width="14.453125" style="1427" customWidth="1"/>
    <col min="9458" max="9458" width="6.453125" style="1427" customWidth="1"/>
    <col min="9459" max="9459" width="23.90625" style="1427" customWidth="1"/>
    <col min="9460" max="9460" width="6.26953125" style="1427" customWidth="1"/>
    <col min="9461" max="9473" width="5.453125" style="1427" customWidth="1"/>
    <col min="9474" max="9474" width="6.453125" style="1427" customWidth="1"/>
    <col min="9475" max="9475" width="6.26953125" style="1427" customWidth="1"/>
    <col min="9476" max="9476" width="12.90625" style="1427" bestFit="1" customWidth="1"/>
    <col min="9477" max="9477" width="13.453125" style="1427" bestFit="1" customWidth="1"/>
    <col min="9478" max="9478" width="6.7265625" style="1427" customWidth="1"/>
    <col min="9479" max="9479" width="10.453125" style="1427" customWidth="1"/>
    <col min="9480" max="9480" width="10.08984375" style="1427" customWidth="1"/>
    <col min="9481" max="9711" width="9.08984375" style="1427"/>
    <col min="9712" max="9712" width="3.7265625" style="1427" customWidth="1"/>
    <col min="9713" max="9713" width="14.453125" style="1427" customWidth="1"/>
    <col min="9714" max="9714" width="6.453125" style="1427" customWidth="1"/>
    <col min="9715" max="9715" width="23.90625" style="1427" customWidth="1"/>
    <col min="9716" max="9716" width="6.26953125" style="1427" customWidth="1"/>
    <col min="9717" max="9729" width="5.453125" style="1427" customWidth="1"/>
    <col min="9730" max="9730" width="6.453125" style="1427" customWidth="1"/>
    <col min="9731" max="9731" width="6.26953125" style="1427" customWidth="1"/>
    <col min="9732" max="9732" width="12.90625" style="1427" bestFit="1" customWidth="1"/>
    <col min="9733" max="9733" width="13.453125" style="1427" bestFit="1" customWidth="1"/>
    <col min="9734" max="9734" width="6.7265625" style="1427" customWidth="1"/>
    <col min="9735" max="9735" width="10.453125" style="1427" customWidth="1"/>
    <col min="9736" max="9736" width="10.08984375" style="1427" customWidth="1"/>
    <col min="9737" max="9967" width="9.08984375" style="1427"/>
    <col min="9968" max="9968" width="3.7265625" style="1427" customWidth="1"/>
    <col min="9969" max="9969" width="14.453125" style="1427" customWidth="1"/>
    <col min="9970" max="9970" width="6.453125" style="1427" customWidth="1"/>
    <col min="9971" max="9971" width="23.90625" style="1427" customWidth="1"/>
    <col min="9972" max="9972" width="6.26953125" style="1427" customWidth="1"/>
    <col min="9973" max="9985" width="5.453125" style="1427" customWidth="1"/>
    <col min="9986" max="9986" width="6.453125" style="1427" customWidth="1"/>
    <col min="9987" max="9987" width="6.26953125" style="1427" customWidth="1"/>
    <col min="9988" max="9988" width="12.90625" style="1427" bestFit="1" customWidth="1"/>
    <col min="9989" max="9989" width="13.453125" style="1427" bestFit="1" customWidth="1"/>
    <col min="9990" max="9990" width="6.7265625" style="1427" customWidth="1"/>
    <col min="9991" max="9991" width="10.453125" style="1427" customWidth="1"/>
    <col min="9992" max="9992" width="10.08984375" style="1427" customWidth="1"/>
    <col min="9993" max="10223" width="9.08984375" style="1427"/>
    <col min="10224" max="10224" width="3.7265625" style="1427" customWidth="1"/>
    <col min="10225" max="10225" width="14.453125" style="1427" customWidth="1"/>
    <col min="10226" max="10226" width="6.453125" style="1427" customWidth="1"/>
    <col min="10227" max="10227" width="23.90625" style="1427" customWidth="1"/>
    <col min="10228" max="10228" width="6.26953125" style="1427" customWidth="1"/>
    <col min="10229" max="10241" width="5.453125" style="1427" customWidth="1"/>
    <col min="10242" max="10242" width="6.453125" style="1427" customWidth="1"/>
    <col min="10243" max="10243" width="6.26953125" style="1427" customWidth="1"/>
    <col min="10244" max="10244" width="12.90625" style="1427" bestFit="1" customWidth="1"/>
    <col min="10245" max="10245" width="13.453125" style="1427" bestFit="1" customWidth="1"/>
    <col min="10246" max="10246" width="6.7265625" style="1427" customWidth="1"/>
    <col min="10247" max="10247" width="10.453125" style="1427" customWidth="1"/>
    <col min="10248" max="10248" width="10.08984375" style="1427" customWidth="1"/>
    <col min="10249" max="10479" width="9.08984375" style="1427"/>
    <col min="10480" max="10480" width="3.7265625" style="1427" customWidth="1"/>
    <col min="10481" max="10481" width="14.453125" style="1427" customWidth="1"/>
    <col min="10482" max="10482" width="6.453125" style="1427" customWidth="1"/>
    <col min="10483" max="10483" width="23.90625" style="1427" customWidth="1"/>
    <col min="10484" max="10484" width="6.26953125" style="1427" customWidth="1"/>
    <col min="10485" max="10497" width="5.453125" style="1427" customWidth="1"/>
    <col min="10498" max="10498" width="6.453125" style="1427" customWidth="1"/>
    <col min="10499" max="10499" width="6.26953125" style="1427" customWidth="1"/>
    <col min="10500" max="10500" width="12.90625" style="1427" bestFit="1" customWidth="1"/>
    <col min="10501" max="10501" width="13.453125" style="1427" bestFit="1" customWidth="1"/>
    <col min="10502" max="10502" width="6.7265625" style="1427" customWidth="1"/>
    <col min="10503" max="10503" width="10.453125" style="1427" customWidth="1"/>
    <col min="10504" max="10504" width="10.08984375" style="1427" customWidth="1"/>
    <col min="10505" max="10735" width="9.08984375" style="1427"/>
    <col min="10736" max="10736" width="3.7265625" style="1427" customWidth="1"/>
    <col min="10737" max="10737" width="14.453125" style="1427" customWidth="1"/>
    <col min="10738" max="10738" width="6.453125" style="1427" customWidth="1"/>
    <col min="10739" max="10739" width="23.90625" style="1427" customWidth="1"/>
    <col min="10740" max="10740" width="6.26953125" style="1427" customWidth="1"/>
    <col min="10741" max="10753" width="5.453125" style="1427" customWidth="1"/>
    <col min="10754" max="10754" width="6.453125" style="1427" customWidth="1"/>
    <col min="10755" max="10755" width="6.26953125" style="1427" customWidth="1"/>
    <col min="10756" max="10756" width="12.90625" style="1427" bestFit="1" customWidth="1"/>
    <col min="10757" max="10757" width="13.453125" style="1427" bestFit="1" customWidth="1"/>
    <col min="10758" max="10758" width="6.7265625" style="1427" customWidth="1"/>
    <col min="10759" max="10759" width="10.453125" style="1427" customWidth="1"/>
    <col min="10760" max="10760" width="10.08984375" style="1427" customWidth="1"/>
    <col min="10761" max="10991" width="9.08984375" style="1427"/>
    <col min="10992" max="10992" width="3.7265625" style="1427" customWidth="1"/>
    <col min="10993" max="10993" width="14.453125" style="1427" customWidth="1"/>
    <col min="10994" max="10994" width="6.453125" style="1427" customWidth="1"/>
    <col min="10995" max="10995" width="23.90625" style="1427" customWidth="1"/>
    <col min="10996" max="10996" width="6.26953125" style="1427" customWidth="1"/>
    <col min="10997" max="11009" width="5.453125" style="1427" customWidth="1"/>
    <col min="11010" max="11010" width="6.453125" style="1427" customWidth="1"/>
    <col min="11011" max="11011" width="6.26953125" style="1427" customWidth="1"/>
    <col min="11012" max="11012" width="12.90625" style="1427" bestFit="1" customWidth="1"/>
    <col min="11013" max="11013" width="13.453125" style="1427" bestFit="1" customWidth="1"/>
    <col min="11014" max="11014" width="6.7265625" style="1427" customWidth="1"/>
    <col min="11015" max="11015" width="10.453125" style="1427" customWidth="1"/>
    <col min="11016" max="11016" width="10.08984375" style="1427" customWidth="1"/>
    <col min="11017" max="11247" width="9.08984375" style="1427"/>
    <col min="11248" max="11248" width="3.7265625" style="1427" customWidth="1"/>
    <col min="11249" max="11249" width="14.453125" style="1427" customWidth="1"/>
    <col min="11250" max="11250" width="6.453125" style="1427" customWidth="1"/>
    <col min="11251" max="11251" width="23.90625" style="1427" customWidth="1"/>
    <col min="11252" max="11252" width="6.26953125" style="1427" customWidth="1"/>
    <col min="11253" max="11265" width="5.453125" style="1427" customWidth="1"/>
    <col min="11266" max="11266" width="6.453125" style="1427" customWidth="1"/>
    <col min="11267" max="11267" width="6.26953125" style="1427" customWidth="1"/>
    <col min="11268" max="11268" width="12.90625" style="1427" bestFit="1" customWidth="1"/>
    <col min="11269" max="11269" width="13.453125" style="1427" bestFit="1" customWidth="1"/>
    <col min="11270" max="11270" width="6.7265625" style="1427" customWidth="1"/>
    <col min="11271" max="11271" width="10.453125" style="1427" customWidth="1"/>
    <col min="11272" max="11272" width="10.08984375" style="1427" customWidth="1"/>
    <col min="11273" max="11503" width="9.08984375" style="1427"/>
    <col min="11504" max="11504" width="3.7265625" style="1427" customWidth="1"/>
    <col min="11505" max="11505" width="14.453125" style="1427" customWidth="1"/>
    <col min="11506" max="11506" width="6.453125" style="1427" customWidth="1"/>
    <col min="11507" max="11507" width="23.90625" style="1427" customWidth="1"/>
    <col min="11508" max="11508" width="6.26953125" style="1427" customWidth="1"/>
    <col min="11509" max="11521" width="5.453125" style="1427" customWidth="1"/>
    <col min="11522" max="11522" width="6.453125" style="1427" customWidth="1"/>
    <col min="11523" max="11523" width="6.26953125" style="1427" customWidth="1"/>
    <col min="11524" max="11524" width="12.90625" style="1427" bestFit="1" customWidth="1"/>
    <col min="11525" max="11525" width="13.453125" style="1427" bestFit="1" customWidth="1"/>
    <col min="11526" max="11526" width="6.7265625" style="1427" customWidth="1"/>
    <col min="11527" max="11527" width="10.453125" style="1427" customWidth="1"/>
    <col min="11528" max="11528" width="10.08984375" style="1427" customWidth="1"/>
    <col min="11529" max="11759" width="9.08984375" style="1427"/>
    <col min="11760" max="11760" width="3.7265625" style="1427" customWidth="1"/>
    <col min="11761" max="11761" width="14.453125" style="1427" customWidth="1"/>
    <col min="11762" max="11762" width="6.453125" style="1427" customWidth="1"/>
    <col min="11763" max="11763" width="23.90625" style="1427" customWidth="1"/>
    <col min="11764" max="11764" width="6.26953125" style="1427" customWidth="1"/>
    <col min="11765" max="11777" width="5.453125" style="1427" customWidth="1"/>
    <col min="11778" max="11778" width="6.453125" style="1427" customWidth="1"/>
    <col min="11779" max="11779" width="6.26953125" style="1427" customWidth="1"/>
    <col min="11780" max="11780" width="12.90625" style="1427" bestFit="1" customWidth="1"/>
    <col min="11781" max="11781" width="13.453125" style="1427" bestFit="1" customWidth="1"/>
    <col min="11782" max="11782" width="6.7265625" style="1427" customWidth="1"/>
    <col min="11783" max="11783" width="10.453125" style="1427" customWidth="1"/>
    <col min="11784" max="11784" width="10.08984375" style="1427" customWidth="1"/>
    <col min="11785" max="12015" width="9.08984375" style="1427"/>
    <col min="12016" max="12016" width="3.7265625" style="1427" customWidth="1"/>
    <col min="12017" max="12017" width="14.453125" style="1427" customWidth="1"/>
    <col min="12018" max="12018" width="6.453125" style="1427" customWidth="1"/>
    <col min="12019" max="12019" width="23.90625" style="1427" customWidth="1"/>
    <col min="12020" max="12020" width="6.26953125" style="1427" customWidth="1"/>
    <col min="12021" max="12033" width="5.453125" style="1427" customWidth="1"/>
    <col min="12034" max="12034" width="6.453125" style="1427" customWidth="1"/>
    <col min="12035" max="12035" width="6.26953125" style="1427" customWidth="1"/>
    <col min="12036" max="12036" width="12.90625" style="1427" bestFit="1" customWidth="1"/>
    <col min="12037" max="12037" width="13.453125" style="1427" bestFit="1" customWidth="1"/>
    <col min="12038" max="12038" width="6.7265625" style="1427" customWidth="1"/>
    <col min="12039" max="12039" width="10.453125" style="1427" customWidth="1"/>
    <col min="12040" max="12040" width="10.08984375" style="1427" customWidth="1"/>
    <col min="12041" max="12271" width="9.08984375" style="1427"/>
    <col min="12272" max="12272" width="3.7265625" style="1427" customWidth="1"/>
    <col min="12273" max="12273" width="14.453125" style="1427" customWidth="1"/>
    <col min="12274" max="12274" width="6.453125" style="1427" customWidth="1"/>
    <col min="12275" max="12275" width="23.90625" style="1427" customWidth="1"/>
    <col min="12276" max="12276" width="6.26953125" style="1427" customWidth="1"/>
    <col min="12277" max="12289" width="5.453125" style="1427" customWidth="1"/>
    <col min="12290" max="12290" width="6.453125" style="1427" customWidth="1"/>
    <col min="12291" max="12291" width="6.26953125" style="1427" customWidth="1"/>
    <col min="12292" max="12292" width="12.90625" style="1427" bestFit="1" customWidth="1"/>
    <col min="12293" max="12293" width="13.453125" style="1427" bestFit="1" customWidth="1"/>
    <col min="12294" max="12294" width="6.7265625" style="1427" customWidth="1"/>
    <col min="12295" max="12295" width="10.453125" style="1427" customWidth="1"/>
    <col min="12296" max="12296" width="10.08984375" style="1427" customWidth="1"/>
    <col min="12297" max="12527" width="9.08984375" style="1427"/>
    <col min="12528" max="12528" width="3.7265625" style="1427" customWidth="1"/>
    <col min="12529" max="12529" width="14.453125" style="1427" customWidth="1"/>
    <col min="12530" max="12530" width="6.453125" style="1427" customWidth="1"/>
    <col min="12531" max="12531" width="23.90625" style="1427" customWidth="1"/>
    <col min="12532" max="12532" width="6.26953125" style="1427" customWidth="1"/>
    <col min="12533" max="12545" width="5.453125" style="1427" customWidth="1"/>
    <col min="12546" max="12546" width="6.453125" style="1427" customWidth="1"/>
    <col min="12547" max="12547" width="6.26953125" style="1427" customWidth="1"/>
    <col min="12548" max="12548" width="12.90625" style="1427" bestFit="1" customWidth="1"/>
    <col min="12549" max="12549" width="13.453125" style="1427" bestFit="1" customWidth="1"/>
    <col min="12550" max="12550" width="6.7265625" style="1427" customWidth="1"/>
    <col min="12551" max="12551" width="10.453125" style="1427" customWidth="1"/>
    <col min="12552" max="12552" width="10.08984375" style="1427" customWidth="1"/>
    <col min="12553" max="12783" width="9.08984375" style="1427"/>
    <col min="12784" max="12784" width="3.7265625" style="1427" customWidth="1"/>
    <col min="12785" max="12785" width="14.453125" style="1427" customWidth="1"/>
    <col min="12786" max="12786" width="6.453125" style="1427" customWidth="1"/>
    <col min="12787" max="12787" width="23.90625" style="1427" customWidth="1"/>
    <col min="12788" max="12788" width="6.26953125" style="1427" customWidth="1"/>
    <col min="12789" max="12801" width="5.453125" style="1427" customWidth="1"/>
    <col min="12802" max="12802" width="6.453125" style="1427" customWidth="1"/>
    <col min="12803" max="12803" width="6.26953125" style="1427" customWidth="1"/>
    <col min="12804" max="12804" width="12.90625" style="1427" bestFit="1" customWidth="1"/>
    <col min="12805" max="12805" width="13.453125" style="1427" bestFit="1" customWidth="1"/>
    <col min="12806" max="12806" width="6.7265625" style="1427" customWidth="1"/>
    <col min="12807" max="12807" width="10.453125" style="1427" customWidth="1"/>
    <col min="12808" max="12808" width="10.08984375" style="1427" customWidth="1"/>
    <col min="12809" max="13039" width="9.08984375" style="1427"/>
    <col min="13040" max="13040" width="3.7265625" style="1427" customWidth="1"/>
    <col min="13041" max="13041" width="14.453125" style="1427" customWidth="1"/>
    <col min="13042" max="13042" width="6.453125" style="1427" customWidth="1"/>
    <col min="13043" max="13043" width="23.90625" style="1427" customWidth="1"/>
    <col min="13044" max="13044" width="6.26953125" style="1427" customWidth="1"/>
    <col min="13045" max="13057" width="5.453125" style="1427" customWidth="1"/>
    <col min="13058" max="13058" width="6.453125" style="1427" customWidth="1"/>
    <col min="13059" max="13059" width="6.26953125" style="1427" customWidth="1"/>
    <col min="13060" max="13060" width="12.90625" style="1427" bestFit="1" customWidth="1"/>
    <col min="13061" max="13061" width="13.453125" style="1427" bestFit="1" customWidth="1"/>
    <col min="13062" max="13062" width="6.7265625" style="1427" customWidth="1"/>
    <col min="13063" max="13063" width="10.453125" style="1427" customWidth="1"/>
    <col min="13064" max="13064" width="10.08984375" style="1427" customWidth="1"/>
    <col min="13065" max="13295" width="9.08984375" style="1427"/>
    <col min="13296" max="13296" width="3.7265625" style="1427" customWidth="1"/>
    <col min="13297" max="13297" width="14.453125" style="1427" customWidth="1"/>
    <col min="13298" max="13298" width="6.453125" style="1427" customWidth="1"/>
    <col min="13299" max="13299" width="23.90625" style="1427" customWidth="1"/>
    <col min="13300" max="13300" width="6.26953125" style="1427" customWidth="1"/>
    <col min="13301" max="13313" width="5.453125" style="1427" customWidth="1"/>
    <col min="13314" max="13314" width="6.453125" style="1427" customWidth="1"/>
    <col min="13315" max="13315" width="6.26953125" style="1427" customWidth="1"/>
    <col min="13316" max="13316" width="12.90625" style="1427" bestFit="1" customWidth="1"/>
    <col min="13317" max="13317" width="13.453125" style="1427" bestFit="1" customWidth="1"/>
    <col min="13318" max="13318" width="6.7265625" style="1427" customWidth="1"/>
    <col min="13319" max="13319" width="10.453125" style="1427" customWidth="1"/>
    <col min="13320" max="13320" width="10.08984375" style="1427" customWidth="1"/>
    <col min="13321" max="13551" width="9.08984375" style="1427"/>
    <col min="13552" max="13552" width="3.7265625" style="1427" customWidth="1"/>
    <col min="13553" max="13553" width="14.453125" style="1427" customWidth="1"/>
    <col min="13554" max="13554" width="6.453125" style="1427" customWidth="1"/>
    <col min="13555" max="13555" width="23.90625" style="1427" customWidth="1"/>
    <col min="13556" max="13556" width="6.26953125" style="1427" customWidth="1"/>
    <col min="13557" max="13569" width="5.453125" style="1427" customWidth="1"/>
    <col min="13570" max="13570" width="6.453125" style="1427" customWidth="1"/>
    <col min="13571" max="13571" width="6.26953125" style="1427" customWidth="1"/>
    <col min="13572" max="13572" width="12.90625" style="1427" bestFit="1" customWidth="1"/>
    <col min="13573" max="13573" width="13.453125" style="1427" bestFit="1" customWidth="1"/>
    <col min="13574" max="13574" width="6.7265625" style="1427" customWidth="1"/>
    <col min="13575" max="13575" width="10.453125" style="1427" customWidth="1"/>
    <col min="13576" max="13576" width="10.08984375" style="1427" customWidth="1"/>
    <col min="13577" max="13807" width="9.08984375" style="1427"/>
    <col min="13808" max="13808" width="3.7265625" style="1427" customWidth="1"/>
    <col min="13809" max="13809" width="14.453125" style="1427" customWidth="1"/>
    <col min="13810" max="13810" width="6.453125" style="1427" customWidth="1"/>
    <col min="13811" max="13811" width="23.90625" style="1427" customWidth="1"/>
    <col min="13812" max="13812" width="6.26953125" style="1427" customWidth="1"/>
    <col min="13813" max="13825" width="5.453125" style="1427" customWidth="1"/>
    <col min="13826" max="13826" width="6.453125" style="1427" customWidth="1"/>
    <col min="13827" max="13827" width="6.26953125" style="1427" customWidth="1"/>
    <col min="13828" max="13828" width="12.90625" style="1427" bestFit="1" customWidth="1"/>
    <col min="13829" max="13829" width="13.453125" style="1427" bestFit="1" customWidth="1"/>
    <col min="13830" max="13830" width="6.7265625" style="1427" customWidth="1"/>
    <col min="13831" max="13831" width="10.453125" style="1427" customWidth="1"/>
    <col min="13832" max="13832" width="10.08984375" style="1427" customWidth="1"/>
    <col min="13833" max="14063" width="9.08984375" style="1427"/>
    <col min="14064" max="14064" width="3.7265625" style="1427" customWidth="1"/>
    <col min="14065" max="14065" width="14.453125" style="1427" customWidth="1"/>
    <col min="14066" max="14066" width="6.453125" style="1427" customWidth="1"/>
    <col min="14067" max="14067" width="23.90625" style="1427" customWidth="1"/>
    <col min="14068" max="14068" width="6.26953125" style="1427" customWidth="1"/>
    <col min="14069" max="14081" width="5.453125" style="1427" customWidth="1"/>
    <col min="14082" max="14082" width="6.453125" style="1427" customWidth="1"/>
    <col min="14083" max="14083" width="6.26953125" style="1427" customWidth="1"/>
    <col min="14084" max="14084" width="12.90625" style="1427" bestFit="1" customWidth="1"/>
    <col min="14085" max="14085" width="13.453125" style="1427" bestFit="1" customWidth="1"/>
    <col min="14086" max="14086" width="6.7265625" style="1427" customWidth="1"/>
    <col min="14087" max="14087" width="10.453125" style="1427" customWidth="1"/>
    <col min="14088" max="14088" width="10.08984375" style="1427" customWidth="1"/>
    <col min="14089" max="14319" width="9.08984375" style="1427"/>
    <col min="14320" max="14320" width="3.7265625" style="1427" customWidth="1"/>
    <col min="14321" max="14321" width="14.453125" style="1427" customWidth="1"/>
    <col min="14322" max="14322" width="6.453125" style="1427" customWidth="1"/>
    <col min="14323" max="14323" width="23.90625" style="1427" customWidth="1"/>
    <col min="14324" max="14324" width="6.26953125" style="1427" customWidth="1"/>
    <col min="14325" max="14337" width="5.453125" style="1427" customWidth="1"/>
    <col min="14338" max="14338" width="6.453125" style="1427" customWidth="1"/>
    <col min="14339" max="14339" width="6.26953125" style="1427" customWidth="1"/>
    <col min="14340" max="14340" width="12.90625" style="1427" bestFit="1" customWidth="1"/>
    <col min="14341" max="14341" width="13.453125" style="1427" bestFit="1" customWidth="1"/>
    <col min="14342" max="14342" width="6.7265625" style="1427" customWidth="1"/>
    <col min="14343" max="14343" width="10.453125" style="1427" customWidth="1"/>
    <col min="14344" max="14344" width="10.08984375" style="1427" customWidth="1"/>
    <col min="14345" max="14575" width="9.08984375" style="1427"/>
    <col min="14576" max="14576" width="3.7265625" style="1427" customWidth="1"/>
    <col min="14577" max="14577" width="14.453125" style="1427" customWidth="1"/>
    <col min="14578" max="14578" width="6.453125" style="1427" customWidth="1"/>
    <col min="14579" max="14579" width="23.90625" style="1427" customWidth="1"/>
    <col min="14580" max="14580" width="6.26953125" style="1427" customWidth="1"/>
    <col min="14581" max="14593" width="5.453125" style="1427" customWidth="1"/>
    <col min="14594" max="14594" width="6.453125" style="1427" customWidth="1"/>
    <col min="14595" max="14595" width="6.26953125" style="1427" customWidth="1"/>
    <col min="14596" max="14596" width="12.90625" style="1427" bestFit="1" customWidth="1"/>
    <col min="14597" max="14597" width="13.453125" style="1427" bestFit="1" customWidth="1"/>
    <col min="14598" max="14598" width="6.7265625" style="1427" customWidth="1"/>
    <col min="14599" max="14599" width="10.453125" style="1427" customWidth="1"/>
    <col min="14600" max="14600" width="10.08984375" style="1427" customWidth="1"/>
    <col min="14601" max="14831" width="9.08984375" style="1427"/>
    <col min="14832" max="14832" width="3.7265625" style="1427" customWidth="1"/>
    <col min="14833" max="14833" width="14.453125" style="1427" customWidth="1"/>
    <col min="14834" max="14834" width="6.453125" style="1427" customWidth="1"/>
    <col min="14835" max="14835" width="23.90625" style="1427" customWidth="1"/>
    <col min="14836" max="14836" width="6.26953125" style="1427" customWidth="1"/>
    <col min="14837" max="14849" width="5.453125" style="1427" customWidth="1"/>
    <col min="14850" max="14850" width="6.453125" style="1427" customWidth="1"/>
    <col min="14851" max="14851" width="6.26953125" style="1427" customWidth="1"/>
    <col min="14852" max="14852" width="12.90625" style="1427" bestFit="1" customWidth="1"/>
    <col min="14853" max="14853" width="13.453125" style="1427" bestFit="1" customWidth="1"/>
    <col min="14854" max="14854" width="6.7265625" style="1427" customWidth="1"/>
    <col min="14855" max="14855" width="10.453125" style="1427" customWidth="1"/>
    <col min="14856" max="14856" width="10.08984375" style="1427" customWidth="1"/>
    <col min="14857" max="15087" width="9.08984375" style="1427"/>
    <col min="15088" max="15088" width="3.7265625" style="1427" customWidth="1"/>
    <col min="15089" max="15089" width="14.453125" style="1427" customWidth="1"/>
    <col min="15090" max="15090" width="6.453125" style="1427" customWidth="1"/>
    <col min="15091" max="15091" width="23.90625" style="1427" customWidth="1"/>
    <col min="15092" max="15092" width="6.26953125" style="1427" customWidth="1"/>
    <col min="15093" max="15105" width="5.453125" style="1427" customWidth="1"/>
    <col min="15106" max="15106" width="6.453125" style="1427" customWidth="1"/>
    <col min="15107" max="15107" width="6.26953125" style="1427" customWidth="1"/>
    <col min="15108" max="15108" width="12.90625" style="1427" bestFit="1" customWidth="1"/>
    <col min="15109" max="15109" width="13.453125" style="1427" bestFit="1" customWidth="1"/>
    <col min="15110" max="15110" width="6.7265625" style="1427" customWidth="1"/>
    <col min="15111" max="15111" width="10.453125" style="1427" customWidth="1"/>
    <col min="15112" max="15112" width="10.08984375" style="1427" customWidth="1"/>
    <col min="15113" max="15343" width="9.08984375" style="1427"/>
    <col min="15344" max="15344" width="3.7265625" style="1427" customWidth="1"/>
    <col min="15345" max="15345" width="14.453125" style="1427" customWidth="1"/>
    <col min="15346" max="15346" width="6.453125" style="1427" customWidth="1"/>
    <col min="15347" max="15347" width="23.90625" style="1427" customWidth="1"/>
    <col min="15348" max="15348" width="6.26953125" style="1427" customWidth="1"/>
    <col min="15349" max="15361" width="5.453125" style="1427" customWidth="1"/>
    <col min="15362" max="15362" width="6.453125" style="1427" customWidth="1"/>
    <col min="15363" max="15363" width="6.26953125" style="1427" customWidth="1"/>
    <col min="15364" max="15364" width="12.90625" style="1427" bestFit="1" customWidth="1"/>
    <col min="15365" max="15365" width="13.453125" style="1427" bestFit="1" customWidth="1"/>
    <col min="15366" max="15366" width="6.7265625" style="1427" customWidth="1"/>
    <col min="15367" max="15367" width="10.453125" style="1427" customWidth="1"/>
    <col min="15368" max="15368" width="10.08984375" style="1427" customWidth="1"/>
    <col min="15369" max="15599" width="9.08984375" style="1427"/>
    <col min="15600" max="15600" width="3.7265625" style="1427" customWidth="1"/>
    <col min="15601" max="15601" width="14.453125" style="1427" customWidth="1"/>
    <col min="15602" max="15602" width="6.453125" style="1427" customWidth="1"/>
    <col min="15603" max="15603" width="23.90625" style="1427" customWidth="1"/>
    <col min="15604" max="15604" width="6.26953125" style="1427" customWidth="1"/>
    <col min="15605" max="15617" width="5.453125" style="1427" customWidth="1"/>
    <col min="15618" max="15618" width="6.453125" style="1427" customWidth="1"/>
    <col min="15619" max="15619" width="6.26953125" style="1427" customWidth="1"/>
    <col min="15620" max="15620" width="12.90625" style="1427" bestFit="1" customWidth="1"/>
    <col min="15621" max="15621" width="13.453125" style="1427" bestFit="1" customWidth="1"/>
    <col min="15622" max="15622" width="6.7265625" style="1427" customWidth="1"/>
    <col min="15623" max="15623" width="10.453125" style="1427" customWidth="1"/>
    <col min="15624" max="15624" width="10.08984375" style="1427" customWidth="1"/>
    <col min="15625" max="15855" width="9.08984375" style="1427"/>
    <col min="15856" max="15856" width="3.7265625" style="1427" customWidth="1"/>
    <col min="15857" max="15857" width="14.453125" style="1427" customWidth="1"/>
    <col min="15858" max="15858" width="6.453125" style="1427" customWidth="1"/>
    <col min="15859" max="15859" width="23.90625" style="1427" customWidth="1"/>
    <col min="15860" max="15860" width="6.26953125" style="1427" customWidth="1"/>
    <col min="15861" max="15873" width="5.453125" style="1427" customWidth="1"/>
    <col min="15874" max="15874" width="6.453125" style="1427" customWidth="1"/>
    <col min="15875" max="15875" width="6.26953125" style="1427" customWidth="1"/>
    <col min="15876" max="15876" width="12.90625" style="1427" bestFit="1" customWidth="1"/>
    <col min="15877" max="15877" width="13.453125" style="1427" bestFit="1" customWidth="1"/>
    <col min="15878" max="15878" width="6.7265625" style="1427" customWidth="1"/>
    <col min="15879" max="15879" width="10.453125" style="1427" customWidth="1"/>
    <col min="15880" max="15880" width="10.08984375" style="1427" customWidth="1"/>
    <col min="15881" max="16111" width="9.08984375" style="1427"/>
    <col min="16112" max="16112" width="3.7265625" style="1427" customWidth="1"/>
    <col min="16113" max="16113" width="14.453125" style="1427" customWidth="1"/>
    <col min="16114" max="16114" width="6.453125" style="1427" customWidth="1"/>
    <col min="16115" max="16115" width="23.90625" style="1427" customWidth="1"/>
    <col min="16116" max="16116" width="6.26953125" style="1427" customWidth="1"/>
    <col min="16117" max="16129" width="5.453125" style="1427" customWidth="1"/>
    <col min="16130" max="16130" width="6.453125" style="1427" customWidth="1"/>
    <col min="16131" max="16131" width="6.26953125" style="1427" customWidth="1"/>
    <col min="16132" max="16132" width="12.90625" style="1427" bestFit="1" customWidth="1"/>
    <col min="16133" max="16133" width="13.453125" style="1427" bestFit="1" customWidth="1"/>
    <col min="16134" max="16134" width="6.7265625" style="1427" customWidth="1"/>
    <col min="16135" max="16135" width="10.453125" style="1427" customWidth="1"/>
    <col min="16136" max="16136" width="10.08984375" style="1427" customWidth="1"/>
    <col min="16137" max="16384" width="9.08984375" style="1427"/>
  </cols>
  <sheetData>
    <row r="1" spans="1:16" x14ac:dyDescent="0.35">
      <c r="A1" s="1192"/>
      <c r="B1" s="1420"/>
      <c r="C1" s="1420"/>
      <c r="E1" s="1483"/>
      <c r="F1" s="1483"/>
      <c r="G1" s="1483"/>
      <c r="H1" s="1483"/>
      <c r="I1" s="1483"/>
      <c r="J1" s="1483"/>
      <c r="K1" s="1483"/>
      <c r="L1" s="1483"/>
    </row>
    <row r="2" spans="1:16" ht="12.75" customHeight="1" x14ac:dyDescent="0.35">
      <c r="A2" s="1192">
        <v>1</v>
      </c>
      <c r="B2" s="1192" t="s">
        <v>0</v>
      </c>
      <c r="C2" s="1192">
        <v>23</v>
      </c>
      <c r="D2" s="4691" t="s">
        <v>570</v>
      </c>
      <c r="E2" s="4692"/>
      <c r="F2" s="4692"/>
      <c r="G2" s="4692"/>
      <c r="H2" s="4692"/>
      <c r="I2" s="4692"/>
      <c r="J2" s="4692"/>
      <c r="K2" s="4692"/>
      <c r="L2" s="4692"/>
      <c r="M2" s="4692"/>
      <c r="N2" s="4692"/>
      <c r="O2" s="4692"/>
      <c r="P2" s="4693"/>
    </row>
    <row r="3" spans="1:16" ht="12.75" customHeight="1" x14ac:dyDescent="0.35">
      <c r="A3" s="1192">
        <v>2</v>
      </c>
      <c r="B3" s="1192" t="s">
        <v>2</v>
      </c>
      <c r="C3" s="1192"/>
      <c r="D3" s="4642" t="s">
        <v>504</v>
      </c>
      <c r="E3" s="4643"/>
      <c r="F3" s="4643"/>
      <c r="G3" s="4643"/>
      <c r="H3" s="4643"/>
      <c r="I3" s="4643"/>
      <c r="J3" s="4643"/>
      <c r="K3" s="4643"/>
      <c r="L3" s="4643"/>
      <c r="M3" s="4643"/>
      <c r="N3" s="4643"/>
      <c r="O3" s="4643"/>
      <c r="P3" s="4644"/>
    </row>
    <row r="4" spans="1:16" ht="12.75" customHeight="1" x14ac:dyDescent="0.35">
      <c r="A4" s="1192">
        <v>3</v>
      </c>
      <c r="B4" s="1192" t="s">
        <v>4</v>
      </c>
      <c r="C4" s="1192"/>
      <c r="D4" s="4642" t="s">
        <v>491</v>
      </c>
      <c r="E4" s="4643"/>
      <c r="F4" s="4643"/>
      <c r="G4" s="4643"/>
      <c r="H4" s="4643"/>
      <c r="I4" s="4643"/>
      <c r="J4" s="4643"/>
      <c r="K4" s="4643"/>
      <c r="L4" s="4643"/>
      <c r="M4" s="4643"/>
      <c r="N4" s="4643"/>
      <c r="O4" s="4643"/>
      <c r="P4" s="4644"/>
    </row>
    <row r="5" spans="1:16" ht="12.75" customHeight="1" x14ac:dyDescent="0.35">
      <c r="A5" s="1192"/>
      <c r="B5" s="1192"/>
      <c r="C5" s="1192"/>
      <c r="D5" s="949"/>
      <c r="E5" s="949"/>
      <c r="F5" s="949"/>
      <c r="G5" s="949"/>
      <c r="H5" s="949"/>
      <c r="I5" s="949"/>
      <c r="J5" s="949"/>
      <c r="K5" s="949"/>
      <c r="L5" s="949"/>
    </row>
    <row r="6" spans="1:16" ht="15" customHeight="1" x14ac:dyDescent="0.35">
      <c r="A6" s="1192">
        <v>4</v>
      </c>
      <c r="B6" s="1192" t="s">
        <v>6</v>
      </c>
      <c r="C6" s="1192"/>
    </row>
    <row r="7" spans="1:16" s="1222" customFormat="1" ht="17.5" customHeight="1" x14ac:dyDescent="0.25">
      <c r="A7" s="1431"/>
      <c r="B7" s="1223"/>
      <c r="C7" s="1223"/>
      <c r="D7" s="164" t="s">
        <v>7</v>
      </c>
      <c r="E7" s="1484" t="s">
        <v>571</v>
      </c>
      <c r="F7" s="1485"/>
      <c r="G7" s="1484"/>
      <c r="H7" s="1485"/>
      <c r="K7" s="1486" t="s">
        <v>35</v>
      </c>
      <c r="L7" s="1484" t="s">
        <v>572</v>
      </c>
      <c r="M7" s="1485"/>
      <c r="N7" s="1484"/>
    </row>
    <row r="8" spans="1:16" s="1222" customFormat="1" ht="16.899999999999999" customHeight="1" x14ac:dyDescent="0.25">
      <c r="A8" s="1431"/>
      <c r="B8" s="1223"/>
      <c r="C8" s="1223"/>
      <c r="D8" s="1487" t="s">
        <v>523</v>
      </c>
      <c r="E8" s="1488">
        <v>2006</v>
      </c>
      <c r="F8" s="1488">
        <v>2009</v>
      </c>
      <c r="G8" s="1488">
        <v>2011</v>
      </c>
      <c r="H8" s="1489">
        <v>2015</v>
      </c>
      <c r="K8" s="1487" t="s">
        <v>523</v>
      </c>
      <c r="L8" s="1488">
        <v>2006</v>
      </c>
      <c r="M8" s="1488">
        <v>2009</v>
      </c>
      <c r="N8" s="1488">
        <v>2011</v>
      </c>
      <c r="O8" s="1489">
        <v>2015</v>
      </c>
    </row>
    <row r="9" spans="1:16" s="1222" customFormat="1" ht="16.899999999999999" customHeight="1" x14ac:dyDescent="0.25">
      <c r="A9" s="1431"/>
      <c r="B9" s="1223"/>
      <c r="C9" s="1223"/>
      <c r="D9" s="1490" t="s">
        <v>402</v>
      </c>
      <c r="E9" s="1491">
        <v>43.9</v>
      </c>
      <c r="F9" s="1491">
        <v>44.9</v>
      </c>
      <c r="G9" s="1491">
        <v>35.5</v>
      </c>
      <c r="H9" s="1492">
        <v>41.3</v>
      </c>
      <c r="K9" s="1490" t="s">
        <v>402</v>
      </c>
      <c r="L9" s="1491">
        <v>28.4</v>
      </c>
      <c r="M9" s="1491">
        <v>29.6</v>
      </c>
      <c r="N9" s="1491">
        <v>21.6</v>
      </c>
      <c r="O9" s="1492">
        <v>27.1</v>
      </c>
    </row>
    <row r="10" spans="1:16" s="1222" customFormat="1" ht="16.899999999999999" customHeight="1" x14ac:dyDescent="0.25">
      <c r="A10" s="1431"/>
      <c r="B10" s="1223"/>
      <c r="C10" s="1223"/>
      <c r="D10" s="1490" t="s">
        <v>404</v>
      </c>
      <c r="E10" s="1493">
        <v>31</v>
      </c>
      <c r="F10" s="1493">
        <v>34.9</v>
      </c>
      <c r="G10" s="1493">
        <v>23.4</v>
      </c>
      <c r="H10" s="1494">
        <v>25.1</v>
      </c>
      <c r="K10" s="1490" t="s">
        <v>404</v>
      </c>
      <c r="L10" s="1493">
        <v>18.2</v>
      </c>
      <c r="M10" s="1493">
        <v>21</v>
      </c>
      <c r="N10" s="1493">
        <v>13.4</v>
      </c>
      <c r="O10" s="1494">
        <v>14.2</v>
      </c>
    </row>
    <row r="11" spans="1:16" s="1222" customFormat="1" ht="16.899999999999999" customHeight="1" x14ac:dyDescent="0.25">
      <c r="A11" s="1431"/>
      <c r="B11" s="1223"/>
      <c r="C11" s="1223"/>
      <c r="D11" s="1490" t="s">
        <v>407</v>
      </c>
      <c r="E11" s="1493">
        <v>18.3</v>
      </c>
      <c r="F11" s="1493">
        <v>16.600000000000001</v>
      </c>
      <c r="G11" s="1493">
        <v>12</v>
      </c>
      <c r="H11" s="1494">
        <v>13.2</v>
      </c>
      <c r="K11" s="1490" t="s">
        <v>407</v>
      </c>
      <c r="L11" s="1493">
        <v>9.6</v>
      </c>
      <c r="M11" s="1493">
        <v>9.1</v>
      </c>
      <c r="N11" s="1493">
        <v>6.4</v>
      </c>
      <c r="O11" s="1494">
        <v>6.9</v>
      </c>
    </row>
    <row r="12" spans="1:16" s="1222" customFormat="1" ht="16.899999999999999" customHeight="1" x14ac:dyDescent="0.25">
      <c r="A12" s="1431"/>
      <c r="B12" s="1223"/>
      <c r="C12" s="1223"/>
      <c r="D12" s="1490" t="s">
        <v>405</v>
      </c>
      <c r="E12" s="1493">
        <v>45.2</v>
      </c>
      <c r="F12" s="1493">
        <v>41.2</v>
      </c>
      <c r="G12" s="1493">
        <v>33.4</v>
      </c>
      <c r="H12" s="1494">
        <v>36.1</v>
      </c>
      <c r="K12" s="1490" t="s">
        <v>405</v>
      </c>
      <c r="L12" s="1493">
        <v>30.3</v>
      </c>
      <c r="M12" s="1493">
        <v>27.1</v>
      </c>
      <c r="N12" s="1493">
        <v>20.399999999999999</v>
      </c>
      <c r="O12" s="1494">
        <v>22.7</v>
      </c>
    </row>
    <row r="13" spans="1:16" s="1222" customFormat="1" ht="16.899999999999999" customHeight="1" x14ac:dyDescent="0.25">
      <c r="A13" s="1431"/>
      <c r="B13" s="1223"/>
      <c r="C13" s="1223"/>
      <c r="D13" s="1490" t="s">
        <v>409</v>
      </c>
      <c r="E13" s="1493">
        <v>47.4</v>
      </c>
      <c r="F13" s="1493">
        <v>50.6</v>
      </c>
      <c r="G13" s="1493">
        <v>36.799999999999997</v>
      </c>
      <c r="H13" s="1494">
        <v>40.299999999999997</v>
      </c>
      <c r="K13" s="1490" t="s">
        <v>409</v>
      </c>
      <c r="L13" s="1493">
        <v>31</v>
      </c>
      <c r="M13" s="1493">
        <v>34.700000000000003</v>
      </c>
      <c r="N13" s="1493">
        <v>23</v>
      </c>
      <c r="O13" s="1494">
        <v>26.4</v>
      </c>
    </row>
    <row r="14" spans="1:16" s="1222" customFormat="1" ht="16.899999999999999" customHeight="1" x14ac:dyDescent="0.25">
      <c r="A14" s="1431"/>
      <c r="B14" s="1223"/>
      <c r="C14" s="1223"/>
      <c r="D14" s="1490" t="s">
        <v>408</v>
      </c>
      <c r="E14" s="1493">
        <v>41.8</v>
      </c>
      <c r="F14" s="1493">
        <v>40.700000000000003</v>
      </c>
      <c r="G14" s="1493">
        <v>31.1</v>
      </c>
      <c r="H14" s="1494">
        <v>29</v>
      </c>
      <c r="K14" s="1490" t="s">
        <v>408</v>
      </c>
      <c r="L14" s="1493">
        <v>26.9</v>
      </c>
      <c r="M14" s="1493">
        <v>26.4</v>
      </c>
      <c r="N14" s="1493">
        <v>18</v>
      </c>
      <c r="O14" s="1494">
        <v>17.3</v>
      </c>
    </row>
    <row r="15" spans="1:16" s="1222" customFormat="1" ht="16.899999999999999" customHeight="1" x14ac:dyDescent="0.25">
      <c r="A15" s="1431"/>
      <c r="B15" s="1223"/>
      <c r="C15" s="1223"/>
      <c r="D15" s="1490" t="s">
        <v>403</v>
      </c>
      <c r="E15" s="1493">
        <v>40.9</v>
      </c>
      <c r="F15" s="1493">
        <v>36.6</v>
      </c>
      <c r="G15" s="1493">
        <v>26.4</v>
      </c>
      <c r="H15" s="1494">
        <v>28</v>
      </c>
      <c r="K15" s="1490" t="s">
        <v>403</v>
      </c>
      <c r="L15" s="1493">
        <v>26.2</v>
      </c>
      <c r="M15" s="1493">
        <v>22.6</v>
      </c>
      <c r="N15" s="1493">
        <v>14.9</v>
      </c>
      <c r="O15" s="1494">
        <v>16.5</v>
      </c>
    </row>
    <row r="16" spans="1:16" s="1222" customFormat="1" ht="16.899999999999999" customHeight="1" x14ac:dyDescent="0.25">
      <c r="A16" s="1431"/>
      <c r="B16" s="1223"/>
      <c r="C16" s="1223"/>
      <c r="D16" s="1490" t="s">
        <v>406</v>
      </c>
      <c r="E16" s="1493">
        <v>37.5</v>
      </c>
      <c r="F16" s="1493">
        <v>36</v>
      </c>
      <c r="G16" s="1493">
        <v>29.6</v>
      </c>
      <c r="H16" s="1494">
        <v>32.200000000000003</v>
      </c>
      <c r="K16" s="1490" t="s">
        <v>406</v>
      </c>
      <c r="L16" s="1493">
        <v>23.7</v>
      </c>
      <c r="M16" s="1493">
        <v>22.5</v>
      </c>
      <c r="N16" s="1493">
        <v>17.8</v>
      </c>
      <c r="O16" s="1494">
        <v>19.8</v>
      </c>
    </row>
    <row r="17" spans="1:17" s="1222" customFormat="1" ht="16.899999999999999" customHeight="1" x14ac:dyDescent="0.25">
      <c r="A17" s="1431"/>
      <c r="B17" s="1223"/>
      <c r="C17" s="1223"/>
      <c r="D17" s="1490" t="s">
        <v>401</v>
      </c>
      <c r="E17" s="1493">
        <v>21.2</v>
      </c>
      <c r="F17" s="1493">
        <v>18.100000000000001</v>
      </c>
      <c r="G17" s="1493">
        <v>12.5</v>
      </c>
      <c r="H17" s="1494">
        <v>14.7</v>
      </c>
      <c r="K17" s="1490" t="s">
        <v>401</v>
      </c>
      <c r="L17" s="1493">
        <v>11.7</v>
      </c>
      <c r="M17" s="1493">
        <v>9.9</v>
      </c>
      <c r="N17" s="1493">
        <v>6.2</v>
      </c>
      <c r="O17" s="1494">
        <v>7.6</v>
      </c>
    </row>
    <row r="18" spans="1:17" s="11" customFormat="1" ht="16.5" customHeight="1" x14ac:dyDescent="0.25">
      <c r="A18" s="1431"/>
      <c r="B18" s="1223"/>
      <c r="C18" s="1223"/>
      <c r="D18" s="1495" t="s">
        <v>306</v>
      </c>
      <c r="E18" s="1496">
        <v>35.6</v>
      </c>
      <c r="F18" s="1496">
        <v>33.5</v>
      </c>
      <c r="G18" s="1496">
        <v>25.5</v>
      </c>
      <c r="H18" s="1497">
        <v>27.7</v>
      </c>
      <c r="I18" s="1222"/>
      <c r="K18" s="1495" t="s">
        <v>573</v>
      </c>
      <c r="L18" s="1496">
        <v>22.5</v>
      </c>
      <c r="M18" s="1496">
        <v>21.3</v>
      </c>
      <c r="N18" s="1496">
        <v>15</v>
      </c>
      <c r="O18" s="1497">
        <v>17</v>
      </c>
      <c r="P18" s="1222"/>
      <c r="Q18" s="1222"/>
    </row>
    <row r="19" spans="1:17" s="11" customFormat="1" ht="15" customHeight="1" x14ac:dyDescent="0.25">
      <c r="A19" s="1223"/>
      <c r="C19" s="1223"/>
      <c r="D19" s="785"/>
      <c r="E19" s="1498"/>
      <c r="F19" s="1498"/>
      <c r="G19" s="1498"/>
      <c r="H19" s="1499"/>
      <c r="I19" s="1500"/>
      <c r="J19" s="1499"/>
      <c r="K19" s="1499"/>
      <c r="L19" s="1499"/>
      <c r="M19" s="1499"/>
      <c r="N19" s="1499"/>
      <c r="O19" s="1501"/>
      <c r="P19" s="1502"/>
    </row>
    <row r="20" spans="1:17" s="11" customFormat="1" ht="15" customHeight="1" x14ac:dyDescent="0.25">
      <c r="A20" s="1192">
        <v>5</v>
      </c>
      <c r="B20" s="1192" t="s">
        <v>56</v>
      </c>
      <c r="C20" s="1223"/>
      <c r="D20" s="785"/>
      <c r="E20" s="1498"/>
      <c r="F20" s="1498"/>
      <c r="G20" s="1498"/>
      <c r="H20" s="1499"/>
      <c r="I20" s="1499"/>
      <c r="J20" s="1499"/>
      <c r="K20" s="1499"/>
      <c r="L20" s="1499"/>
      <c r="M20" s="1499"/>
      <c r="N20" s="1499"/>
      <c r="O20" s="1501"/>
      <c r="P20" s="1502"/>
    </row>
    <row r="21" spans="1:17" s="11" customFormat="1" ht="15" customHeight="1" x14ac:dyDescent="0.25">
      <c r="A21" s="1223"/>
      <c r="C21" s="1223"/>
      <c r="D21" s="785"/>
      <c r="E21" s="1498"/>
      <c r="F21" s="1498"/>
      <c r="G21" s="1498"/>
      <c r="H21" s="1499"/>
      <c r="I21" s="1499"/>
      <c r="J21" s="1499"/>
      <c r="K21" s="1499"/>
      <c r="L21" s="1499"/>
      <c r="M21" s="1499"/>
      <c r="N21" s="1499"/>
      <c r="O21" s="1501"/>
      <c r="P21" s="1502"/>
    </row>
    <row r="22" spans="1:17" s="11" customFormat="1" ht="15" customHeight="1" x14ac:dyDescent="0.25">
      <c r="A22" s="1223"/>
      <c r="C22" s="1223"/>
      <c r="D22" s="785"/>
      <c r="E22" s="1498"/>
      <c r="F22" s="1498"/>
      <c r="G22" s="1498"/>
      <c r="H22" s="1499"/>
      <c r="I22" s="1499"/>
      <c r="J22" s="1499"/>
      <c r="K22" s="1499"/>
      <c r="L22" s="1499"/>
      <c r="M22" s="1499"/>
      <c r="N22" s="1499"/>
      <c r="O22" s="1501"/>
      <c r="P22" s="1502"/>
    </row>
    <row r="23" spans="1:17" s="11" customFormat="1" ht="15" customHeight="1" x14ac:dyDescent="0.25">
      <c r="A23" s="1223"/>
      <c r="C23" s="1223"/>
      <c r="D23" s="785"/>
      <c r="E23" s="1498"/>
      <c r="F23" s="1498"/>
      <c r="G23" s="1498"/>
      <c r="H23" s="1499"/>
      <c r="I23" s="1499"/>
      <c r="J23" s="1499"/>
      <c r="K23" s="1499"/>
      <c r="L23" s="1499"/>
      <c r="M23" s="1499"/>
      <c r="N23" s="1499"/>
      <c r="O23" s="1501"/>
      <c r="P23" s="1502"/>
    </row>
    <row r="24" spans="1:17" s="11" customFormat="1" ht="15" customHeight="1" x14ac:dyDescent="0.25">
      <c r="A24" s="1223"/>
      <c r="C24" s="1223"/>
      <c r="D24" s="785"/>
      <c r="E24" s="1498"/>
      <c r="F24" s="1498"/>
      <c r="G24" s="1498"/>
      <c r="H24" s="1499"/>
      <c r="I24" s="1499"/>
      <c r="J24" s="1499"/>
      <c r="K24" s="1499"/>
      <c r="L24" s="1499"/>
      <c r="M24" s="1499"/>
      <c r="N24" s="1499"/>
      <c r="O24" s="1501"/>
      <c r="P24" s="1502"/>
    </row>
    <row r="25" spans="1:17" s="11" customFormat="1" ht="15" customHeight="1" x14ac:dyDescent="0.25">
      <c r="A25" s="1223"/>
      <c r="C25" s="1223"/>
      <c r="D25" s="785"/>
      <c r="E25" s="1498"/>
      <c r="F25" s="1498"/>
      <c r="G25" s="1498"/>
      <c r="H25" s="1499"/>
      <c r="I25" s="1499"/>
      <c r="J25" s="1499"/>
      <c r="K25" s="1499"/>
      <c r="L25" s="1499"/>
      <c r="M25" s="1499"/>
      <c r="N25" s="1499"/>
      <c r="O25" s="1501"/>
      <c r="P25" s="1502"/>
    </row>
    <row r="26" spans="1:17" s="11" customFormat="1" ht="15" customHeight="1" x14ac:dyDescent="0.25">
      <c r="A26" s="1223"/>
      <c r="C26" s="1223"/>
      <c r="D26" s="785"/>
      <c r="E26" s="1498"/>
      <c r="F26" s="1498"/>
      <c r="G26" s="1498"/>
      <c r="H26" s="1499"/>
      <c r="I26" s="1499"/>
      <c r="J26" s="1499"/>
      <c r="K26" s="1499"/>
      <c r="L26" s="1499"/>
      <c r="M26" s="1499"/>
      <c r="N26" s="1499"/>
      <c r="O26" s="1501"/>
      <c r="P26" s="1502"/>
    </row>
    <row r="27" spans="1:17" s="11" customFormat="1" ht="15" customHeight="1" x14ac:dyDescent="0.25">
      <c r="A27" s="1223"/>
      <c r="C27" s="1223"/>
      <c r="D27" s="785"/>
      <c r="E27" s="1498"/>
      <c r="F27" s="1498"/>
      <c r="G27" s="1498"/>
      <c r="H27" s="1499"/>
      <c r="I27" s="1499"/>
      <c r="J27" s="1499"/>
      <c r="K27" s="1499"/>
      <c r="L27" s="1499"/>
      <c r="M27" s="1499"/>
      <c r="N27" s="1499"/>
      <c r="O27" s="1501"/>
      <c r="P27" s="1502"/>
    </row>
    <row r="28" spans="1:17" s="11" customFormat="1" ht="15" customHeight="1" x14ac:dyDescent="0.25">
      <c r="A28" s="1223"/>
      <c r="C28" s="1223"/>
      <c r="D28" s="785"/>
      <c r="E28" s="1498"/>
      <c r="F28" s="1498"/>
      <c r="G28" s="1498"/>
      <c r="H28" s="1499"/>
      <c r="I28" s="1499"/>
      <c r="J28" s="1499"/>
      <c r="K28" s="1499"/>
      <c r="L28" s="1499"/>
      <c r="M28" s="1499"/>
      <c r="N28" s="1499"/>
      <c r="O28" s="1501"/>
      <c r="P28" s="1502"/>
    </row>
    <row r="29" spans="1:17" s="11" customFormat="1" ht="15" customHeight="1" x14ac:dyDescent="0.25">
      <c r="A29" s="1223"/>
      <c r="C29" s="1223"/>
      <c r="D29" s="785"/>
      <c r="E29" s="1498"/>
      <c r="F29" s="1498"/>
      <c r="G29" s="1498"/>
      <c r="H29" s="1499"/>
      <c r="I29" s="1499"/>
      <c r="J29" s="1499"/>
      <c r="K29" s="1499"/>
      <c r="L29" s="1499"/>
      <c r="M29" s="1499"/>
      <c r="N29" s="1499"/>
      <c r="O29" s="1501"/>
      <c r="P29" s="1502"/>
    </row>
    <row r="30" spans="1:17" s="11" customFormat="1" ht="15" customHeight="1" x14ac:dyDescent="0.25">
      <c r="A30" s="1223"/>
      <c r="C30" s="1223"/>
      <c r="D30" s="785"/>
      <c r="E30" s="1498"/>
      <c r="F30" s="1498"/>
      <c r="G30" s="1498"/>
      <c r="H30" s="1499"/>
      <c r="I30" s="1499"/>
      <c r="J30" s="1499"/>
      <c r="K30" s="1499"/>
      <c r="L30" s="1499"/>
      <c r="M30" s="1499"/>
      <c r="N30" s="1499"/>
      <c r="O30" s="1501"/>
      <c r="P30" s="1502"/>
    </row>
    <row r="31" spans="1:17" s="11" customFormat="1" ht="15" customHeight="1" x14ac:dyDescent="0.25">
      <c r="A31" s="1223"/>
      <c r="C31" s="1223"/>
      <c r="D31" s="785"/>
      <c r="E31" s="1498"/>
      <c r="F31" s="1498"/>
      <c r="G31" s="1498"/>
      <c r="H31" s="1499"/>
      <c r="I31" s="1499"/>
      <c r="J31" s="1499"/>
      <c r="K31" s="1499"/>
      <c r="L31" s="1499"/>
      <c r="M31" s="1499"/>
      <c r="N31" s="1499"/>
      <c r="O31" s="1501"/>
      <c r="P31" s="1502"/>
    </row>
    <row r="32" spans="1:17" s="11" customFormat="1" ht="15" customHeight="1" x14ac:dyDescent="0.25">
      <c r="A32" s="1223"/>
      <c r="C32" s="1223"/>
      <c r="D32" s="785"/>
      <c r="E32" s="1498"/>
      <c r="F32" s="1498"/>
      <c r="G32" s="1498"/>
      <c r="H32" s="1499"/>
      <c r="I32" s="1499"/>
      <c r="J32" s="1499"/>
      <c r="K32" s="1499"/>
      <c r="L32" s="1499"/>
      <c r="M32" s="1499"/>
      <c r="N32" s="1499"/>
      <c r="O32" s="1501"/>
      <c r="P32" s="1502"/>
    </row>
    <row r="33" spans="1:16" s="11" customFormat="1" ht="15" customHeight="1" x14ac:dyDescent="0.25">
      <c r="A33" s="1223"/>
      <c r="C33" s="1223"/>
      <c r="D33" s="785"/>
      <c r="E33" s="1498"/>
      <c r="F33" s="1498"/>
      <c r="G33" s="1498"/>
      <c r="H33" s="1499"/>
      <c r="I33" s="1499"/>
      <c r="J33" s="1499"/>
      <c r="K33" s="1499"/>
      <c r="L33" s="1499"/>
      <c r="M33" s="1499"/>
      <c r="N33" s="1499"/>
      <c r="O33" s="1501"/>
      <c r="P33" s="1502"/>
    </row>
    <row r="34" spans="1:16" s="11" customFormat="1" ht="15" customHeight="1" x14ac:dyDescent="0.25">
      <c r="A34" s="1223"/>
      <c r="C34" s="1223"/>
      <c r="D34" s="785"/>
      <c r="E34" s="1498"/>
      <c r="F34" s="1498"/>
      <c r="G34" s="1498"/>
      <c r="H34" s="1499"/>
      <c r="I34" s="1499"/>
      <c r="J34" s="1499"/>
      <c r="K34" s="1499"/>
      <c r="L34" s="1499"/>
      <c r="M34" s="1499"/>
      <c r="N34" s="1499"/>
      <c r="O34" s="1501"/>
      <c r="P34" s="1502"/>
    </row>
    <row r="35" spans="1:16" s="11" customFormat="1" ht="15" customHeight="1" x14ac:dyDescent="0.2">
      <c r="A35" s="1223"/>
      <c r="C35" s="1223"/>
      <c r="E35" s="1503"/>
      <c r="F35" s="1503"/>
      <c r="G35" s="1503"/>
      <c r="H35" s="1503"/>
      <c r="I35" s="1503"/>
      <c r="J35" s="1503"/>
      <c r="K35" s="1504"/>
      <c r="L35" s="1504"/>
      <c r="M35" s="1504"/>
      <c r="N35" s="1504"/>
      <c r="O35" s="1505"/>
      <c r="P35" s="1506"/>
    </row>
    <row r="36" spans="1:16" ht="15.75" customHeight="1" x14ac:dyDescent="0.35">
      <c r="A36" s="1192">
        <v>6</v>
      </c>
      <c r="B36" s="1192" t="s">
        <v>58</v>
      </c>
      <c r="C36" s="1254"/>
      <c r="D36" s="4757" t="s">
        <v>574</v>
      </c>
      <c r="E36" s="4758"/>
      <c r="F36" s="4758"/>
      <c r="G36" s="4758"/>
      <c r="H36" s="4758"/>
      <c r="I36" s="4758"/>
      <c r="J36" s="4758"/>
      <c r="K36" s="4758"/>
      <c r="L36" s="4758"/>
      <c r="M36" s="4758"/>
      <c r="N36" s="4758"/>
      <c r="O36" s="4758"/>
      <c r="P36" s="4759"/>
    </row>
    <row r="37" spans="1:16" ht="66" customHeight="1" x14ac:dyDescent="0.35">
      <c r="A37" s="1254">
        <v>7</v>
      </c>
      <c r="B37" s="1254" t="s">
        <v>60</v>
      </c>
      <c r="C37" s="1192"/>
      <c r="D37" s="4757" t="s">
        <v>575</v>
      </c>
      <c r="E37" s="4758"/>
      <c r="F37" s="4758"/>
      <c r="G37" s="4758"/>
      <c r="H37" s="4758"/>
      <c r="I37" s="4758"/>
      <c r="J37" s="4758"/>
      <c r="K37" s="4758"/>
      <c r="L37" s="4758"/>
      <c r="M37" s="4758"/>
      <c r="N37" s="4758"/>
      <c r="O37" s="4758"/>
      <c r="P37" s="4759"/>
    </row>
    <row r="38" spans="1:16" ht="23.5" customHeight="1" x14ac:dyDescent="0.35">
      <c r="A38" s="1192">
        <v>8</v>
      </c>
      <c r="B38" s="1192" t="s">
        <v>62</v>
      </c>
      <c r="C38" s="1326"/>
      <c r="D38" s="4757" t="s">
        <v>566</v>
      </c>
      <c r="E38" s="4758"/>
      <c r="F38" s="4758"/>
      <c r="G38" s="4758"/>
      <c r="H38" s="4758"/>
      <c r="I38" s="4758"/>
      <c r="J38" s="4758"/>
      <c r="K38" s="4758"/>
      <c r="L38" s="4758"/>
      <c r="M38" s="4758"/>
      <c r="N38" s="4758"/>
      <c r="O38" s="4758"/>
      <c r="P38" s="4759"/>
    </row>
    <row r="39" spans="1:16" ht="33.65" customHeight="1" x14ac:dyDescent="0.35">
      <c r="A39" s="1192">
        <v>9</v>
      </c>
      <c r="B39" s="1466" t="s">
        <v>567</v>
      </c>
      <c r="C39" s="1326"/>
      <c r="D39" s="4757" t="s">
        <v>576</v>
      </c>
      <c r="E39" s="4758"/>
      <c r="F39" s="4758"/>
      <c r="G39" s="4758"/>
      <c r="H39" s="4758"/>
      <c r="I39" s="4758"/>
      <c r="J39" s="4758"/>
      <c r="K39" s="4758"/>
      <c r="L39" s="4758"/>
      <c r="M39" s="4758"/>
      <c r="N39" s="4758"/>
      <c r="O39" s="4758"/>
      <c r="P39" s="4759"/>
    </row>
    <row r="40" spans="1:16" x14ac:dyDescent="0.35">
      <c r="A40" s="1192"/>
      <c r="B40" s="1192"/>
      <c r="C40" s="1420"/>
      <c r="D40" s="4645"/>
      <c r="E40" s="4646"/>
      <c r="F40" s="4646"/>
      <c r="G40" s="4646"/>
      <c r="H40" s="4646"/>
      <c r="I40" s="4646"/>
      <c r="J40" s="4646"/>
      <c r="K40" s="4646"/>
      <c r="L40" s="4646"/>
    </row>
    <row r="41" spans="1:16" x14ac:dyDescent="0.35">
      <c r="A41" s="1192"/>
      <c r="B41" s="1507"/>
      <c r="C41" s="1507"/>
      <c r="D41" s="1420"/>
      <c r="E41" s="949"/>
      <c r="F41" s="949"/>
      <c r="G41" s="949"/>
      <c r="H41" s="949"/>
      <c r="I41" s="949"/>
      <c r="J41" s="949"/>
      <c r="K41" s="949"/>
      <c r="L41" s="949"/>
    </row>
    <row r="42" spans="1:16" s="1508" customFormat="1" ht="41.25" customHeight="1" x14ac:dyDescent="0.35">
      <c r="A42" s="1192"/>
      <c r="B42" s="410"/>
      <c r="C42" s="410"/>
      <c r="D42" s="553"/>
      <c r="E42" s="553"/>
      <c r="F42" s="553"/>
      <c r="G42" s="553"/>
      <c r="H42" s="553"/>
      <c r="I42" s="553"/>
      <c r="J42" s="553"/>
      <c r="K42" s="553"/>
      <c r="L42" s="553"/>
    </row>
    <row r="43" spans="1:16" s="1508" customFormat="1" ht="26.25" customHeight="1" x14ac:dyDescent="0.35">
      <c r="A43" s="1192"/>
      <c r="B43" s="1507"/>
      <c r="C43" s="1507"/>
      <c r="D43" s="553"/>
      <c r="E43" s="553"/>
      <c r="F43" s="553"/>
      <c r="G43" s="553"/>
      <c r="H43" s="553"/>
      <c r="I43" s="553"/>
      <c r="J43" s="553"/>
      <c r="K43" s="553"/>
      <c r="L43" s="553"/>
    </row>
  </sheetData>
  <mergeCells count="8">
    <mergeCell ref="D39:P39"/>
    <mergeCell ref="D40:L40"/>
    <mergeCell ref="D2:P2"/>
    <mergeCell ref="D3:P3"/>
    <mergeCell ref="D4:P4"/>
    <mergeCell ref="D36:P36"/>
    <mergeCell ref="D37:P37"/>
    <mergeCell ref="D38:P38"/>
  </mergeCells>
  <pageMargins left="0.74803149606299202" right="0.74803149606299202" top="0.98425196850393704" bottom="0.98425196850393704" header="0.511811023622047" footer="0.511811023622047"/>
  <pageSetup paperSize="9" scale="6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CP740"/>
  <sheetViews>
    <sheetView showGridLines="0" view="pageBreakPreview" topLeftCell="C1" zoomScaleNormal="90" zoomScaleSheetLayoutView="100" workbookViewId="0">
      <selection activeCell="H68" sqref="H68"/>
    </sheetView>
  </sheetViews>
  <sheetFormatPr defaultColWidth="9.08984375" defaultRowHeight="14.5" x14ac:dyDescent="0.25"/>
  <cols>
    <col min="1" max="1" width="3.7265625" style="1255" customWidth="1"/>
    <col min="2" max="2" width="9.90625" style="1509" customWidth="1"/>
    <col min="3" max="3" width="3.7265625" style="1509" customWidth="1"/>
    <col min="4" max="4" width="21.26953125" style="1510" customWidth="1"/>
    <col min="5" max="12" width="8.7265625" style="1510" customWidth="1"/>
    <col min="13" max="13" width="8.36328125" style="1510" customWidth="1"/>
    <col min="14" max="14" width="8.54296875" style="1510" customWidth="1"/>
    <col min="15" max="15" width="8.453125" style="1510" customWidth="1"/>
    <col min="16" max="16" width="8.7265625" style="1510" customWidth="1"/>
    <col min="17" max="17" width="8.81640625" style="1510" customWidth="1"/>
    <col min="18" max="18" width="8.7265625" style="1510" customWidth="1"/>
    <col min="19" max="19" width="9.453125" style="1510" customWidth="1"/>
    <col min="20" max="20" width="9.54296875" style="1510" customWidth="1"/>
    <col min="21" max="22" width="9.453125" style="1510" customWidth="1"/>
    <col min="23" max="23" width="9.26953125" style="1510" customWidth="1"/>
    <col min="24" max="24" width="9.08984375" style="1510" customWidth="1"/>
    <col min="25" max="26" width="8.6328125" style="1510" customWidth="1"/>
    <col min="27" max="27" width="9" style="1510" customWidth="1"/>
    <col min="28" max="28" width="8.7265625" style="1510" customWidth="1"/>
    <col min="29" max="54" width="9.08984375" style="1510" customWidth="1"/>
    <col min="55" max="83" width="9.08984375" style="1510"/>
    <col min="84" max="84" width="10.26953125" style="1510" customWidth="1"/>
    <col min="85" max="16384" width="9.08984375" style="1510"/>
  </cols>
  <sheetData>
    <row r="1" spans="1:84" x14ac:dyDescent="0.35">
      <c r="T1" s="1511"/>
      <c r="V1" s="1511"/>
      <c r="W1" s="1511"/>
      <c r="X1" s="1511"/>
      <c r="Y1" s="1511"/>
      <c r="Z1" s="1511"/>
      <c r="AA1" s="1511"/>
      <c r="AB1" s="1511"/>
      <c r="AC1" s="1512"/>
      <c r="AD1" s="1512"/>
      <c r="AE1" s="1512"/>
    </row>
    <row r="2" spans="1:84" ht="12.75" customHeight="1" x14ac:dyDescent="0.25">
      <c r="A2" s="1255">
        <v>1</v>
      </c>
      <c r="B2" s="1255" t="s">
        <v>0</v>
      </c>
      <c r="C2" s="1255">
        <v>24</v>
      </c>
      <c r="D2" s="4764" t="s">
        <v>577</v>
      </c>
      <c r="E2" s="4765"/>
      <c r="F2" s="4765"/>
      <c r="G2" s="4765"/>
      <c r="H2" s="4765"/>
      <c r="I2" s="4765"/>
      <c r="J2" s="4765"/>
      <c r="K2" s="4765"/>
      <c r="L2" s="4765"/>
      <c r="M2" s="4765"/>
      <c r="N2" s="4765"/>
      <c r="O2" s="4765"/>
      <c r="P2" s="4765"/>
      <c r="Q2" s="4765"/>
      <c r="R2" s="4765"/>
      <c r="S2" s="4765"/>
      <c r="T2" s="4765"/>
      <c r="U2" s="4765"/>
      <c r="V2" s="4765"/>
      <c r="W2" s="4765"/>
      <c r="X2" s="4765"/>
      <c r="Y2" s="4765"/>
      <c r="Z2" s="4765"/>
      <c r="AA2" s="4765"/>
      <c r="AB2" s="4765"/>
      <c r="AC2" s="4765"/>
      <c r="AD2" s="4765"/>
      <c r="AE2" s="4765"/>
      <c r="AF2" s="4765"/>
      <c r="AG2" s="4765"/>
      <c r="AH2" s="4765"/>
      <c r="AI2" s="4765"/>
      <c r="AJ2" s="4765"/>
      <c r="AK2" s="4765"/>
      <c r="AL2" s="4765"/>
      <c r="AM2" s="4765"/>
      <c r="AN2" s="4765"/>
      <c r="AO2" s="4765"/>
      <c r="AP2" s="4765"/>
      <c r="AQ2" s="4765"/>
      <c r="AR2" s="4765"/>
      <c r="AS2" s="4765"/>
      <c r="AT2" s="4765"/>
      <c r="AU2" s="4765"/>
      <c r="AV2" s="4765"/>
      <c r="AW2" s="4765"/>
      <c r="AX2" s="4765"/>
      <c r="AY2" s="4765"/>
      <c r="AZ2" s="4765"/>
      <c r="BA2" s="4765"/>
      <c r="BB2" s="4766"/>
    </row>
    <row r="3" spans="1:84" ht="15" customHeight="1" x14ac:dyDescent="0.25">
      <c r="A3" s="1255">
        <v>2</v>
      </c>
      <c r="B3" s="1255" t="s">
        <v>2</v>
      </c>
      <c r="C3" s="1255"/>
      <c r="D3" s="4733" t="s">
        <v>504</v>
      </c>
      <c r="E3" s="4734"/>
      <c r="F3" s="4734"/>
      <c r="G3" s="4734"/>
      <c r="H3" s="4734"/>
      <c r="I3" s="4734"/>
      <c r="J3" s="4734"/>
      <c r="K3" s="4734"/>
      <c r="L3" s="4734"/>
      <c r="M3" s="4734"/>
      <c r="N3" s="4734"/>
      <c r="O3" s="4734"/>
      <c r="P3" s="4734"/>
      <c r="Q3" s="4734"/>
      <c r="R3" s="4734"/>
      <c r="S3" s="4734"/>
      <c r="T3" s="4734"/>
      <c r="U3" s="4734"/>
      <c r="V3" s="4734"/>
      <c r="W3" s="4734"/>
      <c r="X3" s="4734"/>
      <c r="Y3" s="4734"/>
      <c r="Z3" s="4734"/>
      <c r="AA3" s="4734"/>
      <c r="AB3" s="4734"/>
      <c r="AC3" s="4734"/>
      <c r="AD3" s="4734"/>
      <c r="AE3" s="4734"/>
      <c r="AF3" s="4734"/>
      <c r="AG3" s="4734"/>
      <c r="AH3" s="4734"/>
      <c r="AI3" s="4734"/>
      <c r="AJ3" s="4734"/>
      <c r="AK3" s="4734"/>
      <c r="AL3" s="4734"/>
      <c r="AM3" s="4734"/>
      <c r="AN3" s="4734"/>
      <c r="AO3" s="4734"/>
      <c r="AP3" s="4734"/>
      <c r="AQ3" s="4734"/>
      <c r="AR3" s="4734"/>
      <c r="AS3" s="4734"/>
      <c r="AT3" s="4734"/>
      <c r="AU3" s="4734"/>
      <c r="AV3" s="4734"/>
      <c r="AW3" s="4734"/>
      <c r="AX3" s="4734"/>
      <c r="AY3" s="4734"/>
      <c r="AZ3" s="4734"/>
      <c r="BA3" s="4734"/>
      <c r="BB3" s="4735"/>
    </row>
    <row r="4" spans="1:84" ht="15" customHeight="1" x14ac:dyDescent="0.25">
      <c r="A4" s="1255">
        <v>3</v>
      </c>
      <c r="B4" s="1255" t="s">
        <v>4</v>
      </c>
      <c r="C4" s="1255"/>
      <c r="D4" s="4733" t="s">
        <v>578</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4"/>
      <c r="AC4" s="4734"/>
      <c r="AD4" s="4734"/>
      <c r="AE4" s="4734"/>
      <c r="AF4" s="4734"/>
      <c r="AG4" s="4734"/>
      <c r="AH4" s="4734"/>
      <c r="AI4" s="4734"/>
      <c r="AJ4" s="4734"/>
      <c r="AK4" s="4734"/>
      <c r="AL4" s="4734"/>
      <c r="AM4" s="4734"/>
      <c r="AN4" s="4734"/>
      <c r="AO4" s="4734"/>
      <c r="AP4" s="4734"/>
      <c r="AQ4" s="4734"/>
      <c r="AR4" s="4734"/>
      <c r="AS4" s="4734"/>
      <c r="AT4" s="4734"/>
      <c r="AU4" s="4734"/>
      <c r="AV4" s="4734"/>
      <c r="AW4" s="4734"/>
      <c r="AX4" s="4734"/>
      <c r="AY4" s="4734"/>
      <c r="AZ4" s="4734"/>
      <c r="BA4" s="4734"/>
      <c r="BB4" s="4735"/>
    </row>
    <row r="5" spans="1:84" ht="15" customHeight="1" x14ac:dyDescent="0.25">
      <c r="B5" s="1255"/>
      <c r="C5" s="1255"/>
      <c r="AA5" s="1513"/>
      <c r="AB5" s="1513"/>
      <c r="AC5" s="1513"/>
      <c r="AD5" s="1513"/>
      <c r="AE5" s="1513"/>
      <c r="AF5" s="1513"/>
      <c r="AG5" s="1513"/>
      <c r="AH5" s="1513"/>
      <c r="AI5" s="1513"/>
      <c r="AJ5" s="1513"/>
      <c r="AK5" s="1513"/>
      <c r="AL5" s="1513"/>
      <c r="AM5" s="1513"/>
      <c r="AN5" s="1513"/>
      <c r="AO5" s="1513"/>
      <c r="AP5" s="1513"/>
      <c r="AQ5" s="1513"/>
      <c r="AR5" s="1513"/>
      <c r="AS5" s="1513"/>
      <c r="AT5" s="1513"/>
      <c r="AU5" s="1513"/>
      <c r="AV5" s="1513"/>
      <c r="AW5" s="1513"/>
      <c r="AX5" s="1513"/>
      <c r="AY5" s="1513"/>
      <c r="AZ5" s="1513"/>
      <c r="BA5" s="1513"/>
      <c r="BB5" s="1513"/>
    </row>
    <row r="6" spans="1:84" x14ac:dyDescent="0.35">
      <c r="A6" s="1255">
        <v>4</v>
      </c>
      <c r="B6" s="728" t="s">
        <v>6</v>
      </c>
      <c r="C6" s="728"/>
      <c r="L6" s="1512"/>
      <c r="M6" s="1512"/>
      <c r="N6" s="1265"/>
      <c r="T6" s="1511"/>
      <c r="V6" s="1511"/>
      <c r="W6" s="1511"/>
      <c r="X6" s="1511"/>
      <c r="Y6" s="1511"/>
      <c r="Z6" s="1511"/>
      <c r="AA6" s="1511"/>
      <c r="AB6" s="1511"/>
      <c r="AC6" s="1512"/>
      <c r="AD6" s="1512"/>
      <c r="AE6" s="1512"/>
    </row>
    <row r="7" spans="1:84" x14ac:dyDescent="0.35">
      <c r="B7" s="728"/>
      <c r="C7" s="728"/>
      <c r="D7" s="1514" t="s">
        <v>7</v>
      </c>
      <c r="E7" s="1515" t="s">
        <v>579</v>
      </c>
      <c r="F7" s="1516"/>
      <c r="G7" s="1516"/>
      <c r="H7" s="803"/>
      <c r="I7" s="803"/>
      <c r="J7" s="803"/>
      <c r="K7" s="803"/>
      <c r="L7" s="803"/>
      <c r="M7" s="803"/>
      <c r="N7" s="803"/>
      <c r="O7" s="803"/>
      <c r="P7" s="803"/>
      <c r="Q7" s="803"/>
      <c r="R7" s="803"/>
      <c r="S7" s="756"/>
      <c r="T7" s="1511"/>
      <c r="U7" s="756"/>
      <c r="V7" s="1511"/>
      <c r="W7" s="1511"/>
      <c r="X7" s="1511"/>
      <c r="Y7" s="1511"/>
      <c r="Z7" s="1511"/>
      <c r="AA7" s="1511"/>
      <c r="AB7" s="1511"/>
      <c r="AC7" s="1512"/>
      <c r="AD7" s="1512"/>
      <c r="AE7" s="1512"/>
    </row>
    <row r="8" spans="1:84" x14ac:dyDescent="0.35">
      <c r="B8" s="1517"/>
      <c r="C8" s="1517"/>
      <c r="D8" s="1518" t="s">
        <v>580</v>
      </c>
      <c r="E8" s="1519" t="s">
        <v>104</v>
      </c>
      <c r="F8" s="1519" t="s">
        <v>105</v>
      </c>
      <c r="G8" s="1519" t="s">
        <v>106</v>
      </c>
      <c r="H8" s="1519" t="s">
        <v>107</v>
      </c>
      <c r="I8" s="1519" t="s">
        <v>108</v>
      </c>
      <c r="J8" s="1519" t="s">
        <v>109</v>
      </c>
      <c r="K8" s="1519" t="s">
        <v>110</v>
      </c>
      <c r="L8" s="1519" t="s">
        <v>111</v>
      </c>
      <c r="M8" s="1519" t="s">
        <v>112</v>
      </c>
      <c r="N8" s="1519" t="s">
        <v>113</v>
      </c>
      <c r="O8" s="1519" t="s">
        <v>114</v>
      </c>
      <c r="P8" s="1520" t="s">
        <v>115</v>
      </c>
      <c r="Q8" s="1519" t="s">
        <v>116</v>
      </c>
      <c r="R8" s="1519" t="s">
        <v>117</v>
      </c>
      <c r="S8" s="1520" t="s">
        <v>118</v>
      </c>
      <c r="T8" s="1520" t="s">
        <v>119</v>
      </c>
      <c r="U8" s="1520" t="s">
        <v>120</v>
      </c>
      <c r="V8" s="1520" t="s">
        <v>121</v>
      </c>
      <c r="W8" s="1520" t="s">
        <v>122</v>
      </c>
      <c r="X8" s="1520" t="s">
        <v>123</v>
      </c>
      <c r="Y8" s="1520" t="s">
        <v>124</v>
      </c>
      <c r="Z8" s="1520" t="s">
        <v>125</v>
      </c>
      <c r="AA8" s="1520" t="s">
        <v>126</v>
      </c>
      <c r="AB8" s="1521" t="s">
        <v>302</v>
      </c>
      <c r="AC8" s="1511"/>
      <c r="AD8" s="1512"/>
      <c r="AE8" s="1512"/>
      <c r="AF8" s="1512"/>
    </row>
    <row r="9" spans="1:84" x14ac:dyDescent="0.35">
      <c r="B9" s="1522"/>
      <c r="C9" s="1522"/>
      <c r="D9" s="1281" t="s">
        <v>581</v>
      </c>
      <c r="E9" s="1523">
        <v>1637934</v>
      </c>
      <c r="F9" s="1523">
        <v>1697725</v>
      </c>
      <c r="G9" s="1523">
        <v>1812695</v>
      </c>
      <c r="H9" s="1523">
        <v>1848726</v>
      </c>
      <c r="I9" s="1523">
        <v>1900406</v>
      </c>
      <c r="J9" s="1523">
        <v>1903042</v>
      </c>
      <c r="K9" s="1523">
        <v>1943348</v>
      </c>
      <c r="L9" s="1523">
        <v>2050572</v>
      </c>
      <c r="M9" s="1523">
        <v>2124984</v>
      </c>
      <c r="N9" s="1523">
        <v>2146344</v>
      </c>
      <c r="O9" s="1523">
        <v>2195018</v>
      </c>
      <c r="P9" s="1523">
        <v>2229550</v>
      </c>
      <c r="Q9" s="1523">
        <v>2390543</v>
      </c>
      <c r="R9" s="1523">
        <v>2546657</v>
      </c>
      <c r="S9" s="1523">
        <v>2678554</v>
      </c>
      <c r="T9" s="1523">
        <v>2750857</v>
      </c>
      <c r="U9" s="1523">
        <v>2873197</v>
      </c>
      <c r="V9" s="1523">
        <v>2969933</v>
      </c>
      <c r="W9" s="1523">
        <v>3086851</v>
      </c>
      <c r="X9" s="1523">
        <v>3194087</v>
      </c>
      <c r="Y9" s="1523">
        <v>3302202</v>
      </c>
      <c r="Z9" s="1523">
        <v>3423337</v>
      </c>
      <c r="AA9" s="1524">
        <v>3553317</v>
      </c>
      <c r="AB9" s="1525">
        <v>3676791</v>
      </c>
      <c r="AC9" s="1511"/>
      <c r="AD9" s="1512"/>
      <c r="AE9" s="1512"/>
      <c r="AF9" s="1512"/>
    </row>
    <row r="10" spans="1:84" s="1529" customFormat="1" x14ac:dyDescent="0.35">
      <c r="A10" s="1526"/>
      <c r="B10" s="1522"/>
      <c r="C10" s="1522"/>
      <c r="D10" s="1281" t="s">
        <v>582</v>
      </c>
      <c r="E10" s="1523">
        <v>13473</v>
      </c>
      <c r="F10" s="1523">
        <v>10525</v>
      </c>
      <c r="G10" s="1523">
        <v>9197</v>
      </c>
      <c r="H10" s="1523">
        <v>7908</v>
      </c>
      <c r="I10" s="1523">
        <v>5617</v>
      </c>
      <c r="J10" s="1523">
        <v>5336</v>
      </c>
      <c r="K10" s="1523">
        <v>4638</v>
      </c>
      <c r="L10" s="1523">
        <v>3996</v>
      </c>
      <c r="M10" s="1523">
        <v>2963</v>
      </c>
      <c r="N10" s="1523">
        <v>2817</v>
      </c>
      <c r="O10" s="1523">
        <v>2340</v>
      </c>
      <c r="P10" s="1523">
        <v>1924</v>
      </c>
      <c r="Q10" s="1523">
        <v>1500</v>
      </c>
      <c r="R10" s="1523">
        <v>1216</v>
      </c>
      <c r="S10" s="1523">
        <v>958</v>
      </c>
      <c r="T10" s="1523">
        <v>753</v>
      </c>
      <c r="U10" s="1523">
        <v>587</v>
      </c>
      <c r="V10" s="1523">
        <v>429</v>
      </c>
      <c r="W10" s="1523">
        <v>326</v>
      </c>
      <c r="X10" s="1523">
        <v>245</v>
      </c>
      <c r="Y10" s="1523">
        <v>176</v>
      </c>
      <c r="Z10" s="1523">
        <v>134</v>
      </c>
      <c r="AA10" s="1524">
        <v>92</v>
      </c>
      <c r="AB10" s="1525">
        <v>62</v>
      </c>
      <c r="AC10" s="1527"/>
      <c r="AD10" s="1528"/>
      <c r="AE10" s="1528"/>
      <c r="AF10" s="1528"/>
    </row>
    <row r="11" spans="1:84" s="1529" customFormat="1" x14ac:dyDescent="0.35">
      <c r="A11" s="1526"/>
      <c r="B11" s="1522"/>
      <c r="C11" s="1522"/>
      <c r="D11" s="1281" t="s">
        <v>583</v>
      </c>
      <c r="E11" s="1523">
        <v>711629</v>
      </c>
      <c r="F11" s="1523">
        <v>660528</v>
      </c>
      <c r="G11" s="1523">
        <v>633778</v>
      </c>
      <c r="H11" s="1523">
        <v>607537</v>
      </c>
      <c r="I11" s="1523">
        <v>655822</v>
      </c>
      <c r="J11" s="1523">
        <v>694232</v>
      </c>
      <c r="K11" s="1523">
        <v>840424</v>
      </c>
      <c r="L11" s="1523">
        <v>1228231</v>
      </c>
      <c r="M11" s="1523">
        <v>1293280</v>
      </c>
      <c r="N11" s="1523">
        <v>1315143</v>
      </c>
      <c r="O11" s="1523">
        <v>1422808</v>
      </c>
      <c r="P11" s="1523">
        <v>1408456</v>
      </c>
      <c r="Q11" s="1523">
        <v>1286883</v>
      </c>
      <c r="R11" s="1523">
        <v>1264477</v>
      </c>
      <c r="S11" s="1523">
        <v>1200898</v>
      </c>
      <c r="T11" s="1523">
        <v>1198131</v>
      </c>
      <c r="U11" s="1523">
        <v>1164192</v>
      </c>
      <c r="V11" s="1523">
        <v>1120419</v>
      </c>
      <c r="W11" s="1523">
        <v>1112663</v>
      </c>
      <c r="X11" s="1523">
        <v>1085541</v>
      </c>
      <c r="Y11" s="1523">
        <v>1067176</v>
      </c>
      <c r="Z11" s="1523">
        <v>1061866</v>
      </c>
      <c r="AA11" s="1524">
        <v>1048255</v>
      </c>
      <c r="AB11" s="1525">
        <v>1042025</v>
      </c>
      <c r="AC11" s="1527"/>
      <c r="AD11" s="1528"/>
      <c r="AE11" s="1528"/>
      <c r="AF11" s="1528"/>
    </row>
    <row r="12" spans="1:84" s="1529" customFormat="1" x14ac:dyDescent="0.35">
      <c r="A12" s="1526"/>
      <c r="B12" s="1522"/>
      <c r="C12" s="1522"/>
      <c r="D12" s="1281" t="s">
        <v>584</v>
      </c>
      <c r="E12" s="1523"/>
      <c r="F12" s="1523"/>
      <c r="G12" s="1523"/>
      <c r="H12" s="1523"/>
      <c r="I12" s="1523"/>
      <c r="J12" s="1523"/>
      <c r="K12" s="1523"/>
      <c r="L12" s="1523"/>
      <c r="M12" s="1523"/>
      <c r="N12" s="1523"/>
      <c r="O12" s="1523">
        <v>31918</v>
      </c>
      <c r="P12" s="1523">
        <v>37343</v>
      </c>
      <c r="Q12" s="1523">
        <v>46069</v>
      </c>
      <c r="R12" s="1523">
        <v>53237</v>
      </c>
      <c r="S12" s="1523">
        <v>58413</v>
      </c>
      <c r="T12" s="1523">
        <v>66493</v>
      </c>
      <c r="U12" s="1523">
        <v>73719</v>
      </c>
      <c r="V12" s="1523">
        <v>83059</v>
      </c>
      <c r="W12" s="1523">
        <v>113087</v>
      </c>
      <c r="X12" s="1523">
        <v>137806</v>
      </c>
      <c r="Y12" s="1523">
        <v>164349</v>
      </c>
      <c r="Z12" s="1523">
        <v>192091</v>
      </c>
      <c r="AA12" s="1524">
        <v>221989</v>
      </c>
      <c r="AB12" s="1525">
        <v>273922</v>
      </c>
      <c r="AC12" s="1527"/>
      <c r="AD12" s="1528"/>
      <c r="AE12" s="1528"/>
      <c r="AF12" s="1528"/>
    </row>
    <row r="13" spans="1:84" s="1529" customFormat="1" x14ac:dyDescent="0.35">
      <c r="A13" s="1526"/>
      <c r="B13" s="1522"/>
      <c r="C13" s="1522"/>
      <c r="D13" s="1281" t="s">
        <v>585</v>
      </c>
      <c r="E13" s="1523">
        <v>42999</v>
      </c>
      <c r="F13" s="1523">
        <v>43520</v>
      </c>
      <c r="G13" s="1523">
        <v>46496</v>
      </c>
      <c r="H13" s="1523">
        <v>49843</v>
      </c>
      <c r="I13" s="1523">
        <v>66967</v>
      </c>
      <c r="J13" s="1523">
        <v>67817</v>
      </c>
      <c r="K13" s="1523">
        <v>83574</v>
      </c>
      <c r="L13" s="1523">
        <v>120571</v>
      </c>
      <c r="M13" s="1523">
        <v>195454</v>
      </c>
      <c r="N13" s="1523">
        <v>317434</v>
      </c>
      <c r="O13" s="1523">
        <v>400503</v>
      </c>
      <c r="P13" s="1523">
        <v>454199</v>
      </c>
      <c r="Q13" s="1523">
        <v>474759</v>
      </c>
      <c r="R13" s="1523">
        <v>510760</v>
      </c>
      <c r="S13" s="1523">
        <v>512874</v>
      </c>
      <c r="T13" s="1523">
        <v>536747</v>
      </c>
      <c r="U13" s="1523">
        <v>532159</v>
      </c>
      <c r="V13" s="1523">
        <v>512055</v>
      </c>
      <c r="W13" s="1523">
        <v>499774</v>
      </c>
      <c r="X13" s="1523">
        <v>470015</v>
      </c>
      <c r="Y13" s="1523">
        <v>440295</v>
      </c>
      <c r="Z13" s="1523">
        <v>416016</v>
      </c>
      <c r="AA13" s="1524">
        <v>386019</v>
      </c>
      <c r="AB13" s="1525">
        <v>355609</v>
      </c>
      <c r="AC13" s="1527"/>
      <c r="AD13" s="1528"/>
      <c r="AE13" s="1528"/>
      <c r="AF13" s="1528"/>
    </row>
    <row r="14" spans="1:84" s="1529" customFormat="1" x14ac:dyDescent="0.35">
      <c r="A14" s="1530"/>
      <c r="B14" s="1522"/>
      <c r="C14" s="1522"/>
      <c r="D14" s="1281" t="s">
        <v>586</v>
      </c>
      <c r="E14" s="1523">
        <v>2707</v>
      </c>
      <c r="F14" s="1523">
        <v>8172</v>
      </c>
      <c r="G14" s="1523">
        <v>16835</v>
      </c>
      <c r="H14" s="1523">
        <v>22789</v>
      </c>
      <c r="I14" s="1523">
        <v>33574</v>
      </c>
      <c r="J14" s="1523">
        <v>34978</v>
      </c>
      <c r="K14" s="1523">
        <v>42355</v>
      </c>
      <c r="L14" s="1523">
        <v>76494</v>
      </c>
      <c r="M14" s="1523">
        <v>86917</v>
      </c>
      <c r="N14" s="1523">
        <v>90112</v>
      </c>
      <c r="O14" s="1523">
        <v>98631</v>
      </c>
      <c r="P14" s="1523">
        <v>102292</v>
      </c>
      <c r="Q14" s="1523">
        <v>107065</v>
      </c>
      <c r="R14" s="1523">
        <v>110731</v>
      </c>
      <c r="S14" s="1523">
        <v>112185</v>
      </c>
      <c r="T14" s="1523">
        <v>114993</v>
      </c>
      <c r="U14" s="1523">
        <v>120268</v>
      </c>
      <c r="V14" s="1523">
        <v>120632</v>
      </c>
      <c r="W14" s="1523">
        <v>126777</v>
      </c>
      <c r="X14" s="1523">
        <v>131040</v>
      </c>
      <c r="Y14" s="1523">
        <v>144952</v>
      </c>
      <c r="Z14" s="1523">
        <v>147467</v>
      </c>
      <c r="AA14" s="1524">
        <v>150001</v>
      </c>
      <c r="AB14" s="1525">
        <v>154735</v>
      </c>
      <c r="AC14" s="1527"/>
      <c r="AD14" s="1528"/>
      <c r="AE14" s="1528"/>
      <c r="AF14" s="1528"/>
    </row>
    <row r="15" spans="1:84" s="1529" customFormat="1" x14ac:dyDescent="0.35">
      <c r="A15" s="1530"/>
      <c r="B15" s="1522"/>
      <c r="C15" s="1522"/>
      <c r="D15" s="1281" t="s">
        <v>587</v>
      </c>
      <c r="E15" s="1523"/>
      <c r="F15" s="1523"/>
      <c r="G15" s="1523">
        <v>21997</v>
      </c>
      <c r="H15" s="1523">
        <v>150366</v>
      </c>
      <c r="I15" s="1523">
        <v>1111612</v>
      </c>
      <c r="J15" s="1523">
        <v>1277396</v>
      </c>
      <c r="K15" s="1523">
        <v>1998936</v>
      </c>
      <c r="L15" s="1523">
        <v>2996723</v>
      </c>
      <c r="M15" s="1523">
        <v>4165545</v>
      </c>
      <c r="N15" s="1523">
        <v>7075266</v>
      </c>
      <c r="O15" s="1523">
        <v>7863841</v>
      </c>
      <c r="P15" s="1523">
        <v>8189975</v>
      </c>
      <c r="Q15" s="1523">
        <v>8765354</v>
      </c>
      <c r="R15" s="1523">
        <v>9570287</v>
      </c>
      <c r="S15" s="1523">
        <v>10371950</v>
      </c>
      <c r="T15" s="1523">
        <v>10927731</v>
      </c>
      <c r="U15" s="1523">
        <v>11341988</v>
      </c>
      <c r="V15" s="1523">
        <v>11125946</v>
      </c>
      <c r="W15" s="1523">
        <v>11703165</v>
      </c>
      <c r="X15" s="1523">
        <v>11972900</v>
      </c>
      <c r="Y15" s="1523">
        <v>12081375</v>
      </c>
      <c r="Z15" s="1523">
        <v>12269084</v>
      </c>
      <c r="AA15" s="1524">
        <v>12452072</v>
      </c>
      <c r="AB15" s="1525">
        <v>12787448</v>
      </c>
      <c r="AC15" s="1527"/>
      <c r="AD15" s="1528"/>
      <c r="AE15" s="1528"/>
      <c r="AF15" s="1528"/>
      <c r="AG15" s="1528"/>
      <c r="AH15" s="1528"/>
      <c r="AI15" s="1528"/>
      <c r="AJ15" s="1528"/>
      <c r="AK15" s="1528"/>
      <c r="AL15" s="1528"/>
      <c r="AM15" s="1528"/>
      <c r="AN15" s="1528"/>
      <c r="AO15" s="1528"/>
      <c r="AP15" s="1528"/>
      <c r="AQ15" s="1528"/>
      <c r="AR15" s="1528"/>
      <c r="AS15" s="1528"/>
      <c r="AT15" s="1528"/>
      <c r="AU15" s="1528"/>
      <c r="AV15" s="1528"/>
      <c r="AW15" s="1528"/>
      <c r="AX15" s="1528"/>
      <c r="AY15" s="1528"/>
      <c r="AZ15" s="1528"/>
      <c r="BA15" s="1528"/>
      <c r="BB15" s="1528"/>
      <c r="BC15" s="1528"/>
      <c r="BD15" s="1528"/>
      <c r="BE15" s="1528"/>
      <c r="BF15" s="1528"/>
      <c r="BG15" s="1528"/>
      <c r="BH15" s="1528"/>
      <c r="BI15" s="1528"/>
      <c r="BJ15" s="1528"/>
      <c r="BK15" s="1528"/>
      <c r="BL15" s="1528"/>
      <c r="BM15" s="1528"/>
      <c r="BN15" s="1528"/>
      <c r="BO15" s="1528"/>
      <c r="BP15" s="1528"/>
      <c r="BQ15" s="1528"/>
      <c r="BR15" s="1528"/>
      <c r="BS15" s="1528"/>
      <c r="BT15" s="1528"/>
      <c r="BU15" s="1528"/>
      <c r="BV15" s="1528"/>
      <c r="BW15" s="1528"/>
      <c r="BX15" s="1528"/>
      <c r="BY15" s="1528"/>
      <c r="BZ15" s="1528"/>
      <c r="CA15" s="1528"/>
      <c r="CB15" s="1528"/>
      <c r="CC15" s="1528"/>
      <c r="CD15" s="1528"/>
      <c r="CE15" s="1528"/>
      <c r="CF15" s="1528"/>
    </row>
    <row r="16" spans="1:84" s="1534" customFormat="1" x14ac:dyDescent="0.35">
      <c r="A16" s="1530"/>
      <c r="B16" s="1522"/>
      <c r="C16" s="1522"/>
      <c r="D16" s="1531" t="s">
        <v>573</v>
      </c>
      <c r="E16" s="1532">
        <f t="shared" ref="E16:Z16" si="0">SUM(E9:E15)</f>
        <v>2408742</v>
      </c>
      <c r="F16" s="1532">
        <f t="shared" si="0"/>
        <v>2420470</v>
      </c>
      <c r="G16" s="1532">
        <f t="shared" si="0"/>
        <v>2540998</v>
      </c>
      <c r="H16" s="1532">
        <f t="shared" si="0"/>
        <v>2687169</v>
      </c>
      <c r="I16" s="1532">
        <f t="shared" si="0"/>
        <v>3773998</v>
      </c>
      <c r="J16" s="1532">
        <f t="shared" si="0"/>
        <v>3982801</v>
      </c>
      <c r="K16" s="1532">
        <f t="shared" si="0"/>
        <v>4913275</v>
      </c>
      <c r="L16" s="1532">
        <f t="shared" si="0"/>
        <v>6476587</v>
      </c>
      <c r="M16" s="1532">
        <f t="shared" si="0"/>
        <v>7869143</v>
      </c>
      <c r="N16" s="1532">
        <f t="shared" si="0"/>
        <v>10947116</v>
      </c>
      <c r="O16" s="1532">
        <f t="shared" si="0"/>
        <v>12015059</v>
      </c>
      <c r="P16" s="1532">
        <f t="shared" si="0"/>
        <v>12423739</v>
      </c>
      <c r="Q16" s="1532">
        <f t="shared" si="0"/>
        <v>13072173</v>
      </c>
      <c r="R16" s="1532">
        <f t="shared" si="0"/>
        <v>14057365</v>
      </c>
      <c r="S16" s="1532">
        <f t="shared" si="0"/>
        <v>14935832</v>
      </c>
      <c r="T16" s="1532">
        <f t="shared" si="0"/>
        <v>15595705</v>
      </c>
      <c r="U16" s="1532">
        <f t="shared" si="0"/>
        <v>16106110</v>
      </c>
      <c r="V16" s="1532">
        <f t="shared" si="0"/>
        <v>15932473</v>
      </c>
      <c r="W16" s="1532">
        <f t="shared" si="0"/>
        <v>16642643</v>
      </c>
      <c r="X16" s="1532">
        <f t="shared" si="0"/>
        <v>16991634</v>
      </c>
      <c r="Y16" s="1532">
        <f t="shared" si="0"/>
        <v>17200525</v>
      </c>
      <c r="Z16" s="1532">
        <f t="shared" si="0"/>
        <v>17509995</v>
      </c>
      <c r="AA16" s="1532">
        <v>17811745</v>
      </c>
      <c r="AB16" s="1533">
        <v>18290592</v>
      </c>
      <c r="AC16" s="1527"/>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28"/>
      <c r="BF16" s="1528"/>
      <c r="BG16" s="1528"/>
      <c r="BH16" s="1528"/>
      <c r="BI16" s="1528"/>
      <c r="BJ16" s="1528"/>
      <c r="BK16" s="1528"/>
      <c r="BL16" s="1528"/>
      <c r="BM16" s="1528"/>
      <c r="BN16" s="1528"/>
      <c r="BO16" s="1528"/>
      <c r="BP16" s="1528"/>
      <c r="BQ16" s="1528"/>
      <c r="BR16" s="1528"/>
      <c r="BS16" s="1528"/>
      <c r="BT16" s="1528"/>
      <c r="BU16" s="1528"/>
      <c r="BV16" s="1528"/>
      <c r="BW16" s="1528"/>
      <c r="BX16" s="1528"/>
      <c r="BY16" s="1528"/>
      <c r="BZ16" s="1528"/>
      <c r="CA16" s="1528"/>
      <c r="CB16" s="1528"/>
      <c r="CC16" s="1528"/>
      <c r="CD16" s="1528"/>
      <c r="CE16" s="1528"/>
      <c r="CF16" s="1528"/>
    </row>
    <row r="17" spans="1:94" s="1541" customFormat="1" x14ac:dyDescent="0.35">
      <c r="A17" s="1535"/>
      <c r="B17" s="1536"/>
      <c r="C17" s="1536"/>
      <c r="D17" s="1537" t="s">
        <v>588</v>
      </c>
      <c r="E17" s="1538"/>
      <c r="F17" s="1538">
        <f>(F16-E16)/E16</f>
        <v>4.8689315833742256E-3</v>
      </c>
      <c r="G17" s="1538">
        <f t="shared" ref="G17:Z17" si="1">(G16-F16)/F16</f>
        <v>4.9795287692059806E-2</v>
      </c>
      <c r="H17" s="1538">
        <f t="shared" si="1"/>
        <v>5.7525035438831515E-2</v>
      </c>
      <c r="I17" s="1538">
        <f t="shared" si="1"/>
        <v>0.40445130172311455</v>
      </c>
      <c r="J17" s="1538">
        <f t="shared" si="1"/>
        <v>5.5326738381949327E-2</v>
      </c>
      <c r="K17" s="1538">
        <f t="shared" si="1"/>
        <v>0.2336230205827507</v>
      </c>
      <c r="L17" s="1538">
        <f t="shared" si="1"/>
        <v>0.31818125384799345</v>
      </c>
      <c r="M17" s="1538">
        <f t="shared" si="1"/>
        <v>0.21501386455551358</v>
      </c>
      <c r="N17" s="1538">
        <f t="shared" si="1"/>
        <v>0.39114462654954929</v>
      </c>
      <c r="O17" s="1538">
        <f t="shared" si="1"/>
        <v>9.7554734963985035E-2</v>
      </c>
      <c r="P17" s="1538">
        <f t="shared" si="1"/>
        <v>3.4013981953813124E-2</v>
      </c>
      <c r="Q17" s="1538">
        <f t="shared" si="1"/>
        <v>5.2193144109031912E-2</v>
      </c>
      <c r="R17" s="1538">
        <f t="shared" si="1"/>
        <v>7.5365587649429064E-2</v>
      </c>
      <c r="S17" s="1538">
        <f t="shared" si="1"/>
        <v>6.2491583593369031E-2</v>
      </c>
      <c r="T17" s="1538">
        <f t="shared" si="1"/>
        <v>4.4180531757454157E-2</v>
      </c>
      <c r="U17" s="1538">
        <f t="shared" si="1"/>
        <v>3.2727279722205571E-2</v>
      </c>
      <c r="V17" s="1538">
        <f t="shared" si="1"/>
        <v>-1.0780815479342933E-2</v>
      </c>
      <c r="W17" s="1538">
        <f t="shared" si="1"/>
        <v>4.457374570790109E-2</v>
      </c>
      <c r="X17" s="1538">
        <f t="shared" si="1"/>
        <v>2.0969686124974261E-2</v>
      </c>
      <c r="Y17" s="1538">
        <f t="shared" si="1"/>
        <v>1.2293755856558586E-2</v>
      </c>
      <c r="Z17" s="1538">
        <f t="shared" si="1"/>
        <v>1.7991892689321984E-2</v>
      </c>
      <c r="AA17" s="1538">
        <v>1.7233014629644383E-2</v>
      </c>
      <c r="AB17" s="1539">
        <f>((AB16-AA16)/AA16)</f>
        <v>2.6883778091366117E-2</v>
      </c>
      <c r="AC17" s="1540"/>
      <c r="AG17" s="1528"/>
      <c r="AH17" s="1528"/>
      <c r="AI17" s="1528"/>
      <c r="AJ17" s="1528"/>
      <c r="AK17" s="1528"/>
      <c r="AL17" s="1528"/>
      <c r="AM17" s="1528"/>
      <c r="AN17" s="1528"/>
      <c r="AO17" s="1528"/>
      <c r="AP17" s="1528"/>
      <c r="AQ17" s="1528"/>
      <c r="AR17" s="1528"/>
      <c r="AS17" s="1528"/>
      <c r="AT17" s="1528"/>
      <c r="AU17" s="1528"/>
      <c r="AV17" s="1528"/>
      <c r="AW17" s="1528"/>
      <c r="AX17" s="1528"/>
      <c r="AY17" s="1528"/>
      <c r="AZ17" s="1528"/>
      <c r="BA17" s="1528"/>
      <c r="BB17" s="1528"/>
      <c r="BC17" s="1528"/>
      <c r="BD17" s="1528"/>
      <c r="BE17" s="1528"/>
      <c r="BF17" s="1528"/>
      <c r="BG17" s="1528"/>
      <c r="BH17" s="1528"/>
      <c r="BI17" s="1528"/>
      <c r="BJ17" s="1528"/>
      <c r="BK17" s="1528"/>
      <c r="BL17" s="1528"/>
      <c r="BM17" s="1528"/>
      <c r="BN17" s="1528"/>
      <c r="BO17" s="1528"/>
      <c r="BP17" s="1528"/>
      <c r="BQ17" s="1528"/>
      <c r="BR17" s="1528"/>
      <c r="BS17" s="1528"/>
      <c r="BT17" s="1528"/>
      <c r="BU17" s="1528"/>
      <c r="BV17" s="1528"/>
      <c r="BW17" s="1528"/>
      <c r="BX17" s="1528"/>
      <c r="BY17" s="1528"/>
      <c r="BZ17" s="1528"/>
      <c r="CA17" s="1528"/>
      <c r="CB17" s="1528"/>
      <c r="CC17" s="1528"/>
      <c r="CD17" s="1528"/>
      <c r="CE17" s="1528"/>
      <c r="CF17" s="1528"/>
    </row>
    <row r="18" spans="1:94" s="1529" customFormat="1" x14ac:dyDescent="0.35">
      <c r="A18" s="1526"/>
      <c r="B18" s="1522"/>
      <c r="C18" s="1522"/>
      <c r="D18" s="1290"/>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3"/>
      <c r="AC18" s="1527"/>
      <c r="AD18" s="1528"/>
      <c r="AE18" s="1528"/>
      <c r="AF18" s="1528"/>
    </row>
    <row r="19" spans="1:94" s="1528" customFormat="1" x14ac:dyDescent="0.35">
      <c r="A19" s="1530"/>
      <c r="B19" s="1522"/>
      <c r="C19" s="1522"/>
      <c r="D19" s="785"/>
      <c r="E19" s="1301"/>
      <c r="F19" s="1301"/>
      <c r="G19" s="1301"/>
      <c r="H19" s="1301"/>
      <c r="I19" s="1301"/>
      <c r="J19" s="1301"/>
      <c r="K19" s="1301"/>
      <c r="L19" s="1301"/>
      <c r="M19" s="1301"/>
      <c r="N19" s="1301"/>
      <c r="O19" s="1301"/>
      <c r="P19" s="1301"/>
      <c r="Q19" s="1544"/>
      <c r="R19" s="1544"/>
      <c r="S19" s="1544"/>
      <c r="T19" s="1545"/>
      <c r="U19" s="1544"/>
      <c r="V19" s="1545"/>
      <c r="W19" s="1545"/>
      <c r="X19" s="1545"/>
      <c r="Y19" s="1527"/>
      <c r="Z19" s="1527"/>
      <c r="AA19" s="1527"/>
      <c r="AB19" s="1527"/>
    </row>
    <row r="20" spans="1:94" s="1528" customFormat="1" x14ac:dyDescent="0.35">
      <c r="A20" s="1530"/>
      <c r="B20" s="1546"/>
      <c r="C20" s="1546"/>
      <c r="D20" s="1547"/>
      <c r="E20" s="1547"/>
      <c r="F20" s="1548"/>
      <c r="G20" s="1548"/>
      <c r="H20" s="1548"/>
      <c r="I20" s="1548"/>
      <c r="J20" s="1548"/>
      <c r="K20" s="1548"/>
      <c r="L20" s="1548"/>
      <c r="M20" s="1548"/>
      <c r="N20" s="1548"/>
      <c r="O20" s="1548"/>
      <c r="P20" s="1548"/>
      <c r="Q20" s="1548"/>
      <c r="R20" s="1544"/>
      <c r="S20" s="1544"/>
      <c r="T20" s="1545"/>
      <c r="U20" s="1544"/>
      <c r="V20" s="1545"/>
      <c r="W20" s="1545"/>
      <c r="X20" s="1545"/>
      <c r="Y20" s="1527"/>
      <c r="Z20" s="1527"/>
      <c r="AA20" s="1527"/>
      <c r="AB20" s="1527"/>
    </row>
    <row r="21" spans="1:94" s="1529" customFormat="1" x14ac:dyDescent="0.35">
      <c r="A21" s="1526"/>
      <c r="B21" s="1546"/>
      <c r="C21" s="1546"/>
      <c r="D21" s="1514" t="s">
        <v>35</v>
      </c>
      <c r="E21" s="1515" t="s">
        <v>589</v>
      </c>
      <c r="F21" s="1516"/>
      <c r="G21" s="1516"/>
      <c r="H21" s="1549"/>
      <c r="I21" s="1549"/>
      <c r="J21" s="1549"/>
      <c r="K21" s="1549"/>
      <c r="L21" s="1549"/>
      <c r="M21" s="1549"/>
      <c r="N21" s="1550"/>
      <c r="O21" s="1551"/>
      <c r="P21" s="1515" t="s">
        <v>590</v>
      </c>
      <c r="Q21" s="1516"/>
      <c r="R21" s="1516"/>
      <c r="S21" s="1549"/>
      <c r="T21" s="1549"/>
      <c r="U21" s="1549"/>
      <c r="V21" s="1549"/>
      <c r="W21" s="1549"/>
      <c r="X21" s="1549"/>
      <c r="Y21" s="1552"/>
      <c r="Z21" s="1514"/>
      <c r="AA21" s="1515" t="s">
        <v>591</v>
      </c>
      <c r="AB21" s="1544"/>
      <c r="AC21" s="1544"/>
      <c r="AD21" s="1544"/>
      <c r="AE21" s="1544"/>
      <c r="AF21" s="1553"/>
      <c r="AG21" s="1553"/>
      <c r="AH21" s="1553"/>
      <c r="AI21" s="1554"/>
      <c r="AJ21" s="1514"/>
      <c r="AK21" s="1515" t="s">
        <v>592</v>
      </c>
      <c r="AL21" s="1544"/>
      <c r="AM21" s="1544"/>
      <c r="AN21" s="1544"/>
      <c r="AO21" s="1544"/>
      <c r="AP21" s="1553"/>
      <c r="AQ21" s="1553"/>
      <c r="AR21" s="1555"/>
      <c r="AS21" s="1514"/>
      <c r="AT21" s="1515" t="s">
        <v>593</v>
      </c>
      <c r="BE21" s="1515" t="s">
        <v>594</v>
      </c>
      <c r="BO21" s="1515" t="s">
        <v>595</v>
      </c>
      <c r="BY21" s="1515" t="s">
        <v>596</v>
      </c>
      <c r="CI21" s="1515" t="s">
        <v>597</v>
      </c>
    </row>
    <row r="22" spans="1:94" s="1568" customFormat="1" ht="27" customHeight="1" x14ac:dyDescent="0.35">
      <c r="A22" s="1556"/>
      <c r="B22" s="1557"/>
      <c r="C22" s="1557"/>
      <c r="D22" s="1558" t="s">
        <v>580</v>
      </c>
      <c r="E22" s="1559" t="s">
        <v>402</v>
      </c>
      <c r="F22" s="1560" t="s">
        <v>404</v>
      </c>
      <c r="G22" s="1560" t="s">
        <v>407</v>
      </c>
      <c r="H22" s="1560" t="s">
        <v>405</v>
      </c>
      <c r="I22" s="1560" t="s">
        <v>409</v>
      </c>
      <c r="J22" s="1560" t="s">
        <v>598</v>
      </c>
      <c r="K22" s="1560" t="s">
        <v>599</v>
      </c>
      <c r="L22" s="1560" t="s">
        <v>403</v>
      </c>
      <c r="M22" s="1560" t="s">
        <v>401</v>
      </c>
      <c r="N22" s="1559" t="s">
        <v>232</v>
      </c>
      <c r="O22" s="1559" t="s">
        <v>402</v>
      </c>
      <c r="P22" s="1560" t="s">
        <v>404</v>
      </c>
      <c r="Q22" s="1560" t="s">
        <v>407</v>
      </c>
      <c r="R22" s="1560" t="s">
        <v>405</v>
      </c>
      <c r="S22" s="1560" t="s">
        <v>409</v>
      </c>
      <c r="T22" s="1560" t="s">
        <v>598</v>
      </c>
      <c r="U22" s="1560" t="s">
        <v>599</v>
      </c>
      <c r="V22" s="1560" t="s">
        <v>403</v>
      </c>
      <c r="W22" s="1560" t="s">
        <v>401</v>
      </c>
      <c r="X22" s="1559" t="s">
        <v>232</v>
      </c>
      <c r="Y22" s="1561" t="s">
        <v>402</v>
      </c>
      <c r="Z22" s="1560" t="s">
        <v>404</v>
      </c>
      <c r="AA22" s="1560" t="s">
        <v>407</v>
      </c>
      <c r="AB22" s="1562" t="s">
        <v>405</v>
      </c>
      <c r="AC22" s="1562" t="s">
        <v>409</v>
      </c>
      <c r="AD22" s="1562" t="s">
        <v>598</v>
      </c>
      <c r="AE22" s="1562" t="s">
        <v>599</v>
      </c>
      <c r="AF22" s="1562" t="s">
        <v>403</v>
      </c>
      <c r="AG22" s="1562" t="s">
        <v>401</v>
      </c>
      <c r="AH22" s="1563" t="s">
        <v>232</v>
      </c>
      <c r="AI22" s="1562" t="s">
        <v>402</v>
      </c>
      <c r="AJ22" s="1560" t="s">
        <v>404</v>
      </c>
      <c r="AK22" s="1560" t="s">
        <v>407</v>
      </c>
      <c r="AL22" s="1562" t="s">
        <v>405</v>
      </c>
      <c r="AM22" s="1562" t="s">
        <v>409</v>
      </c>
      <c r="AN22" s="1562" t="s">
        <v>598</v>
      </c>
      <c r="AO22" s="1562" t="s">
        <v>599</v>
      </c>
      <c r="AP22" s="1562" t="s">
        <v>403</v>
      </c>
      <c r="AQ22" s="1564" t="s">
        <v>401</v>
      </c>
      <c r="AR22" s="1565" t="s">
        <v>232</v>
      </c>
      <c r="AS22" s="1559" t="s">
        <v>402</v>
      </c>
      <c r="AT22" s="1560" t="s">
        <v>404</v>
      </c>
      <c r="AU22" s="1562" t="s">
        <v>407</v>
      </c>
      <c r="AV22" s="1562" t="s">
        <v>405</v>
      </c>
      <c r="AW22" s="1562" t="s">
        <v>409</v>
      </c>
      <c r="AX22" s="1562" t="s">
        <v>598</v>
      </c>
      <c r="AY22" s="1562" t="s">
        <v>599</v>
      </c>
      <c r="AZ22" s="1562" t="s">
        <v>403</v>
      </c>
      <c r="BA22" s="1564" t="s">
        <v>401</v>
      </c>
      <c r="BB22" s="1566" t="s">
        <v>232</v>
      </c>
      <c r="BC22" s="1567" t="s">
        <v>402</v>
      </c>
      <c r="BD22" s="1562" t="s">
        <v>404</v>
      </c>
      <c r="BE22" s="1562" t="s">
        <v>407</v>
      </c>
      <c r="BF22" s="1562" t="s">
        <v>405</v>
      </c>
      <c r="BG22" s="1562" t="s">
        <v>409</v>
      </c>
      <c r="BH22" s="1562" t="s">
        <v>598</v>
      </c>
      <c r="BI22" s="1562" t="s">
        <v>599</v>
      </c>
      <c r="BJ22" s="1562" t="s">
        <v>403</v>
      </c>
      <c r="BK22" s="1564" t="s">
        <v>401</v>
      </c>
      <c r="BL22" s="1566" t="s">
        <v>232</v>
      </c>
      <c r="BM22" s="1567" t="s">
        <v>402</v>
      </c>
      <c r="BN22" s="1562" t="s">
        <v>404</v>
      </c>
      <c r="BO22" s="1562" t="s">
        <v>407</v>
      </c>
      <c r="BP22" s="1562" t="s">
        <v>405</v>
      </c>
      <c r="BQ22" s="1562" t="s">
        <v>409</v>
      </c>
      <c r="BR22" s="1562" t="s">
        <v>598</v>
      </c>
      <c r="BS22" s="1562" t="s">
        <v>599</v>
      </c>
      <c r="BT22" s="1562" t="s">
        <v>403</v>
      </c>
      <c r="BU22" s="1564" t="s">
        <v>401</v>
      </c>
      <c r="BV22" s="1566" t="s">
        <v>232</v>
      </c>
      <c r="BW22" s="1567" t="s">
        <v>402</v>
      </c>
      <c r="BX22" s="1562" t="s">
        <v>404</v>
      </c>
      <c r="BY22" s="1562" t="s">
        <v>407</v>
      </c>
      <c r="BZ22" s="1562" t="s">
        <v>405</v>
      </c>
      <c r="CA22" s="1562" t="s">
        <v>409</v>
      </c>
      <c r="CB22" s="1562" t="s">
        <v>598</v>
      </c>
      <c r="CC22" s="1562" t="s">
        <v>599</v>
      </c>
      <c r="CD22" s="1562" t="s">
        <v>403</v>
      </c>
      <c r="CE22" s="1564" t="s">
        <v>401</v>
      </c>
      <c r="CF22" s="1566" t="s">
        <v>232</v>
      </c>
      <c r="CG22" s="1567" t="s">
        <v>402</v>
      </c>
      <c r="CH22" s="1562" t="s">
        <v>404</v>
      </c>
      <c r="CI22" s="1562" t="s">
        <v>407</v>
      </c>
      <c r="CJ22" s="1562" t="s">
        <v>405</v>
      </c>
      <c r="CK22" s="1562" t="s">
        <v>409</v>
      </c>
      <c r="CL22" s="1562" t="s">
        <v>598</v>
      </c>
      <c r="CM22" s="1562" t="s">
        <v>599</v>
      </c>
      <c r="CN22" s="1562" t="s">
        <v>403</v>
      </c>
      <c r="CO22" s="1564" t="s">
        <v>401</v>
      </c>
      <c r="CP22" s="1566" t="s">
        <v>232</v>
      </c>
    </row>
    <row r="23" spans="1:94" s="1568" customFormat="1" ht="13" x14ac:dyDescent="0.2">
      <c r="A23" s="1526"/>
      <c r="B23" s="1546"/>
      <c r="C23" s="1546"/>
      <c r="D23" s="1281" t="s">
        <v>600</v>
      </c>
      <c r="E23" s="1569">
        <v>492248</v>
      </c>
      <c r="F23" s="1523">
        <v>165328</v>
      </c>
      <c r="G23" s="1523">
        <v>368316</v>
      </c>
      <c r="H23" s="1523">
        <v>573040</v>
      </c>
      <c r="I23" s="1523">
        <v>379783</v>
      </c>
      <c r="J23" s="1523">
        <v>219920</v>
      </c>
      <c r="K23" s="1523">
        <v>234505</v>
      </c>
      <c r="L23" s="1523">
        <v>71721</v>
      </c>
      <c r="M23" s="1523">
        <v>245996</v>
      </c>
      <c r="N23" s="1569">
        <v>2750857</v>
      </c>
      <c r="O23" s="1569">
        <v>509612</v>
      </c>
      <c r="P23" s="1523">
        <v>172103</v>
      </c>
      <c r="Q23" s="1523">
        <v>424892</v>
      </c>
      <c r="R23" s="1523">
        <v>590959</v>
      </c>
      <c r="S23" s="1523">
        <v>395264</v>
      </c>
      <c r="T23" s="1523">
        <v>227239</v>
      </c>
      <c r="U23" s="1523">
        <v>217274</v>
      </c>
      <c r="V23" s="1523">
        <v>74919</v>
      </c>
      <c r="W23" s="1523">
        <v>260935</v>
      </c>
      <c r="X23" s="1569">
        <v>2873197</v>
      </c>
      <c r="Y23" s="1569">
        <v>516952</v>
      </c>
      <c r="Z23" s="1523">
        <v>176973</v>
      </c>
      <c r="AA23" s="1523">
        <v>449843</v>
      </c>
      <c r="AB23" s="1523">
        <v>611625</v>
      </c>
      <c r="AC23" s="1523">
        <v>421053</v>
      </c>
      <c r="AD23" s="1523">
        <v>217045</v>
      </c>
      <c r="AE23" s="1523">
        <v>224898</v>
      </c>
      <c r="AF23" s="1523">
        <v>77081</v>
      </c>
      <c r="AG23" s="1523">
        <v>274463</v>
      </c>
      <c r="AH23" s="1570">
        <v>2969933</v>
      </c>
      <c r="AI23" s="1571">
        <v>528291</v>
      </c>
      <c r="AJ23" s="1523">
        <v>182314</v>
      </c>
      <c r="AK23" s="1523">
        <v>482168</v>
      </c>
      <c r="AL23" s="1523">
        <v>631713</v>
      </c>
      <c r="AM23" s="1523">
        <v>430368</v>
      </c>
      <c r="AN23" s="1523">
        <v>226625</v>
      </c>
      <c r="AO23" s="1523">
        <v>233547</v>
      </c>
      <c r="AP23" s="1523">
        <v>79080</v>
      </c>
      <c r="AQ23" s="1523">
        <v>292745</v>
      </c>
      <c r="AR23" s="1570">
        <v>3086851</v>
      </c>
      <c r="AS23" s="1523">
        <v>537250</v>
      </c>
      <c r="AT23" s="1523">
        <v>187887</v>
      </c>
      <c r="AU23" s="1571">
        <v>514733</v>
      </c>
      <c r="AV23" s="1523">
        <v>649094</v>
      </c>
      <c r="AW23" s="1523">
        <v>441175</v>
      </c>
      <c r="AX23" s="1571">
        <v>234576</v>
      </c>
      <c r="AY23" s="1523">
        <v>240084</v>
      </c>
      <c r="AZ23" s="1523">
        <v>81241</v>
      </c>
      <c r="BA23" s="1572">
        <v>308047</v>
      </c>
      <c r="BB23" s="1573">
        <v>3194087</v>
      </c>
      <c r="BC23" s="1523">
        <v>548933</v>
      </c>
      <c r="BD23" s="1523">
        <v>193804</v>
      </c>
      <c r="BE23" s="1571">
        <v>548422</v>
      </c>
      <c r="BF23" s="1523">
        <v>662767</v>
      </c>
      <c r="BG23" s="1523">
        <v>451691</v>
      </c>
      <c r="BH23" s="1571">
        <v>241271</v>
      </c>
      <c r="BI23" s="1523">
        <v>247703</v>
      </c>
      <c r="BJ23" s="1523">
        <v>83914</v>
      </c>
      <c r="BK23" s="1572">
        <v>323697</v>
      </c>
      <c r="BL23" s="1573">
        <v>3302202</v>
      </c>
      <c r="BM23" s="1523">
        <v>563424</v>
      </c>
      <c r="BN23" s="1523">
        <v>199775</v>
      </c>
      <c r="BO23" s="1571">
        <v>585280</v>
      </c>
      <c r="BP23" s="1523">
        <v>680826</v>
      </c>
      <c r="BQ23" s="1523">
        <v>462498</v>
      </c>
      <c r="BR23" s="1571">
        <v>249651</v>
      </c>
      <c r="BS23" s="1523">
        <v>256415</v>
      </c>
      <c r="BT23" s="1523">
        <v>86409</v>
      </c>
      <c r="BU23" s="1572">
        <v>339059</v>
      </c>
      <c r="BV23" s="1573">
        <v>3423337</v>
      </c>
      <c r="BW23" s="1523">
        <v>581489</v>
      </c>
      <c r="BX23" s="1573">
        <v>206444</v>
      </c>
      <c r="BY23" s="1573">
        <v>620417</v>
      </c>
      <c r="BZ23" s="1573">
        <v>705290</v>
      </c>
      <c r="CA23" s="1573">
        <v>474289</v>
      </c>
      <c r="CB23" s="1573">
        <v>257160</v>
      </c>
      <c r="CC23" s="1573">
        <v>264790</v>
      </c>
      <c r="CD23" s="1573">
        <v>89126</v>
      </c>
      <c r="CE23" s="1573">
        <v>354312</v>
      </c>
      <c r="CF23" s="1573">
        <v>3553317</v>
      </c>
      <c r="CG23" s="1523">
        <v>594585</v>
      </c>
      <c r="CH23" s="1523">
        <v>213002</v>
      </c>
      <c r="CI23" s="1571">
        <v>659215</v>
      </c>
      <c r="CJ23" s="1523">
        <v>726994</v>
      </c>
      <c r="CK23" s="1523">
        <v>483976</v>
      </c>
      <c r="CL23" s="1571">
        <v>263950</v>
      </c>
      <c r="CM23" s="1523">
        <v>273753</v>
      </c>
      <c r="CN23" s="1523">
        <v>91826</v>
      </c>
      <c r="CO23" s="1572">
        <v>369490</v>
      </c>
      <c r="CP23" s="1573">
        <v>3676791</v>
      </c>
    </row>
    <row r="24" spans="1:94" s="1529" customFormat="1" x14ac:dyDescent="0.35">
      <c r="A24" s="1526"/>
      <c r="B24" s="1546"/>
      <c r="C24" s="1546"/>
      <c r="D24" s="1281" t="s">
        <v>601</v>
      </c>
      <c r="E24" s="1569">
        <v>101</v>
      </c>
      <c r="F24" s="1523">
        <v>14</v>
      </c>
      <c r="G24" s="1523">
        <v>171</v>
      </c>
      <c r="H24" s="1523">
        <v>109</v>
      </c>
      <c r="I24" s="1523">
        <v>59</v>
      </c>
      <c r="J24" s="1523">
        <v>34</v>
      </c>
      <c r="K24" s="1523">
        <v>26</v>
      </c>
      <c r="L24" s="1523">
        <v>26</v>
      </c>
      <c r="M24" s="1523">
        <v>213</v>
      </c>
      <c r="N24" s="1569">
        <v>753</v>
      </c>
      <c r="O24" s="1569">
        <v>76</v>
      </c>
      <c r="P24" s="1523">
        <v>8</v>
      </c>
      <c r="Q24" s="1523">
        <v>147</v>
      </c>
      <c r="R24" s="1523">
        <v>86</v>
      </c>
      <c r="S24" s="1523">
        <v>47</v>
      </c>
      <c r="T24" s="1523">
        <v>27</v>
      </c>
      <c r="U24" s="1523">
        <v>19</v>
      </c>
      <c r="V24" s="1523">
        <v>17</v>
      </c>
      <c r="W24" s="1523">
        <v>160</v>
      </c>
      <c r="X24" s="1569">
        <v>587</v>
      </c>
      <c r="Y24" s="1569">
        <v>62</v>
      </c>
      <c r="Z24" s="1523">
        <v>6</v>
      </c>
      <c r="AA24" s="1523">
        <v>109</v>
      </c>
      <c r="AB24" s="1523">
        <v>58</v>
      </c>
      <c r="AC24" s="1523">
        <v>29</v>
      </c>
      <c r="AD24" s="1523">
        <v>17</v>
      </c>
      <c r="AE24" s="1523">
        <v>16</v>
      </c>
      <c r="AF24" s="1523">
        <v>12</v>
      </c>
      <c r="AG24" s="1523">
        <v>120</v>
      </c>
      <c r="AH24" s="1570">
        <v>429</v>
      </c>
      <c r="AI24" s="1571">
        <v>47</v>
      </c>
      <c r="AJ24" s="1523">
        <v>5</v>
      </c>
      <c r="AK24" s="1523">
        <v>89</v>
      </c>
      <c r="AL24" s="1523">
        <v>38</v>
      </c>
      <c r="AM24" s="1523">
        <v>21</v>
      </c>
      <c r="AN24" s="1523">
        <v>14</v>
      </c>
      <c r="AO24" s="1523">
        <v>11</v>
      </c>
      <c r="AP24" s="1523">
        <v>9</v>
      </c>
      <c r="AQ24" s="1523">
        <v>92</v>
      </c>
      <c r="AR24" s="1570">
        <v>326</v>
      </c>
      <c r="AS24" s="1523">
        <v>40</v>
      </c>
      <c r="AT24" s="1523">
        <v>2</v>
      </c>
      <c r="AU24" s="1571">
        <v>66</v>
      </c>
      <c r="AV24" s="1523">
        <v>30</v>
      </c>
      <c r="AW24" s="1523">
        <v>14</v>
      </c>
      <c r="AX24" s="1571">
        <v>13</v>
      </c>
      <c r="AY24" s="1523">
        <v>6</v>
      </c>
      <c r="AZ24" s="1523">
        <v>8</v>
      </c>
      <c r="BA24" s="1572">
        <v>66</v>
      </c>
      <c r="BB24" s="1573">
        <v>245</v>
      </c>
      <c r="BC24" s="1523">
        <v>29</v>
      </c>
      <c r="BD24" s="1523">
        <v>1</v>
      </c>
      <c r="BE24" s="1571">
        <v>55</v>
      </c>
      <c r="BF24" s="1523">
        <v>23</v>
      </c>
      <c r="BG24" s="1523">
        <v>7</v>
      </c>
      <c r="BH24" s="1571">
        <v>4</v>
      </c>
      <c r="BI24" s="1523">
        <v>3</v>
      </c>
      <c r="BJ24" s="1523">
        <v>4</v>
      </c>
      <c r="BK24" s="1572">
        <v>50</v>
      </c>
      <c r="BL24" s="1573">
        <v>176</v>
      </c>
      <c r="BM24" s="1523">
        <v>21</v>
      </c>
      <c r="BN24" s="1523">
        <v>1</v>
      </c>
      <c r="BO24" s="1571">
        <v>47</v>
      </c>
      <c r="BP24" s="1523">
        <v>15</v>
      </c>
      <c r="BQ24" s="1523">
        <v>3</v>
      </c>
      <c r="BR24" s="1571">
        <v>3</v>
      </c>
      <c r="BS24" s="1523">
        <v>2</v>
      </c>
      <c r="BT24" s="1523">
        <v>3</v>
      </c>
      <c r="BU24" s="1572">
        <v>39</v>
      </c>
      <c r="BV24" s="1573">
        <v>134</v>
      </c>
      <c r="BW24" s="1523">
        <v>14</v>
      </c>
      <c r="BX24" s="1573">
        <v>1</v>
      </c>
      <c r="BY24" s="1573">
        <v>33</v>
      </c>
      <c r="BZ24" s="1573">
        <v>9</v>
      </c>
      <c r="CA24" s="1573">
        <v>3</v>
      </c>
      <c r="CB24" s="1573">
        <v>1</v>
      </c>
      <c r="CC24" s="1573"/>
      <c r="CD24" s="1573">
        <v>3</v>
      </c>
      <c r="CE24" s="1573">
        <v>28</v>
      </c>
      <c r="CF24" s="1573">
        <v>92</v>
      </c>
      <c r="CG24" s="1523">
        <v>12</v>
      </c>
      <c r="CH24" s="1523"/>
      <c r="CI24" s="1571">
        <v>21</v>
      </c>
      <c r="CJ24" s="1523">
        <v>6</v>
      </c>
      <c r="CK24" s="1523">
        <v>2</v>
      </c>
      <c r="CL24" s="1571">
        <v>1</v>
      </c>
      <c r="CM24" s="1523">
        <v>1</v>
      </c>
      <c r="CN24" s="1523">
        <v>1</v>
      </c>
      <c r="CO24" s="1572">
        <v>18</v>
      </c>
      <c r="CP24" s="1573">
        <v>62</v>
      </c>
    </row>
    <row r="25" spans="1:94" s="1529" customFormat="1" x14ac:dyDescent="0.35">
      <c r="A25" s="1526"/>
      <c r="B25" s="1546"/>
      <c r="C25" s="1546"/>
      <c r="D25" s="1281" t="s">
        <v>583</v>
      </c>
      <c r="E25" s="1569">
        <v>190620</v>
      </c>
      <c r="F25" s="1523">
        <v>95760</v>
      </c>
      <c r="G25" s="1523">
        <v>120838</v>
      </c>
      <c r="H25" s="1523">
        <v>325459</v>
      </c>
      <c r="I25" s="1523">
        <v>88040</v>
      </c>
      <c r="J25" s="1523">
        <v>82084</v>
      </c>
      <c r="K25" s="1523">
        <v>89784</v>
      </c>
      <c r="L25" s="1523">
        <v>47920</v>
      </c>
      <c r="M25" s="1523">
        <v>157626</v>
      </c>
      <c r="N25" s="1569">
        <v>1198131</v>
      </c>
      <c r="O25" s="1569">
        <v>185541</v>
      </c>
      <c r="P25" s="1523">
        <v>86310</v>
      </c>
      <c r="Q25" s="1523">
        <v>123247</v>
      </c>
      <c r="R25" s="1523">
        <v>311402</v>
      </c>
      <c r="S25" s="1523">
        <v>89155</v>
      </c>
      <c r="T25" s="1523">
        <v>80824</v>
      </c>
      <c r="U25" s="1523">
        <v>85867</v>
      </c>
      <c r="V25" s="1523">
        <v>50012</v>
      </c>
      <c r="W25" s="1523">
        <v>151834</v>
      </c>
      <c r="X25" s="1569">
        <v>1164192</v>
      </c>
      <c r="Y25" s="1569">
        <v>179712</v>
      </c>
      <c r="Z25" s="1523">
        <v>80203</v>
      </c>
      <c r="AA25" s="1523">
        <v>112822</v>
      </c>
      <c r="AB25" s="1523">
        <v>296133</v>
      </c>
      <c r="AC25" s="1523">
        <v>91357</v>
      </c>
      <c r="AD25" s="1523">
        <v>77258</v>
      </c>
      <c r="AE25" s="1523">
        <v>85854</v>
      </c>
      <c r="AF25" s="1523">
        <v>48201</v>
      </c>
      <c r="AG25" s="1523">
        <v>148879</v>
      </c>
      <c r="AH25" s="1570">
        <v>1120419</v>
      </c>
      <c r="AI25" s="1571">
        <v>182479</v>
      </c>
      <c r="AJ25" s="1523">
        <v>75526</v>
      </c>
      <c r="AK25" s="1523">
        <v>106015</v>
      </c>
      <c r="AL25" s="1523">
        <v>284574</v>
      </c>
      <c r="AM25" s="1523">
        <v>93428</v>
      </c>
      <c r="AN25" s="1523">
        <v>78487</v>
      </c>
      <c r="AO25" s="1523">
        <v>85517</v>
      </c>
      <c r="AP25" s="1523">
        <v>50787</v>
      </c>
      <c r="AQ25" s="1523">
        <v>155850</v>
      </c>
      <c r="AR25" s="1570">
        <v>1112663</v>
      </c>
      <c r="AS25" s="1523">
        <v>181263</v>
      </c>
      <c r="AT25" s="1542">
        <v>73915</v>
      </c>
      <c r="AU25" s="1574">
        <v>111438</v>
      </c>
      <c r="AV25" s="1542">
        <v>262512</v>
      </c>
      <c r="AW25" s="1542">
        <v>95658</v>
      </c>
      <c r="AX25" s="1574">
        <v>77577</v>
      </c>
      <c r="AY25" s="1542">
        <v>82305</v>
      </c>
      <c r="AZ25" s="1542">
        <v>49580</v>
      </c>
      <c r="BA25" s="1572">
        <v>151293</v>
      </c>
      <c r="BB25" s="1575">
        <v>1085541</v>
      </c>
      <c r="BC25" s="1523">
        <v>181491</v>
      </c>
      <c r="BD25" s="1542">
        <v>74788</v>
      </c>
      <c r="BE25" s="1574">
        <v>114088</v>
      </c>
      <c r="BF25" s="1542">
        <v>242412</v>
      </c>
      <c r="BG25" s="1542">
        <v>94470</v>
      </c>
      <c r="BH25" s="1574">
        <v>76921</v>
      </c>
      <c r="BI25" s="1542">
        <v>77245</v>
      </c>
      <c r="BJ25" s="1542">
        <v>50386</v>
      </c>
      <c r="BK25" s="1576">
        <v>155375</v>
      </c>
      <c r="BL25" s="1575">
        <v>1067176</v>
      </c>
      <c r="BM25" s="1523">
        <v>181856</v>
      </c>
      <c r="BN25" s="1542">
        <v>74635</v>
      </c>
      <c r="BO25" s="1574">
        <v>117069</v>
      </c>
      <c r="BP25" s="1542">
        <v>235297</v>
      </c>
      <c r="BQ25" s="1542">
        <v>96020</v>
      </c>
      <c r="BR25" s="1574">
        <v>78251</v>
      </c>
      <c r="BS25" s="1542">
        <v>73535</v>
      </c>
      <c r="BT25" s="1542">
        <v>50369</v>
      </c>
      <c r="BU25" s="1572">
        <v>154834</v>
      </c>
      <c r="BV25" s="1575">
        <v>1061866</v>
      </c>
      <c r="BW25" s="1523">
        <v>182393</v>
      </c>
      <c r="BX25" s="1575">
        <v>74047</v>
      </c>
      <c r="BY25" s="1575">
        <v>116710</v>
      </c>
      <c r="BZ25" s="1575">
        <v>228743</v>
      </c>
      <c r="CA25" s="1575">
        <v>96729</v>
      </c>
      <c r="CB25" s="1575">
        <v>78308</v>
      </c>
      <c r="CC25" s="1575">
        <v>67149</v>
      </c>
      <c r="CD25" s="1575">
        <v>48572</v>
      </c>
      <c r="CE25" s="1575">
        <v>155604</v>
      </c>
      <c r="CF25" s="1575">
        <v>1048255</v>
      </c>
      <c r="CG25" s="1523">
        <v>179453</v>
      </c>
      <c r="CH25" s="1542">
        <v>74810</v>
      </c>
      <c r="CI25" s="1574">
        <v>119582</v>
      </c>
      <c r="CJ25" s="1542">
        <v>226891</v>
      </c>
      <c r="CK25" s="1542">
        <v>97188</v>
      </c>
      <c r="CL25" s="1574">
        <v>78010</v>
      </c>
      <c r="CM25" s="1542">
        <v>65357</v>
      </c>
      <c r="CN25" s="1542">
        <v>46675</v>
      </c>
      <c r="CO25" s="1572">
        <v>154059</v>
      </c>
      <c r="CP25" s="1575">
        <v>1042025</v>
      </c>
    </row>
    <row r="26" spans="1:94" s="1529" customFormat="1" x14ac:dyDescent="0.35">
      <c r="A26" s="1526"/>
      <c r="B26" s="1546"/>
      <c r="C26" s="1546"/>
      <c r="D26" s="1577" t="s">
        <v>602</v>
      </c>
      <c r="E26" s="1578">
        <v>182989</v>
      </c>
      <c r="F26" s="1579">
        <v>72699</v>
      </c>
      <c r="G26" s="1579">
        <v>96038</v>
      </c>
      <c r="H26" s="1579">
        <v>244738</v>
      </c>
      <c r="I26" s="1579">
        <v>71883</v>
      </c>
      <c r="J26" s="1579">
        <v>65764</v>
      </c>
      <c r="K26" s="1579">
        <v>73328</v>
      </c>
      <c r="L26" s="1579">
        <v>36348</v>
      </c>
      <c r="M26" s="1579">
        <v>111815</v>
      </c>
      <c r="N26" s="1580">
        <v>955602</v>
      </c>
      <c r="O26" s="1578">
        <v>179088</v>
      </c>
      <c r="P26" s="1579">
        <v>69381</v>
      </c>
      <c r="Q26" s="1579">
        <v>100269</v>
      </c>
      <c r="R26" s="1579">
        <v>241000</v>
      </c>
      <c r="S26" s="1579">
        <v>73148</v>
      </c>
      <c r="T26" s="1579">
        <v>65906</v>
      </c>
      <c r="U26" s="1579">
        <v>70186</v>
      </c>
      <c r="V26" s="1579">
        <v>36451</v>
      </c>
      <c r="W26" s="1579">
        <v>112513</v>
      </c>
      <c r="X26" s="1580">
        <v>947942</v>
      </c>
      <c r="Y26" s="1578">
        <v>173429</v>
      </c>
      <c r="Z26" s="1579">
        <v>64332</v>
      </c>
      <c r="AA26" s="1579">
        <v>87136</v>
      </c>
      <c r="AB26" s="1579">
        <v>228690</v>
      </c>
      <c r="AC26" s="1579">
        <v>74846</v>
      </c>
      <c r="AD26" s="1579">
        <v>63202</v>
      </c>
      <c r="AE26" s="1579">
        <v>68581</v>
      </c>
      <c r="AF26" s="1579">
        <v>33009</v>
      </c>
      <c r="AG26" s="1579">
        <v>113734</v>
      </c>
      <c r="AH26" s="1581">
        <v>906959</v>
      </c>
      <c r="AI26" s="1578">
        <v>174036</v>
      </c>
      <c r="AJ26" s="1579">
        <v>62627</v>
      </c>
      <c r="AK26" s="1579">
        <v>78902</v>
      </c>
      <c r="AL26" s="1579">
        <v>221927</v>
      </c>
      <c r="AM26" s="1579">
        <v>76877</v>
      </c>
      <c r="AN26" s="1579">
        <v>64365</v>
      </c>
      <c r="AO26" s="1579">
        <v>68471</v>
      </c>
      <c r="AP26" s="1579">
        <v>34277</v>
      </c>
      <c r="AQ26" s="1579">
        <v>115396</v>
      </c>
      <c r="AR26" s="1582">
        <v>896878</v>
      </c>
      <c r="AS26" s="1579">
        <v>172922</v>
      </c>
      <c r="AT26" s="1572">
        <v>62052</v>
      </c>
      <c r="AU26" s="1583">
        <v>82572</v>
      </c>
      <c r="AV26" s="1572">
        <v>209914</v>
      </c>
      <c r="AW26" s="1583">
        <v>78053</v>
      </c>
      <c r="AX26" s="1572">
        <v>63846</v>
      </c>
      <c r="AY26" s="1583">
        <v>65200</v>
      </c>
      <c r="AZ26" s="1572">
        <v>34583</v>
      </c>
      <c r="BA26" s="1579">
        <v>114119</v>
      </c>
      <c r="BB26" s="1584">
        <v>883261</v>
      </c>
      <c r="BC26" s="1579">
        <v>172945</v>
      </c>
      <c r="BD26" s="1572">
        <v>61916</v>
      </c>
      <c r="BE26" s="1583">
        <v>84540</v>
      </c>
      <c r="BF26" s="1572">
        <v>199979</v>
      </c>
      <c r="BG26" s="1583">
        <v>77585</v>
      </c>
      <c r="BH26" s="1572">
        <v>64692</v>
      </c>
      <c r="BI26" s="1583">
        <v>62146</v>
      </c>
      <c r="BJ26" s="1572">
        <v>35286</v>
      </c>
      <c r="BK26" s="1583">
        <v>112966</v>
      </c>
      <c r="BL26" s="1584">
        <v>872055</v>
      </c>
      <c r="BM26" s="1523">
        <v>172652</v>
      </c>
      <c r="BN26" s="1572">
        <v>61512</v>
      </c>
      <c r="BO26" s="1583">
        <v>85601</v>
      </c>
      <c r="BP26" s="1572">
        <v>195570</v>
      </c>
      <c r="BQ26" s="1583">
        <v>77600</v>
      </c>
      <c r="BR26" s="1572">
        <v>65393</v>
      </c>
      <c r="BS26" s="1572">
        <v>58956</v>
      </c>
      <c r="BT26" s="1583">
        <v>37128</v>
      </c>
      <c r="BU26" s="1579">
        <v>111013</v>
      </c>
      <c r="BV26" s="1584">
        <v>865425</v>
      </c>
      <c r="BW26" s="1579">
        <v>169668</v>
      </c>
      <c r="BX26" s="1579">
        <v>60314</v>
      </c>
      <c r="BY26" s="1579">
        <v>85493</v>
      </c>
      <c r="BZ26" s="1579">
        <v>190349</v>
      </c>
      <c r="CA26" s="1579">
        <v>76673</v>
      </c>
      <c r="CB26" s="1579">
        <v>64432</v>
      </c>
      <c r="CC26" s="1579">
        <v>55768</v>
      </c>
      <c r="CD26" s="1579">
        <v>36618</v>
      </c>
      <c r="CE26" s="1579">
        <v>109621</v>
      </c>
      <c r="CF26" s="1579">
        <v>848936</v>
      </c>
      <c r="CG26" s="1579">
        <v>168743</v>
      </c>
      <c r="CH26" s="1572">
        <v>60503</v>
      </c>
      <c r="CI26" s="1583">
        <v>86041</v>
      </c>
      <c r="CJ26" s="1572">
        <v>186227</v>
      </c>
      <c r="CK26" s="1583">
        <v>76346</v>
      </c>
      <c r="CL26" s="1572">
        <v>64768</v>
      </c>
      <c r="CM26" s="1583">
        <v>53365</v>
      </c>
      <c r="CN26" s="1572">
        <v>35343</v>
      </c>
      <c r="CO26" s="1579">
        <v>107374</v>
      </c>
      <c r="CP26" s="1584">
        <v>838710</v>
      </c>
    </row>
    <row r="27" spans="1:94" s="1529" customFormat="1" x14ac:dyDescent="0.35">
      <c r="A27" s="1526"/>
      <c r="B27" s="1546"/>
      <c r="C27" s="1546"/>
      <c r="D27" s="1585" t="s">
        <v>603</v>
      </c>
      <c r="E27" s="1586">
        <v>7631</v>
      </c>
      <c r="F27" s="1587">
        <v>23061</v>
      </c>
      <c r="G27" s="1587">
        <v>24800</v>
      </c>
      <c r="H27" s="1587">
        <v>80721</v>
      </c>
      <c r="I27" s="1587">
        <v>16157</v>
      </c>
      <c r="J27" s="1587">
        <v>16320</v>
      </c>
      <c r="K27" s="1587">
        <v>16456</v>
      </c>
      <c r="L27" s="1587">
        <v>11572</v>
      </c>
      <c r="M27" s="1587">
        <v>45811</v>
      </c>
      <c r="N27" s="1574">
        <v>242529</v>
      </c>
      <c r="O27" s="1586">
        <v>6453</v>
      </c>
      <c r="P27" s="1587">
        <v>16929</v>
      </c>
      <c r="Q27" s="1587">
        <v>22978</v>
      </c>
      <c r="R27" s="1587">
        <v>70402</v>
      </c>
      <c r="S27" s="1587">
        <v>16007</v>
      </c>
      <c r="T27" s="1587">
        <v>14918</v>
      </c>
      <c r="U27" s="1587">
        <v>15681</v>
      </c>
      <c r="V27" s="1587">
        <v>13561</v>
      </c>
      <c r="W27" s="1587">
        <v>39321</v>
      </c>
      <c r="X27" s="1574">
        <v>216250</v>
      </c>
      <c r="Y27" s="1586">
        <v>6283</v>
      </c>
      <c r="Z27" s="1587">
        <v>15871</v>
      </c>
      <c r="AA27" s="1587">
        <v>25686</v>
      </c>
      <c r="AB27" s="1587">
        <v>67443</v>
      </c>
      <c r="AC27" s="1587">
        <v>16511</v>
      </c>
      <c r="AD27" s="1587">
        <v>14056</v>
      </c>
      <c r="AE27" s="1587">
        <v>17273</v>
      </c>
      <c r="AF27" s="1587">
        <v>15192</v>
      </c>
      <c r="AG27" s="1587">
        <v>35145</v>
      </c>
      <c r="AH27" s="1570">
        <v>213460</v>
      </c>
      <c r="AI27" s="1586">
        <v>8443</v>
      </c>
      <c r="AJ27" s="1587">
        <v>12899</v>
      </c>
      <c r="AK27" s="1587">
        <v>27113</v>
      </c>
      <c r="AL27" s="1587">
        <v>62647</v>
      </c>
      <c r="AM27" s="1587">
        <v>16551</v>
      </c>
      <c r="AN27" s="1587">
        <v>14122</v>
      </c>
      <c r="AO27" s="1587">
        <v>17046</v>
      </c>
      <c r="AP27" s="1587">
        <v>16510</v>
      </c>
      <c r="AQ27" s="1587">
        <v>40454</v>
      </c>
      <c r="AR27" s="1576">
        <v>215785</v>
      </c>
      <c r="AS27" s="1587">
        <v>8341</v>
      </c>
      <c r="AT27" s="1576">
        <v>11863</v>
      </c>
      <c r="AU27" s="1587">
        <v>28866</v>
      </c>
      <c r="AV27" s="1576">
        <v>52598</v>
      </c>
      <c r="AW27" s="1587">
        <v>17605</v>
      </c>
      <c r="AX27" s="1576">
        <v>13731</v>
      </c>
      <c r="AY27" s="1587">
        <v>17105</v>
      </c>
      <c r="AZ27" s="1576">
        <v>14997</v>
      </c>
      <c r="BA27" s="1587">
        <v>37174</v>
      </c>
      <c r="BB27" s="1588">
        <v>202280</v>
      </c>
      <c r="BC27" s="1587">
        <v>8546</v>
      </c>
      <c r="BD27" s="1576">
        <v>12872</v>
      </c>
      <c r="BE27" s="1587">
        <v>29548</v>
      </c>
      <c r="BF27" s="1576">
        <v>42433</v>
      </c>
      <c r="BG27" s="1587">
        <v>16885</v>
      </c>
      <c r="BH27" s="1576">
        <v>12229</v>
      </c>
      <c r="BI27" s="1587">
        <v>15099</v>
      </c>
      <c r="BJ27" s="1576">
        <v>15100</v>
      </c>
      <c r="BK27" s="1587">
        <v>42409</v>
      </c>
      <c r="BL27" s="1588">
        <v>195121</v>
      </c>
      <c r="BM27" s="1589">
        <v>9204</v>
      </c>
      <c r="BN27" s="1576">
        <v>13123</v>
      </c>
      <c r="BO27" s="1587">
        <v>31468</v>
      </c>
      <c r="BP27" s="1576">
        <v>39727</v>
      </c>
      <c r="BQ27" s="1587">
        <v>18420</v>
      </c>
      <c r="BR27" s="1576">
        <v>12858</v>
      </c>
      <c r="BS27" s="1576">
        <v>14579</v>
      </c>
      <c r="BT27" s="1587">
        <v>13241</v>
      </c>
      <c r="BU27" s="1587">
        <v>43821</v>
      </c>
      <c r="BV27" s="1588">
        <v>196441</v>
      </c>
      <c r="BW27" s="1587">
        <v>12725</v>
      </c>
      <c r="BX27" s="1587">
        <v>13733</v>
      </c>
      <c r="BY27" s="1587">
        <v>31217</v>
      </c>
      <c r="BZ27" s="1587">
        <v>38394</v>
      </c>
      <c r="CA27" s="1587">
        <v>20056</v>
      </c>
      <c r="CB27" s="1587">
        <v>13876</v>
      </c>
      <c r="CC27" s="1587">
        <v>11381</v>
      </c>
      <c r="CD27" s="1587">
        <v>11954</v>
      </c>
      <c r="CE27" s="1587">
        <v>45983</v>
      </c>
      <c r="CF27" s="1587">
        <v>199319</v>
      </c>
      <c r="CG27" s="1587">
        <v>10710</v>
      </c>
      <c r="CH27" s="1576">
        <v>14307</v>
      </c>
      <c r="CI27" s="1587">
        <v>33541</v>
      </c>
      <c r="CJ27" s="1576">
        <v>40664</v>
      </c>
      <c r="CK27" s="1587">
        <v>20842</v>
      </c>
      <c r="CL27" s="1576">
        <v>13242</v>
      </c>
      <c r="CM27" s="1587">
        <v>11992</v>
      </c>
      <c r="CN27" s="1576">
        <v>11332</v>
      </c>
      <c r="CO27" s="1587">
        <v>46685</v>
      </c>
      <c r="CP27" s="1588">
        <v>203315</v>
      </c>
    </row>
    <row r="28" spans="1:94" s="1529" customFormat="1" x14ac:dyDescent="0.35">
      <c r="A28" s="1526"/>
      <c r="B28" s="1546"/>
      <c r="C28" s="1546"/>
      <c r="D28" s="1281" t="s">
        <v>604</v>
      </c>
      <c r="E28" s="1569">
        <v>8488</v>
      </c>
      <c r="F28" s="1523">
        <v>1035</v>
      </c>
      <c r="G28" s="1523">
        <v>1297</v>
      </c>
      <c r="H28" s="1523">
        <v>28077</v>
      </c>
      <c r="I28" s="1523">
        <v>8895</v>
      </c>
      <c r="J28" s="1523">
        <v>2185</v>
      </c>
      <c r="K28" s="1523">
        <v>3376</v>
      </c>
      <c r="L28" s="1523">
        <v>4092</v>
      </c>
      <c r="M28" s="1523">
        <v>9048</v>
      </c>
      <c r="N28" s="1569">
        <v>66493</v>
      </c>
      <c r="O28" s="1569">
        <v>9545</v>
      </c>
      <c r="P28" s="1523">
        <v>1199</v>
      </c>
      <c r="Q28" s="1523">
        <v>1655</v>
      </c>
      <c r="R28" s="1523">
        <v>29190</v>
      </c>
      <c r="S28" s="1523">
        <v>11321</v>
      </c>
      <c r="T28" s="1523">
        <v>2883</v>
      </c>
      <c r="U28" s="1523">
        <v>4092</v>
      </c>
      <c r="V28" s="1523">
        <v>4214</v>
      </c>
      <c r="W28" s="1523">
        <v>9620</v>
      </c>
      <c r="X28" s="1569">
        <v>73719</v>
      </c>
      <c r="Y28" s="1569">
        <v>12145</v>
      </c>
      <c r="Z28" s="1523">
        <v>1543</v>
      </c>
      <c r="AA28" s="1523">
        <v>2168</v>
      </c>
      <c r="AB28" s="1523">
        <v>30652</v>
      </c>
      <c r="AC28" s="1523">
        <v>13048</v>
      </c>
      <c r="AD28" s="1523">
        <v>3572</v>
      </c>
      <c r="AE28" s="1523">
        <v>5142</v>
      </c>
      <c r="AF28" s="1523">
        <v>4755</v>
      </c>
      <c r="AG28" s="1523">
        <v>10034</v>
      </c>
      <c r="AH28" s="1581">
        <v>83059</v>
      </c>
      <c r="AI28" s="1571">
        <v>16391</v>
      </c>
      <c r="AJ28" s="1523">
        <v>2095</v>
      </c>
      <c r="AK28" s="1523">
        <v>2989</v>
      </c>
      <c r="AL28" s="1523">
        <v>39333</v>
      </c>
      <c r="AM28" s="1523">
        <v>21228</v>
      </c>
      <c r="AN28" s="1523">
        <v>5154</v>
      </c>
      <c r="AO28" s="1523">
        <v>7217</v>
      </c>
      <c r="AP28" s="1523">
        <v>6587</v>
      </c>
      <c r="AQ28" s="1523">
        <v>12093</v>
      </c>
      <c r="AR28" s="1570">
        <v>113087</v>
      </c>
      <c r="AS28" s="1523">
        <v>18671</v>
      </c>
      <c r="AT28" s="1570">
        <v>2777</v>
      </c>
      <c r="AU28" s="1523">
        <v>4358</v>
      </c>
      <c r="AV28" s="1570">
        <v>47109</v>
      </c>
      <c r="AW28" s="1523">
        <v>28349</v>
      </c>
      <c r="AX28" s="1570">
        <v>7121</v>
      </c>
      <c r="AY28" s="1523">
        <v>8134</v>
      </c>
      <c r="AZ28" s="1570">
        <v>7311</v>
      </c>
      <c r="BA28" s="1523">
        <v>13976</v>
      </c>
      <c r="BB28" s="1590">
        <v>137806</v>
      </c>
      <c r="BC28" s="1523">
        <v>20540</v>
      </c>
      <c r="BD28" s="1570">
        <v>4170</v>
      </c>
      <c r="BE28" s="1523">
        <v>5466</v>
      </c>
      <c r="BF28" s="1570">
        <v>52484</v>
      </c>
      <c r="BG28" s="1523">
        <v>37145</v>
      </c>
      <c r="BH28" s="1570">
        <v>10262</v>
      </c>
      <c r="BI28" s="1570">
        <v>9392</v>
      </c>
      <c r="BJ28" s="1523">
        <v>8761</v>
      </c>
      <c r="BK28" s="1523">
        <v>16129</v>
      </c>
      <c r="BL28" s="1590">
        <v>164349</v>
      </c>
      <c r="BM28" s="1523">
        <v>22013</v>
      </c>
      <c r="BN28" s="1570">
        <v>5758</v>
      </c>
      <c r="BO28" s="1523">
        <v>6585</v>
      </c>
      <c r="BP28" s="1570">
        <v>56314</v>
      </c>
      <c r="BQ28" s="1523">
        <v>44496</v>
      </c>
      <c r="BR28" s="1570">
        <v>16162</v>
      </c>
      <c r="BS28" s="1570">
        <v>11110</v>
      </c>
      <c r="BT28" s="1523">
        <v>10715</v>
      </c>
      <c r="BU28" s="1523">
        <v>18938</v>
      </c>
      <c r="BV28" s="1590">
        <v>192091</v>
      </c>
      <c r="BW28" s="1523">
        <v>25214</v>
      </c>
      <c r="BX28" s="1570">
        <v>6561</v>
      </c>
      <c r="BY28" s="1570">
        <v>7286</v>
      </c>
      <c r="BZ28" s="1570">
        <v>65674</v>
      </c>
      <c r="CA28" s="1570">
        <v>49971</v>
      </c>
      <c r="CB28" s="1570">
        <v>20010</v>
      </c>
      <c r="CC28" s="1570">
        <v>12446</v>
      </c>
      <c r="CD28" s="1570">
        <v>13006</v>
      </c>
      <c r="CE28" s="1523">
        <v>21821</v>
      </c>
      <c r="CF28" s="1573">
        <v>221989</v>
      </c>
      <c r="CG28" s="1523">
        <v>32296</v>
      </c>
      <c r="CH28" s="1570">
        <v>9904</v>
      </c>
      <c r="CI28" s="1523">
        <v>9105</v>
      </c>
      <c r="CJ28" s="1570">
        <v>82783</v>
      </c>
      <c r="CK28" s="1523">
        <v>56679</v>
      </c>
      <c r="CL28" s="1570">
        <v>23987</v>
      </c>
      <c r="CM28" s="1523">
        <v>16760</v>
      </c>
      <c r="CN28" s="1570">
        <v>17267</v>
      </c>
      <c r="CO28" s="1523">
        <v>25141</v>
      </c>
      <c r="CP28" s="1590">
        <v>273922</v>
      </c>
    </row>
    <row r="29" spans="1:94" s="1529" customFormat="1" x14ac:dyDescent="0.35">
      <c r="A29" s="1526"/>
      <c r="B29" s="1546"/>
      <c r="C29" s="1546"/>
      <c r="D29" s="1281" t="s">
        <v>585</v>
      </c>
      <c r="E29" s="1569">
        <v>116826</v>
      </c>
      <c r="F29" s="1523">
        <v>43311</v>
      </c>
      <c r="G29" s="1523">
        <v>56451</v>
      </c>
      <c r="H29" s="1523">
        <v>142114</v>
      </c>
      <c r="I29" s="1523">
        <v>56066</v>
      </c>
      <c r="J29" s="1523">
        <v>32886</v>
      </c>
      <c r="K29" s="1523">
        <v>45634</v>
      </c>
      <c r="L29" s="1523">
        <v>14456</v>
      </c>
      <c r="M29" s="1523">
        <v>29003</v>
      </c>
      <c r="N29" s="1569">
        <v>536747</v>
      </c>
      <c r="O29" s="1569">
        <v>117231</v>
      </c>
      <c r="P29" s="1523">
        <v>41317</v>
      </c>
      <c r="Q29" s="1523">
        <v>58722</v>
      </c>
      <c r="R29" s="1523">
        <v>135442</v>
      </c>
      <c r="S29" s="1523">
        <v>58953</v>
      </c>
      <c r="T29" s="1523">
        <v>35359</v>
      </c>
      <c r="U29" s="1523">
        <v>42215</v>
      </c>
      <c r="V29" s="1523">
        <v>14342</v>
      </c>
      <c r="W29" s="1523">
        <v>28578</v>
      </c>
      <c r="X29" s="1569">
        <v>532159</v>
      </c>
      <c r="Y29" s="1569">
        <v>116172</v>
      </c>
      <c r="Z29" s="1523">
        <v>39178</v>
      </c>
      <c r="AA29" s="1523">
        <v>55027</v>
      </c>
      <c r="AB29" s="1523">
        <v>125702</v>
      </c>
      <c r="AC29" s="1523">
        <v>58571</v>
      </c>
      <c r="AD29" s="1523">
        <v>33877</v>
      </c>
      <c r="AE29" s="1523">
        <v>40726</v>
      </c>
      <c r="AF29" s="1523">
        <v>14307</v>
      </c>
      <c r="AG29" s="1523">
        <v>28495</v>
      </c>
      <c r="AH29" s="1570">
        <v>512055</v>
      </c>
      <c r="AI29" s="1571">
        <v>115849</v>
      </c>
      <c r="AJ29" s="1523">
        <v>37985</v>
      </c>
      <c r="AK29" s="1523">
        <v>53411</v>
      </c>
      <c r="AL29" s="1523">
        <v>118505</v>
      </c>
      <c r="AM29" s="1523">
        <v>57694</v>
      </c>
      <c r="AN29" s="1523">
        <v>34260</v>
      </c>
      <c r="AO29" s="1523">
        <v>37984</v>
      </c>
      <c r="AP29" s="1523">
        <v>14513</v>
      </c>
      <c r="AQ29" s="1523">
        <v>29573</v>
      </c>
      <c r="AR29" s="1570">
        <v>499774</v>
      </c>
      <c r="AS29" s="1523">
        <v>110007</v>
      </c>
      <c r="AT29" s="1570">
        <v>35426</v>
      </c>
      <c r="AU29" s="1523">
        <v>51568</v>
      </c>
      <c r="AV29" s="1570">
        <v>106755</v>
      </c>
      <c r="AW29" s="1523">
        <v>52272</v>
      </c>
      <c r="AX29" s="1570">
        <v>33735</v>
      </c>
      <c r="AY29" s="1523">
        <v>36001</v>
      </c>
      <c r="AZ29" s="1570">
        <v>14075</v>
      </c>
      <c r="BA29" s="1523">
        <v>30176</v>
      </c>
      <c r="BB29" s="1590">
        <v>470015</v>
      </c>
      <c r="BC29" s="1523">
        <v>104910</v>
      </c>
      <c r="BD29" s="1570">
        <v>33196</v>
      </c>
      <c r="BE29" s="1523">
        <v>50379</v>
      </c>
      <c r="BF29" s="1570">
        <v>92060</v>
      </c>
      <c r="BG29" s="1523">
        <v>47921</v>
      </c>
      <c r="BH29" s="1570">
        <v>32087</v>
      </c>
      <c r="BI29" s="1570">
        <v>35134</v>
      </c>
      <c r="BJ29" s="1523">
        <v>13657</v>
      </c>
      <c r="BK29" s="1523">
        <v>30951</v>
      </c>
      <c r="BL29" s="1590">
        <v>440295</v>
      </c>
      <c r="BM29" s="1523">
        <v>99033</v>
      </c>
      <c r="BN29" s="1570">
        <v>30991</v>
      </c>
      <c r="BO29" s="1523">
        <v>48132</v>
      </c>
      <c r="BP29" s="1570">
        <v>83525</v>
      </c>
      <c r="BQ29" s="1523">
        <v>46341</v>
      </c>
      <c r="BR29" s="1570">
        <v>30351</v>
      </c>
      <c r="BS29" s="1570">
        <v>33094</v>
      </c>
      <c r="BT29" s="1523">
        <v>12880</v>
      </c>
      <c r="BU29" s="1523">
        <v>31669</v>
      </c>
      <c r="BV29" s="1590">
        <v>416016</v>
      </c>
      <c r="BW29" s="1523">
        <v>90704</v>
      </c>
      <c r="BX29" s="1570">
        <v>28813</v>
      </c>
      <c r="BY29" s="1570">
        <v>45848</v>
      </c>
      <c r="BZ29" s="1570">
        <v>75177</v>
      </c>
      <c r="CA29" s="1570">
        <v>44314</v>
      </c>
      <c r="CB29" s="1570">
        <v>27768</v>
      </c>
      <c r="CC29" s="1570">
        <v>29553</v>
      </c>
      <c r="CD29" s="1570">
        <v>11970</v>
      </c>
      <c r="CE29" s="1523">
        <v>31872</v>
      </c>
      <c r="CF29" s="1573">
        <v>386019</v>
      </c>
      <c r="CG29" s="1523">
        <v>81128</v>
      </c>
      <c r="CH29" s="1570">
        <v>26116</v>
      </c>
      <c r="CI29" s="1523">
        <v>43354</v>
      </c>
      <c r="CJ29" s="1570">
        <v>66722</v>
      </c>
      <c r="CK29" s="1523">
        <v>42317</v>
      </c>
      <c r="CL29" s="1570">
        <v>24512</v>
      </c>
      <c r="CM29" s="1523">
        <v>28495</v>
      </c>
      <c r="CN29" s="1570">
        <v>11211</v>
      </c>
      <c r="CO29" s="1523">
        <v>31754</v>
      </c>
      <c r="CP29" s="1590">
        <v>355609</v>
      </c>
    </row>
    <row r="30" spans="1:94" s="1529" customFormat="1" x14ac:dyDescent="0.35">
      <c r="A30" s="1526"/>
      <c r="B30" s="1546"/>
      <c r="C30" s="1546"/>
      <c r="D30" s="1281" t="s">
        <v>586</v>
      </c>
      <c r="E30" s="1591">
        <v>18235</v>
      </c>
      <c r="F30" s="1523">
        <v>5419</v>
      </c>
      <c r="G30" s="1523">
        <v>14170</v>
      </c>
      <c r="H30" s="1523">
        <v>34969</v>
      </c>
      <c r="I30" s="1523">
        <v>11318</v>
      </c>
      <c r="J30" s="1523">
        <v>7950</v>
      </c>
      <c r="K30" s="1523">
        <v>8736</v>
      </c>
      <c r="L30" s="1523">
        <v>4236</v>
      </c>
      <c r="M30" s="1523">
        <v>9960</v>
      </c>
      <c r="N30" s="1569">
        <v>114993</v>
      </c>
      <c r="O30" s="1591">
        <v>18429</v>
      </c>
      <c r="P30" s="1523">
        <v>5864</v>
      </c>
      <c r="Q30" s="1523">
        <v>15783</v>
      </c>
      <c r="R30" s="1523">
        <v>36012</v>
      </c>
      <c r="S30" s="1523">
        <v>11913</v>
      </c>
      <c r="T30" s="1523">
        <v>8652</v>
      </c>
      <c r="U30" s="1523">
        <v>8339</v>
      </c>
      <c r="V30" s="1523">
        <v>4485</v>
      </c>
      <c r="W30" s="1523">
        <v>10791</v>
      </c>
      <c r="X30" s="1569">
        <v>120268</v>
      </c>
      <c r="Y30" s="1591">
        <v>18199</v>
      </c>
      <c r="Z30" s="1523">
        <v>6146</v>
      </c>
      <c r="AA30" s="1523">
        <v>15428</v>
      </c>
      <c r="AB30" s="1523">
        <v>35392</v>
      </c>
      <c r="AC30" s="1523">
        <v>12559</v>
      </c>
      <c r="AD30" s="1523">
        <v>8807</v>
      </c>
      <c r="AE30" s="1523">
        <v>8463</v>
      </c>
      <c r="AF30" s="1523">
        <v>4610</v>
      </c>
      <c r="AG30" s="1523">
        <v>11028</v>
      </c>
      <c r="AH30" s="1570">
        <v>120632</v>
      </c>
      <c r="AI30" s="1592">
        <v>19165</v>
      </c>
      <c r="AJ30" s="1523">
        <v>6385</v>
      </c>
      <c r="AK30" s="1523">
        <v>16170</v>
      </c>
      <c r="AL30" s="1523">
        <v>36471</v>
      </c>
      <c r="AM30" s="1523">
        <v>13266</v>
      </c>
      <c r="AN30" s="1523">
        <v>9572</v>
      </c>
      <c r="AO30" s="1523">
        <v>8940</v>
      </c>
      <c r="AP30" s="1523">
        <v>4787</v>
      </c>
      <c r="AQ30" s="1523">
        <v>12021</v>
      </c>
      <c r="AR30" s="1570">
        <v>126777</v>
      </c>
      <c r="AS30" s="1523">
        <v>19671</v>
      </c>
      <c r="AT30" s="1570">
        <v>6759</v>
      </c>
      <c r="AU30" s="1523">
        <v>16916</v>
      </c>
      <c r="AV30" s="1570">
        <v>37148</v>
      </c>
      <c r="AW30" s="1523">
        <v>13850</v>
      </c>
      <c r="AX30" s="1570">
        <v>9928</v>
      </c>
      <c r="AY30" s="1523">
        <v>9122</v>
      </c>
      <c r="AZ30" s="1570">
        <v>5020</v>
      </c>
      <c r="BA30" s="1523">
        <v>12626</v>
      </c>
      <c r="BB30" s="1590">
        <v>131040</v>
      </c>
      <c r="BC30" s="1523">
        <v>22370</v>
      </c>
      <c r="BD30" s="1570">
        <v>7880</v>
      </c>
      <c r="BE30" s="1523">
        <v>18536</v>
      </c>
      <c r="BF30" s="1570">
        <v>39871</v>
      </c>
      <c r="BG30" s="1523">
        <v>14968</v>
      </c>
      <c r="BH30" s="1570">
        <v>10995</v>
      </c>
      <c r="BI30" s="1570">
        <v>10003</v>
      </c>
      <c r="BJ30" s="1523">
        <v>5987</v>
      </c>
      <c r="BK30" s="1523">
        <v>14342</v>
      </c>
      <c r="BL30" s="1590">
        <v>144952</v>
      </c>
      <c r="BM30" s="1523">
        <v>22454</v>
      </c>
      <c r="BN30" s="1570">
        <v>8147</v>
      </c>
      <c r="BO30" s="1523">
        <v>19369</v>
      </c>
      <c r="BP30" s="1570">
        <v>39518</v>
      </c>
      <c r="BQ30" s="1523">
        <v>15436</v>
      </c>
      <c r="BR30" s="1570">
        <v>11345</v>
      </c>
      <c r="BS30" s="1570">
        <v>10047</v>
      </c>
      <c r="BT30" s="1523">
        <v>6004</v>
      </c>
      <c r="BU30" s="1523">
        <v>15147</v>
      </c>
      <c r="BV30" s="1590">
        <v>147467</v>
      </c>
      <c r="BW30" s="1523">
        <v>1908650</v>
      </c>
      <c r="BX30" s="1570">
        <v>693003</v>
      </c>
      <c r="BY30" s="1570">
        <v>1867017</v>
      </c>
      <c r="BZ30" s="1570">
        <v>2838909</v>
      </c>
      <c r="CA30" s="1570">
        <v>1846762</v>
      </c>
      <c r="CB30" s="1570">
        <v>1105791</v>
      </c>
      <c r="CC30" s="1570">
        <v>856779</v>
      </c>
      <c r="CD30" s="1570">
        <v>314069</v>
      </c>
      <c r="CE30" s="1523">
        <v>1021092</v>
      </c>
      <c r="CF30" s="1573">
        <v>12452072</v>
      </c>
      <c r="CG30" s="1523">
        <v>23652</v>
      </c>
      <c r="CH30" s="1570">
        <v>8896</v>
      </c>
      <c r="CI30" s="1523">
        <v>20947</v>
      </c>
      <c r="CJ30" s="1570">
        <v>40107</v>
      </c>
      <c r="CK30" s="1523">
        <v>16603</v>
      </c>
      <c r="CL30" s="1570">
        <v>11866</v>
      </c>
      <c r="CM30" s="1523">
        <v>10045</v>
      </c>
      <c r="CN30" s="1570">
        <v>6042</v>
      </c>
      <c r="CO30" s="1523">
        <v>16577</v>
      </c>
      <c r="CP30" s="1590">
        <v>154735</v>
      </c>
    </row>
    <row r="31" spans="1:94" s="1529" customFormat="1" x14ac:dyDescent="0.35">
      <c r="A31" s="1255"/>
      <c r="B31" s="1546"/>
      <c r="C31" s="1546"/>
      <c r="D31" s="1281" t="s">
        <v>587</v>
      </c>
      <c r="E31" s="1569">
        <v>1837801</v>
      </c>
      <c r="F31" s="1523">
        <v>617311</v>
      </c>
      <c r="G31" s="1523">
        <v>1387159</v>
      </c>
      <c r="H31" s="1523">
        <v>2726635</v>
      </c>
      <c r="I31" s="1523">
        <v>1497044</v>
      </c>
      <c r="J31" s="1523">
        <v>1008223</v>
      </c>
      <c r="K31" s="1523">
        <v>793189</v>
      </c>
      <c r="L31" s="1523">
        <v>262488</v>
      </c>
      <c r="M31" s="1523">
        <v>797881</v>
      </c>
      <c r="N31" s="1569">
        <v>10927731</v>
      </c>
      <c r="O31" s="1569">
        <v>1843684</v>
      </c>
      <c r="P31" s="1523">
        <v>637075</v>
      </c>
      <c r="Q31" s="1523">
        <v>1581756</v>
      </c>
      <c r="R31" s="1523">
        <v>2746888</v>
      </c>
      <c r="S31" s="1523">
        <v>1588489</v>
      </c>
      <c r="T31" s="1523">
        <v>1051626</v>
      </c>
      <c r="U31" s="1523">
        <v>751195</v>
      </c>
      <c r="V31" s="1523">
        <v>277835</v>
      </c>
      <c r="W31" s="1523">
        <v>863440</v>
      </c>
      <c r="X31" s="1569">
        <v>11341988</v>
      </c>
      <c r="Y31" s="1593">
        <v>1777042</v>
      </c>
      <c r="Z31" s="1542">
        <v>630717</v>
      </c>
      <c r="AA31" s="1542">
        <v>1548796</v>
      </c>
      <c r="AB31" s="1542">
        <v>2662100</v>
      </c>
      <c r="AC31" s="1542">
        <v>1626113</v>
      </c>
      <c r="AD31" s="1542">
        <v>984641</v>
      </c>
      <c r="AE31" s="1542">
        <v>754935</v>
      </c>
      <c r="AF31" s="1542">
        <v>275849</v>
      </c>
      <c r="AG31" s="1542">
        <v>865753</v>
      </c>
      <c r="AH31" s="1570">
        <v>11125946</v>
      </c>
      <c r="AI31" s="1574">
        <v>1856250</v>
      </c>
      <c r="AJ31" s="1542">
        <v>656464</v>
      </c>
      <c r="AK31" s="1542">
        <v>1657061</v>
      </c>
      <c r="AL31" s="1542">
        <v>2775481</v>
      </c>
      <c r="AM31" s="1542">
        <v>1699494</v>
      </c>
      <c r="AN31" s="1542">
        <v>1034942</v>
      </c>
      <c r="AO31" s="1542">
        <v>797289</v>
      </c>
      <c r="AP31" s="1542">
        <v>290497</v>
      </c>
      <c r="AQ31" s="1542">
        <v>935687</v>
      </c>
      <c r="AR31" s="1594">
        <v>11703165</v>
      </c>
      <c r="AS31" s="1594">
        <v>1875603</v>
      </c>
      <c r="AT31" s="1594">
        <v>669854</v>
      </c>
      <c r="AU31" s="1594">
        <v>1727620</v>
      </c>
      <c r="AV31" s="1594">
        <v>2815815</v>
      </c>
      <c r="AW31" s="1594">
        <v>1749230</v>
      </c>
      <c r="AX31" s="1594">
        <v>1053716</v>
      </c>
      <c r="AY31" s="1594">
        <v>817437</v>
      </c>
      <c r="AZ31" s="1594">
        <v>297280</v>
      </c>
      <c r="BA31" s="1594">
        <v>966345</v>
      </c>
      <c r="BB31" s="1595">
        <v>11972900</v>
      </c>
      <c r="BC31" s="1594">
        <v>1876348</v>
      </c>
      <c r="BD31" s="1594">
        <v>676120</v>
      </c>
      <c r="BE31" s="1594">
        <v>1776247</v>
      </c>
      <c r="BF31" s="1594">
        <v>2788600</v>
      </c>
      <c r="BG31" s="1594">
        <v>1780010</v>
      </c>
      <c r="BH31" s="1594">
        <v>1067239</v>
      </c>
      <c r="BI31" s="1594">
        <v>830177</v>
      </c>
      <c r="BJ31" s="1594">
        <v>303199</v>
      </c>
      <c r="BK31" s="1594">
        <v>983435</v>
      </c>
      <c r="BL31" s="1595">
        <v>12081375</v>
      </c>
      <c r="BM31" s="1596">
        <v>1896733</v>
      </c>
      <c r="BN31" s="1594">
        <v>685863</v>
      </c>
      <c r="BO31" s="1594">
        <v>1836031</v>
      </c>
      <c r="BP31" s="1594">
        <v>2791870</v>
      </c>
      <c r="BQ31" s="1594">
        <v>1812522</v>
      </c>
      <c r="BR31" s="1594">
        <v>1086592</v>
      </c>
      <c r="BS31" s="1594">
        <v>844394</v>
      </c>
      <c r="BT31" s="1594">
        <v>309034</v>
      </c>
      <c r="BU31" s="1594">
        <v>1006045</v>
      </c>
      <c r="BV31" s="1595">
        <v>12269084</v>
      </c>
      <c r="BW31" s="1594">
        <v>22783</v>
      </c>
      <c r="BX31" s="1594">
        <v>8439</v>
      </c>
      <c r="BY31" s="1594">
        <v>19834</v>
      </c>
      <c r="BZ31" s="1594">
        <v>39715</v>
      </c>
      <c r="CA31" s="1594">
        <v>16012</v>
      </c>
      <c r="CB31" s="1594">
        <v>11580</v>
      </c>
      <c r="CC31" s="1594">
        <v>9916</v>
      </c>
      <c r="CD31" s="1594">
        <v>5959</v>
      </c>
      <c r="CE31" s="1594">
        <v>15763</v>
      </c>
      <c r="CF31" s="1575">
        <v>150001</v>
      </c>
      <c r="CG31" s="1594">
        <v>1942541</v>
      </c>
      <c r="CH31" s="1594">
        <v>706208</v>
      </c>
      <c r="CI31" s="1594">
        <v>1944247</v>
      </c>
      <c r="CJ31" s="1594">
        <v>2912799</v>
      </c>
      <c r="CK31" s="1594">
        <v>1896974</v>
      </c>
      <c r="CL31" s="1594">
        <v>1133288</v>
      </c>
      <c r="CM31" s="1594">
        <v>880963</v>
      </c>
      <c r="CN31" s="1594">
        <v>321597</v>
      </c>
      <c r="CO31" s="1594">
        <v>1048831</v>
      </c>
      <c r="CP31" s="1595">
        <v>12787448</v>
      </c>
    </row>
    <row r="32" spans="1:94" x14ac:dyDescent="0.35">
      <c r="D32" s="1297" t="s">
        <v>605</v>
      </c>
      <c r="E32" s="1597">
        <v>2244303</v>
      </c>
      <c r="F32" s="1598">
        <v>723698</v>
      </c>
      <c r="G32" s="1598">
        <v>1406445</v>
      </c>
      <c r="H32" s="1598">
        <v>2931722</v>
      </c>
      <c r="I32" s="1598">
        <v>1751512</v>
      </c>
      <c r="J32" s="1598">
        <v>901386</v>
      </c>
      <c r="K32" s="1598">
        <v>1001629</v>
      </c>
      <c r="L32" s="1598">
        <v>232102</v>
      </c>
      <c r="M32" s="1598">
        <v>790344</v>
      </c>
      <c r="N32" s="1597">
        <v>11983141</v>
      </c>
      <c r="O32" s="1597">
        <v>2244303</v>
      </c>
      <c r="P32" s="1598">
        <v>723698</v>
      </c>
      <c r="Q32" s="1598">
        <v>1406445</v>
      </c>
      <c r="R32" s="1598">
        <v>2931722</v>
      </c>
      <c r="S32" s="1598">
        <v>1751512</v>
      </c>
      <c r="T32" s="1598">
        <v>901386</v>
      </c>
      <c r="U32" s="1598">
        <v>1001629</v>
      </c>
      <c r="V32" s="1598">
        <v>232102</v>
      </c>
      <c r="W32" s="1598">
        <v>790344</v>
      </c>
      <c r="X32" s="1597">
        <v>11983141</v>
      </c>
      <c r="Y32" s="1599"/>
      <c r="Z32" s="1511"/>
      <c r="AA32" s="1511"/>
      <c r="AB32" s="1538"/>
      <c r="AC32" s="1538"/>
      <c r="AD32" s="1600"/>
      <c r="AE32" s="1600"/>
      <c r="AF32" s="1600"/>
      <c r="AH32" s="1601"/>
      <c r="AI32" s="1602"/>
      <c r="AJ32" s="1603"/>
      <c r="AK32" s="1603"/>
      <c r="AL32" s="1603"/>
      <c r="AM32" s="1603"/>
      <c r="AN32" s="1603"/>
      <c r="AO32" s="1603"/>
      <c r="AP32" s="1603"/>
      <c r="AQ32" s="1603"/>
      <c r="AR32" s="1602"/>
      <c r="AS32" s="1603"/>
      <c r="AT32" s="1603"/>
      <c r="AU32" s="1602"/>
      <c r="AV32" s="1603"/>
      <c r="AW32" s="1603"/>
      <c r="AX32" s="1602"/>
      <c r="AY32" s="1603"/>
      <c r="AZ32" s="1603"/>
      <c r="BA32" s="1602"/>
      <c r="BB32" s="1603"/>
    </row>
    <row r="33" spans="1:54" x14ac:dyDescent="0.35">
      <c r="D33" s="1297" t="s">
        <v>606</v>
      </c>
      <c r="E33" s="1597">
        <v>2228201</v>
      </c>
      <c r="F33" s="1598">
        <v>752763</v>
      </c>
      <c r="G33" s="1598">
        <v>1450009</v>
      </c>
      <c r="H33" s="1598">
        <v>3119502</v>
      </c>
      <c r="I33" s="1598">
        <v>1802325</v>
      </c>
      <c r="J33" s="1598">
        <v>924958</v>
      </c>
      <c r="K33" s="1598">
        <v>982904</v>
      </c>
      <c r="L33" s="1598">
        <v>303974</v>
      </c>
      <c r="M33" s="1598">
        <v>821760</v>
      </c>
      <c r="N33" s="1597">
        <v>12386396</v>
      </c>
      <c r="O33" s="1597">
        <v>2228201</v>
      </c>
      <c r="P33" s="1598">
        <v>752763</v>
      </c>
      <c r="Q33" s="1598">
        <v>1450009</v>
      </c>
      <c r="R33" s="1598">
        <v>3119502</v>
      </c>
      <c r="S33" s="1598">
        <v>1802325</v>
      </c>
      <c r="T33" s="1598">
        <v>924958</v>
      </c>
      <c r="U33" s="1598">
        <v>982904</v>
      </c>
      <c r="V33" s="1598">
        <v>303974</v>
      </c>
      <c r="W33" s="1598">
        <v>821760</v>
      </c>
      <c r="X33" s="1597">
        <v>12386396</v>
      </c>
      <c r="Y33" s="1599"/>
      <c r="Z33" s="1511"/>
      <c r="AA33" s="1511"/>
      <c r="AB33" s="756"/>
      <c r="AC33" s="756"/>
      <c r="AD33" s="1512"/>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row>
    <row r="34" spans="1:54" x14ac:dyDescent="0.35">
      <c r="D34" s="1297" t="s">
        <v>607</v>
      </c>
      <c r="E34" s="1597">
        <v>2325456</v>
      </c>
      <c r="F34" s="1598">
        <v>752694</v>
      </c>
      <c r="G34" s="1598">
        <v>1530018</v>
      </c>
      <c r="H34" s="1598">
        <v>3302953</v>
      </c>
      <c r="I34" s="1598">
        <v>1905435</v>
      </c>
      <c r="J34" s="1598">
        <v>974645</v>
      </c>
      <c r="K34" s="1598">
        <v>1020906</v>
      </c>
      <c r="L34" s="1598">
        <v>329367</v>
      </c>
      <c r="M34" s="1598">
        <v>884630</v>
      </c>
      <c r="N34" s="1597">
        <v>13026104</v>
      </c>
      <c r="O34" s="1597">
        <v>2325456</v>
      </c>
      <c r="P34" s="1598">
        <v>752694</v>
      </c>
      <c r="Q34" s="1598">
        <v>1530018</v>
      </c>
      <c r="R34" s="1598">
        <v>3302953</v>
      </c>
      <c r="S34" s="1598">
        <v>1905435</v>
      </c>
      <c r="T34" s="1598">
        <v>974645</v>
      </c>
      <c r="U34" s="1598">
        <v>1020906</v>
      </c>
      <c r="V34" s="1598">
        <v>329367</v>
      </c>
      <c r="W34" s="1598">
        <v>884630</v>
      </c>
      <c r="X34" s="1597">
        <v>13026104</v>
      </c>
      <c r="Y34" s="1599"/>
      <c r="Z34" s="1511"/>
      <c r="AA34" s="1511"/>
      <c r="AB34" s="756"/>
      <c r="AC34" s="756"/>
      <c r="AD34" s="1512"/>
    </row>
    <row r="35" spans="1:54" x14ac:dyDescent="0.35">
      <c r="D35" s="1297" t="s">
        <v>608</v>
      </c>
      <c r="E35" s="1597">
        <v>2459221</v>
      </c>
      <c r="F35" s="1598">
        <v>827557</v>
      </c>
      <c r="G35" s="1598">
        <v>1683849</v>
      </c>
      <c r="H35" s="1598">
        <v>3515750</v>
      </c>
      <c r="I35" s="1598">
        <v>2024072</v>
      </c>
      <c r="J35" s="1598">
        <v>1035313</v>
      </c>
      <c r="K35" s="1598">
        <v>1073507</v>
      </c>
      <c r="L35" s="1598">
        <v>356876</v>
      </c>
      <c r="M35" s="1598">
        <v>1027983</v>
      </c>
      <c r="N35" s="1597">
        <v>14004128</v>
      </c>
      <c r="O35" s="1597">
        <v>2459221</v>
      </c>
      <c r="P35" s="1598">
        <v>827557</v>
      </c>
      <c r="Q35" s="1598">
        <v>1683849</v>
      </c>
      <c r="R35" s="1598">
        <v>3515750</v>
      </c>
      <c r="S35" s="1598">
        <v>2024072</v>
      </c>
      <c r="T35" s="1598">
        <v>1035313</v>
      </c>
      <c r="U35" s="1598">
        <v>1073507</v>
      </c>
      <c r="V35" s="1598">
        <v>356876</v>
      </c>
      <c r="W35" s="1598">
        <v>1027983</v>
      </c>
      <c r="X35" s="1597">
        <v>14004128</v>
      </c>
      <c r="Y35" s="1599"/>
      <c r="Z35" s="1511"/>
      <c r="AA35" s="1511"/>
      <c r="AB35" s="756"/>
      <c r="AC35" s="756"/>
      <c r="AD35" s="1512"/>
    </row>
    <row r="36" spans="1:54" x14ac:dyDescent="0.35">
      <c r="D36" s="1297" t="s">
        <v>609</v>
      </c>
      <c r="E36" s="1597">
        <v>2578175</v>
      </c>
      <c r="F36" s="1598">
        <v>889945</v>
      </c>
      <c r="G36" s="1598">
        <v>1824485</v>
      </c>
      <c r="H36" s="1598">
        <v>3684894</v>
      </c>
      <c r="I36" s="1598">
        <v>2155739</v>
      </c>
      <c r="J36" s="1598">
        <v>1095593</v>
      </c>
      <c r="K36" s="1598">
        <v>1117992</v>
      </c>
      <c r="L36" s="1598">
        <v>383581</v>
      </c>
      <c r="M36" s="1598">
        <v>1147015</v>
      </c>
      <c r="N36" s="1597">
        <v>14877419</v>
      </c>
      <c r="O36" s="1597">
        <v>2578175</v>
      </c>
      <c r="P36" s="1598">
        <v>889945</v>
      </c>
      <c r="Q36" s="1598">
        <v>1824485</v>
      </c>
      <c r="R36" s="1598">
        <v>3684894</v>
      </c>
      <c r="S36" s="1598">
        <v>2155739</v>
      </c>
      <c r="T36" s="1598">
        <v>1095593</v>
      </c>
      <c r="U36" s="1598">
        <v>1117992</v>
      </c>
      <c r="V36" s="1598">
        <v>383581</v>
      </c>
      <c r="W36" s="1598">
        <v>1147015</v>
      </c>
      <c r="X36" s="1597">
        <v>14877419</v>
      </c>
      <c r="Y36" s="1599"/>
      <c r="Z36" s="1511"/>
      <c r="AA36" s="1511"/>
      <c r="AB36" s="756"/>
      <c r="AC36" s="756"/>
      <c r="AD36" s="1512"/>
    </row>
    <row r="37" spans="1:54" x14ac:dyDescent="0.35">
      <c r="D37" s="1297" t="s">
        <v>610</v>
      </c>
      <c r="E37" s="1597">
        <v>2655831</v>
      </c>
      <c r="F37" s="1598">
        <v>927143</v>
      </c>
      <c r="G37" s="1598">
        <v>1947105</v>
      </c>
      <c r="H37" s="1598">
        <v>3802326</v>
      </c>
      <c r="I37" s="1598">
        <v>2032310</v>
      </c>
      <c r="J37" s="1598">
        <v>1351097</v>
      </c>
      <c r="K37" s="1598">
        <v>1171874</v>
      </c>
      <c r="L37" s="1598">
        <v>400847</v>
      </c>
      <c r="M37" s="1598">
        <v>1240679</v>
      </c>
      <c r="N37" s="1597">
        <v>15529212</v>
      </c>
      <c r="O37" s="1597">
        <v>2655831</v>
      </c>
      <c r="P37" s="1598">
        <v>927143</v>
      </c>
      <c r="Q37" s="1598">
        <v>1947105</v>
      </c>
      <c r="R37" s="1598">
        <v>3802326</v>
      </c>
      <c r="S37" s="1598">
        <v>2032310</v>
      </c>
      <c r="T37" s="1598">
        <v>1351097</v>
      </c>
      <c r="U37" s="1598">
        <v>1171874</v>
      </c>
      <c r="V37" s="1598">
        <v>400847</v>
      </c>
      <c r="W37" s="1598">
        <v>1240679</v>
      </c>
      <c r="X37" s="1597">
        <v>15529212</v>
      </c>
      <c r="Y37" s="1599"/>
      <c r="Z37" s="1511"/>
      <c r="AA37" s="1511"/>
      <c r="AB37" s="756"/>
      <c r="AC37" s="756"/>
      <c r="AD37" s="1512"/>
    </row>
    <row r="38" spans="1:54" x14ac:dyDescent="0.35">
      <c r="D38" s="1297" t="s">
        <v>611</v>
      </c>
      <c r="E38" s="1597">
        <v>2674573</v>
      </c>
      <c r="F38" s="1598">
        <v>942677</v>
      </c>
      <c r="G38" s="1598">
        <v>2204547</v>
      </c>
      <c r="H38" s="1598">
        <v>3820789</v>
      </c>
      <c r="I38" s="1598">
        <v>2143821</v>
      </c>
      <c r="J38" s="1598">
        <v>1403727</v>
      </c>
      <c r="K38" s="1598">
        <v>1104909</v>
      </c>
      <c r="L38" s="1598">
        <v>421610</v>
      </c>
      <c r="M38" s="1598">
        <v>1315738</v>
      </c>
      <c r="N38" s="1597">
        <v>16032391</v>
      </c>
      <c r="O38" s="1597">
        <v>2674573</v>
      </c>
      <c r="P38" s="1598">
        <v>942677</v>
      </c>
      <c r="Q38" s="1598">
        <v>2204547</v>
      </c>
      <c r="R38" s="1598">
        <v>3820789</v>
      </c>
      <c r="S38" s="1598">
        <v>2143821</v>
      </c>
      <c r="T38" s="1598">
        <v>1403727</v>
      </c>
      <c r="U38" s="1598">
        <v>1104909</v>
      </c>
      <c r="V38" s="1598">
        <v>421610</v>
      </c>
      <c r="W38" s="1598">
        <v>1315738</v>
      </c>
      <c r="X38" s="1597">
        <v>16032391</v>
      </c>
      <c r="Y38" s="1599"/>
      <c r="Z38" s="1511"/>
      <c r="AA38" s="1511"/>
      <c r="AB38" s="756"/>
      <c r="AC38" s="756"/>
      <c r="AD38" s="1512"/>
    </row>
    <row r="39" spans="1:54" x14ac:dyDescent="0.35">
      <c r="D39" s="1297" t="s">
        <v>612</v>
      </c>
      <c r="E39" s="1597">
        <v>2608139</v>
      </c>
      <c r="F39" s="1598">
        <v>933223</v>
      </c>
      <c r="G39" s="1598">
        <v>2182025</v>
      </c>
      <c r="H39" s="1598">
        <v>3731010</v>
      </c>
      <c r="I39" s="1598">
        <v>2209682</v>
      </c>
      <c r="J39" s="1598">
        <v>1321645</v>
      </c>
      <c r="K39" s="1598">
        <v>1114892</v>
      </c>
      <c r="L39" s="1598">
        <v>420060</v>
      </c>
      <c r="M39" s="1598">
        <v>1328738</v>
      </c>
      <c r="N39" s="1597">
        <v>15849414</v>
      </c>
      <c r="O39" s="1597">
        <v>2608139</v>
      </c>
      <c r="P39" s="1598">
        <v>933223</v>
      </c>
      <c r="Q39" s="1598">
        <v>2182025</v>
      </c>
      <c r="R39" s="1598">
        <v>3731010</v>
      </c>
      <c r="S39" s="1598">
        <v>2209682</v>
      </c>
      <c r="T39" s="1598">
        <v>1321645</v>
      </c>
      <c r="U39" s="1598">
        <v>1114892</v>
      </c>
      <c r="V39" s="1598">
        <v>420060</v>
      </c>
      <c r="W39" s="1598">
        <v>1328738</v>
      </c>
      <c r="X39" s="1597">
        <v>15849414</v>
      </c>
      <c r="Y39" s="1599"/>
      <c r="Z39" s="1511"/>
      <c r="AA39" s="1511"/>
      <c r="AB39" s="756"/>
      <c r="AC39" s="756"/>
      <c r="AD39" s="1512"/>
    </row>
    <row r="40" spans="1:54" x14ac:dyDescent="0.35">
      <c r="D40" s="1297" t="s">
        <v>613</v>
      </c>
      <c r="E40" s="1597">
        <v>2718472</v>
      </c>
      <c r="F40" s="1598">
        <v>960774</v>
      </c>
      <c r="G40" s="1598">
        <v>2317903</v>
      </c>
      <c r="H40" s="1598">
        <v>3886115</v>
      </c>
      <c r="I40" s="1598">
        <v>2315499</v>
      </c>
      <c r="J40" s="1598">
        <v>1389054</v>
      </c>
      <c r="K40" s="1598">
        <v>1170505</v>
      </c>
      <c r="L40" s="1598">
        <v>446260</v>
      </c>
      <c r="M40" s="1598">
        <v>1438061</v>
      </c>
      <c r="N40" s="1597">
        <v>16642643</v>
      </c>
      <c r="O40" s="1605">
        <v>2672661</v>
      </c>
      <c r="P40" s="1580">
        <v>950353</v>
      </c>
      <c r="Q40" s="1580">
        <v>2254147</v>
      </c>
      <c r="R40" s="1580">
        <v>3816893</v>
      </c>
      <c r="S40" s="1580">
        <v>2263767</v>
      </c>
      <c r="T40" s="1580">
        <v>1359315</v>
      </c>
      <c r="U40" s="1580">
        <v>1144442</v>
      </c>
      <c r="V40" s="1580">
        <v>430598</v>
      </c>
      <c r="W40" s="1580">
        <v>1382395</v>
      </c>
      <c r="X40" s="1605">
        <v>16274571</v>
      </c>
      <c r="Y40" s="1599"/>
      <c r="Z40" s="1511"/>
      <c r="AA40" s="1511"/>
      <c r="AB40" s="756"/>
      <c r="AC40" s="756"/>
      <c r="AD40" s="1512"/>
    </row>
    <row r="41" spans="1:54" x14ac:dyDescent="0.35">
      <c r="D41" s="1297" t="s">
        <v>614</v>
      </c>
      <c r="E41" s="1597">
        <v>2742505</v>
      </c>
      <c r="F41" s="1598">
        <v>976620</v>
      </c>
      <c r="G41" s="1598">
        <v>2426699</v>
      </c>
      <c r="H41" s="1598">
        <v>3918463</v>
      </c>
      <c r="I41" s="1598">
        <v>2380548</v>
      </c>
      <c r="J41" s="1598">
        <v>1416666</v>
      </c>
      <c r="K41" s="1598">
        <v>1193089</v>
      </c>
      <c r="L41" s="1598">
        <v>454515</v>
      </c>
      <c r="M41" s="1598">
        <v>1482529</v>
      </c>
      <c r="N41" s="1597">
        <v>16991634</v>
      </c>
      <c r="O41" s="1597"/>
      <c r="P41" s="1598"/>
      <c r="Q41" s="1598"/>
      <c r="R41" s="1598"/>
      <c r="S41" s="1598"/>
      <c r="T41" s="1598"/>
      <c r="U41" s="1598"/>
      <c r="V41" s="1598"/>
      <c r="W41" s="1598"/>
      <c r="X41" s="1606"/>
      <c r="Y41" s="1511"/>
      <c r="Z41" s="1511"/>
      <c r="AA41" s="1511"/>
      <c r="AB41" s="756"/>
      <c r="AC41" s="756"/>
      <c r="AD41" s="1512"/>
    </row>
    <row r="42" spans="1:54" x14ac:dyDescent="0.35">
      <c r="D42" s="1297" t="s">
        <v>615</v>
      </c>
      <c r="E42" s="1597">
        <v>2754621</v>
      </c>
      <c r="F42" s="1607">
        <v>989959</v>
      </c>
      <c r="G42" s="1607">
        <v>2513193</v>
      </c>
      <c r="H42" s="1607">
        <v>3878217</v>
      </c>
      <c r="I42" s="1607">
        <v>2426212</v>
      </c>
      <c r="J42" s="1607">
        <v>1438779</v>
      </c>
      <c r="K42" s="1607">
        <v>1209657</v>
      </c>
      <c r="L42" s="1607">
        <v>465908</v>
      </c>
      <c r="M42" s="1598">
        <v>1523979</v>
      </c>
      <c r="N42" s="1608">
        <v>17200525</v>
      </c>
      <c r="O42" s="1569"/>
      <c r="P42" s="1609"/>
      <c r="Q42" s="1609"/>
      <c r="R42" s="1609"/>
      <c r="S42" s="1609"/>
      <c r="T42" s="1609"/>
      <c r="U42" s="1609"/>
      <c r="V42" s="1609"/>
      <c r="W42" s="1609"/>
      <c r="X42" s="1609"/>
      <c r="Y42" s="1609"/>
      <c r="Z42" s="1511"/>
      <c r="AA42" s="1511"/>
      <c r="AB42" s="1511"/>
      <c r="AC42" s="756"/>
      <c r="AD42" s="756"/>
      <c r="AE42" s="1512"/>
    </row>
    <row r="43" spans="1:54" x14ac:dyDescent="0.25">
      <c r="D43" s="1297" t="s">
        <v>616</v>
      </c>
      <c r="E43" s="1597">
        <v>2785534</v>
      </c>
      <c r="F43" s="1542">
        <v>1005170</v>
      </c>
      <c r="G43" s="1542">
        <v>2612513</v>
      </c>
      <c r="H43" s="1542">
        <v>3887365</v>
      </c>
      <c r="I43" s="1542">
        <v>2477316</v>
      </c>
      <c r="J43" s="1542">
        <v>1472355</v>
      </c>
      <c r="K43" s="1542">
        <v>1228597</v>
      </c>
      <c r="L43" s="1542">
        <v>475414</v>
      </c>
      <c r="M43" s="1598">
        <v>1565731</v>
      </c>
      <c r="N43" s="1608">
        <v>17509995</v>
      </c>
      <c r="O43" s="1569"/>
    </row>
    <row r="44" spans="1:54" x14ac:dyDescent="0.35">
      <c r="D44" s="1297" t="s">
        <v>617</v>
      </c>
      <c r="E44" s="1597">
        <v>2811247</v>
      </c>
      <c r="F44" s="1607">
        <v>1017308</v>
      </c>
      <c r="G44" s="1607">
        <v>2677145</v>
      </c>
      <c r="H44" s="1607">
        <v>3953517</v>
      </c>
      <c r="I44" s="1607">
        <v>2528080</v>
      </c>
      <c r="J44" s="1607">
        <v>1500618</v>
      </c>
      <c r="K44" s="1607">
        <v>1240633</v>
      </c>
      <c r="L44" s="1607">
        <v>482705</v>
      </c>
      <c r="M44" s="1598">
        <v>1600492</v>
      </c>
      <c r="N44" s="1608">
        <v>17811745</v>
      </c>
      <c r="O44" s="1569"/>
      <c r="AB44" s="1511"/>
      <c r="AC44" s="756"/>
      <c r="AD44" s="756"/>
      <c r="AE44" s="1512"/>
    </row>
    <row r="45" spans="1:54" x14ac:dyDescent="0.35">
      <c r="D45" s="1297" t="s">
        <v>618</v>
      </c>
      <c r="E45" s="1597">
        <v>2853667</v>
      </c>
      <c r="F45" s="1574">
        <v>1038936</v>
      </c>
      <c r="G45" s="1574">
        <v>2796471</v>
      </c>
      <c r="H45" s="1574">
        <v>4056302</v>
      </c>
      <c r="I45" s="1574">
        <v>2593739</v>
      </c>
      <c r="J45" s="1574">
        <v>1535614</v>
      </c>
      <c r="K45" s="1574">
        <v>1275374</v>
      </c>
      <c r="L45" s="1574">
        <v>494619</v>
      </c>
      <c r="M45" s="1598">
        <v>1645870</v>
      </c>
      <c r="N45" s="1608">
        <v>18290592</v>
      </c>
      <c r="O45" s="1569"/>
      <c r="P45" s="1511"/>
      <c r="Q45" s="1511"/>
      <c r="R45" s="1609"/>
      <c r="S45" s="1609"/>
      <c r="T45" s="1609"/>
      <c r="U45" s="1609"/>
      <c r="V45" s="1609"/>
      <c r="W45" s="1609"/>
      <c r="X45" s="1609"/>
      <c r="Y45" s="1609"/>
      <c r="Z45" s="1511"/>
      <c r="AA45" s="1511"/>
      <c r="AB45" s="1511"/>
      <c r="AC45" s="756"/>
      <c r="AD45" s="756"/>
      <c r="AE45" s="1512"/>
    </row>
    <row r="46" spans="1:54" x14ac:dyDescent="0.35">
      <c r="D46" s="785"/>
      <c r="E46" s="1571"/>
      <c r="F46" s="1571"/>
      <c r="G46" s="1571"/>
      <c r="H46" s="1571"/>
      <c r="I46" s="1571"/>
      <c r="J46" s="1571"/>
      <c r="K46" s="1571"/>
      <c r="L46" s="1571"/>
      <c r="M46" s="1571"/>
      <c r="N46" s="1571"/>
      <c r="O46" s="785"/>
      <c r="P46" s="1609"/>
      <c r="Q46" s="1609"/>
      <c r="R46" s="1609"/>
      <c r="S46" s="1609"/>
      <c r="T46" s="1609"/>
      <c r="U46" s="1609"/>
      <c r="V46" s="1609"/>
      <c r="W46" s="1609"/>
      <c r="X46" s="1609"/>
      <c r="Y46" s="1609"/>
      <c r="Z46" s="1511"/>
      <c r="AA46" s="1511"/>
      <c r="AB46" s="1511"/>
      <c r="AC46" s="756"/>
      <c r="AD46" s="756"/>
      <c r="AE46" s="1512"/>
    </row>
    <row r="47" spans="1:54" x14ac:dyDescent="0.35">
      <c r="A47" s="728"/>
      <c r="B47" s="1610"/>
      <c r="C47" s="1610"/>
      <c r="D47" s="785" t="s">
        <v>234</v>
      </c>
      <c r="E47" s="785" t="s">
        <v>619</v>
      </c>
      <c r="F47" s="1611"/>
      <c r="G47" s="1611"/>
      <c r="H47" s="1512"/>
      <c r="I47" s="1512"/>
      <c r="J47" s="1512"/>
      <c r="K47" s="1512"/>
      <c r="L47" s="1512"/>
      <c r="M47" s="1512"/>
      <c r="N47" s="1512"/>
      <c r="O47" s="1512"/>
      <c r="P47" s="1512"/>
      <c r="Q47" s="1512"/>
      <c r="R47" s="1512"/>
      <c r="S47" s="1512"/>
      <c r="T47" s="1511"/>
      <c r="U47" s="1512"/>
      <c r="V47" s="1511"/>
      <c r="W47" s="1511"/>
      <c r="X47" s="1511"/>
      <c r="Y47" s="1511"/>
      <c r="Z47" s="1511"/>
      <c r="AA47" s="1511"/>
      <c r="AB47" s="1511"/>
      <c r="AC47" s="1512"/>
      <c r="AD47" s="1512"/>
      <c r="AE47" s="1512"/>
    </row>
    <row r="48" spans="1:54" s="1512" customFormat="1" x14ac:dyDescent="0.35">
      <c r="A48" s="728"/>
      <c r="B48" s="1610"/>
      <c r="C48" s="1610"/>
      <c r="D48" s="1612"/>
      <c r="E48" s="1613"/>
      <c r="F48" s="1613"/>
      <c r="G48" s="1613"/>
      <c r="H48" s="1613"/>
      <c r="I48" s="1613"/>
      <c r="J48" s="1613"/>
      <c r="K48" s="1613"/>
      <c r="L48" s="1519" t="s">
        <v>111</v>
      </c>
      <c r="M48" s="1519" t="s">
        <v>112</v>
      </c>
      <c r="N48" s="1519" t="s">
        <v>113</v>
      </c>
      <c r="O48" s="1519" t="s">
        <v>114</v>
      </c>
      <c r="P48" s="1519" t="s">
        <v>115</v>
      </c>
      <c r="Q48" s="1519" t="s">
        <v>116</v>
      </c>
      <c r="R48" s="1519" t="s">
        <v>117</v>
      </c>
      <c r="S48" s="1520" t="s">
        <v>118</v>
      </c>
      <c r="T48" s="1520" t="s">
        <v>119</v>
      </c>
      <c r="U48" s="1520" t="s">
        <v>120</v>
      </c>
      <c r="V48" s="1520" t="s">
        <v>620</v>
      </c>
      <c r="W48" s="1520" t="s">
        <v>621</v>
      </c>
      <c r="X48" s="1520" t="s">
        <v>622</v>
      </c>
      <c r="Y48" s="1614" t="s">
        <v>124</v>
      </c>
      <c r="Z48" s="1614" t="s">
        <v>125</v>
      </c>
      <c r="AA48" s="1614" t="s">
        <v>126</v>
      </c>
    </row>
    <row r="49" spans="1:54" s="1512" customFormat="1" ht="21.5" x14ac:dyDescent="0.35">
      <c r="A49" s="728"/>
      <c r="B49" s="1610"/>
      <c r="C49" s="1610"/>
      <c r="D49" s="1615" t="s">
        <v>623</v>
      </c>
      <c r="K49" s="1615" t="s">
        <v>623</v>
      </c>
      <c r="L49" s="1282">
        <v>36982</v>
      </c>
      <c r="M49" s="1282">
        <v>44885</v>
      </c>
      <c r="N49" s="1282">
        <v>50708</v>
      </c>
      <c r="O49" s="1282">
        <v>57032</v>
      </c>
      <c r="P49" s="1282">
        <v>62467</v>
      </c>
      <c r="Q49" s="1282">
        <v>70715</v>
      </c>
      <c r="R49" s="1282">
        <v>80080</v>
      </c>
      <c r="S49" s="1282">
        <v>87493</v>
      </c>
      <c r="T49" s="1282">
        <v>95973</v>
      </c>
      <c r="U49" s="1616">
        <v>103899</v>
      </c>
      <c r="V49" s="1616">
        <v>109597</v>
      </c>
      <c r="W49" s="1616">
        <v>120702</v>
      </c>
      <c r="X49" s="1616">
        <v>128868</v>
      </c>
      <c r="Y49" s="1616">
        <v>164936</v>
      </c>
      <c r="Z49" s="1616">
        <v>178330</v>
      </c>
      <c r="AA49" s="1616">
        <v>192714</v>
      </c>
    </row>
    <row r="50" spans="1:54" s="1512" customFormat="1" x14ac:dyDescent="0.35">
      <c r="A50" s="728"/>
      <c r="B50" s="1610"/>
      <c r="C50" s="1610"/>
      <c r="D50" s="1617" t="s">
        <v>184</v>
      </c>
      <c r="E50" s="1618"/>
      <c r="F50" s="1618"/>
      <c r="G50" s="1618"/>
      <c r="H50" s="1618"/>
      <c r="I50" s="1618"/>
      <c r="J50" s="1618"/>
      <c r="K50" s="1617" t="s">
        <v>184</v>
      </c>
      <c r="L50" s="1619">
        <v>2.9000000000000001E-2</v>
      </c>
      <c r="M50" s="1619">
        <v>3.1E-2</v>
      </c>
      <c r="N50" s="1619">
        <v>3.2000000000000001E-2</v>
      </c>
      <c r="O50" s="1619">
        <v>3.3000000000000002E-2</v>
      </c>
      <c r="P50" s="1619">
        <v>3.2000000000000001E-2</v>
      </c>
      <c r="Q50" s="1619">
        <v>3.3000000000000002E-2</v>
      </c>
      <c r="R50" s="1619">
        <v>3.5000000000000003E-2</v>
      </c>
      <c r="S50" s="1619">
        <v>3.4000000000000002E-2</v>
      </c>
      <c r="T50" s="1619">
        <v>3.1E-2</v>
      </c>
      <c r="U50" s="1620">
        <v>3.1E-2</v>
      </c>
      <c r="V50" s="1620">
        <v>0.03</v>
      </c>
      <c r="W50" s="1620">
        <v>3.1E-2</v>
      </c>
      <c r="X50" s="1620">
        <v>3.2000000000000001E-2</v>
      </c>
      <c r="Y50" s="1620">
        <v>3.1E-2</v>
      </c>
      <c r="Z50" s="1620">
        <v>3.2000000000000001E-2</v>
      </c>
      <c r="AA50" s="1620" t="s">
        <v>1967</v>
      </c>
    </row>
    <row r="51" spans="1:54" s="1512" customFormat="1" x14ac:dyDescent="0.35">
      <c r="A51" s="1255"/>
      <c r="B51" s="1509"/>
      <c r="C51" s="1509"/>
      <c r="D51" s="1510"/>
      <c r="E51" s="1510"/>
      <c r="F51" s="1510"/>
      <c r="G51" s="1510"/>
      <c r="H51" s="1510"/>
      <c r="I51" s="1510"/>
      <c r="J51" s="1510"/>
      <c r="K51" s="1510"/>
      <c r="L51" s="1510"/>
      <c r="M51" s="1510"/>
      <c r="N51" s="1510"/>
      <c r="O51" s="1510"/>
      <c r="P51" s="1510"/>
      <c r="Q51" s="1510"/>
      <c r="R51" s="1510"/>
      <c r="S51" s="1510"/>
      <c r="T51" s="1511"/>
      <c r="U51" s="1510"/>
      <c r="V51" s="1511"/>
      <c r="W51" s="1511"/>
      <c r="X51" s="1511"/>
      <c r="Y51" s="1511"/>
      <c r="Z51" s="1511"/>
      <c r="AA51" s="1511"/>
      <c r="AB51" s="1511"/>
    </row>
    <row r="52" spans="1:54" ht="12.75" customHeight="1" x14ac:dyDescent="0.25">
      <c r="A52" s="1255">
        <v>5</v>
      </c>
      <c r="B52" s="1255" t="s">
        <v>58</v>
      </c>
      <c r="C52" s="1255"/>
      <c r="D52" s="4733" t="s">
        <v>624</v>
      </c>
      <c r="E52" s="4734"/>
      <c r="F52" s="4734"/>
      <c r="G52" s="4734"/>
      <c r="H52" s="4734"/>
      <c r="I52" s="4734"/>
      <c r="J52" s="4734"/>
      <c r="K52" s="4734"/>
      <c r="L52" s="4734"/>
      <c r="M52" s="4734"/>
      <c r="N52" s="4734"/>
      <c r="O52" s="4734"/>
      <c r="P52" s="4734"/>
      <c r="Q52" s="4734"/>
      <c r="R52" s="4734"/>
      <c r="S52" s="4734"/>
      <c r="T52" s="4734"/>
      <c r="U52" s="4734"/>
      <c r="V52" s="4734"/>
      <c r="W52" s="4734"/>
      <c r="X52" s="4734"/>
      <c r="Y52" s="4734"/>
      <c r="Z52" s="4734"/>
      <c r="AA52" s="4734"/>
      <c r="AB52" s="4734"/>
      <c r="AC52" s="4734"/>
      <c r="AD52" s="4734"/>
      <c r="AE52" s="4734"/>
      <c r="AF52" s="4734"/>
      <c r="AG52" s="4734"/>
      <c r="AH52" s="4734"/>
      <c r="AI52" s="4734"/>
      <c r="AJ52" s="4734"/>
      <c r="AK52" s="4734"/>
      <c r="AL52" s="4734"/>
      <c r="AM52" s="4734"/>
      <c r="AN52" s="4734"/>
      <c r="AO52" s="4734"/>
      <c r="AP52" s="4734"/>
      <c r="AQ52" s="4734"/>
      <c r="AR52" s="4734"/>
      <c r="AS52" s="4734"/>
      <c r="AT52" s="4734"/>
      <c r="AU52" s="4734"/>
      <c r="AV52" s="4734"/>
      <c r="AW52" s="4734"/>
      <c r="AX52" s="4734"/>
      <c r="AY52" s="4734"/>
      <c r="AZ52" s="4734"/>
      <c r="BA52" s="4734"/>
      <c r="BB52" s="4735"/>
    </row>
    <row r="53" spans="1:54" ht="15" customHeight="1" x14ac:dyDescent="0.25">
      <c r="A53" s="1306">
        <v>6</v>
      </c>
      <c r="B53" s="1306" t="s">
        <v>60</v>
      </c>
      <c r="C53" s="1306"/>
      <c r="D53" s="4733" t="s">
        <v>625</v>
      </c>
      <c r="E53" s="4734"/>
      <c r="F53" s="4734"/>
      <c r="G53" s="4734"/>
      <c r="H53" s="4734"/>
      <c r="I53" s="4734"/>
      <c r="J53" s="4734"/>
      <c r="K53" s="4734"/>
      <c r="L53" s="4734"/>
      <c r="M53" s="4734"/>
      <c r="N53" s="4734"/>
      <c r="O53" s="4734"/>
      <c r="P53" s="4734"/>
      <c r="Q53" s="4734"/>
      <c r="R53" s="4734"/>
      <c r="S53" s="4734"/>
      <c r="T53" s="4734"/>
      <c r="U53" s="4734"/>
      <c r="V53" s="4734"/>
      <c r="W53" s="4734"/>
      <c r="X53" s="4734"/>
      <c r="Y53" s="4734"/>
      <c r="Z53" s="4734"/>
      <c r="AA53" s="4734"/>
      <c r="AB53" s="4734"/>
      <c r="AC53" s="4734"/>
      <c r="AD53" s="4734"/>
      <c r="AE53" s="4734"/>
      <c r="AF53" s="4734"/>
      <c r="AG53" s="4734"/>
      <c r="AH53" s="4734"/>
      <c r="AI53" s="4734"/>
      <c r="AJ53" s="4734"/>
      <c r="AK53" s="4734"/>
      <c r="AL53" s="4734"/>
      <c r="AM53" s="4734"/>
      <c r="AN53" s="4734"/>
      <c r="AO53" s="4734"/>
      <c r="AP53" s="4734"/>
      <c r="AQ53" s="4734"/>
      <c r="AR53" s="4734"/>
      <c r="AS53" s="4734"/>
      <c r="AT53" s="4734"/>
      <c r="AU53" s="4734"/>
      <c r="AV53" s="4734"/>
      <c r="AW53" s="4734"/>
      <c r="AX53" s="4734"/>
      <c r="AY53" s="4734"/>
      <c r="AZ53" s="4734"/>
      <c r="BA53" s="4734"/>
      <c r="BB53" s="4735"/>
    </row>
    <row r="54" spans="1:54" ht="28.15" customHeight="1" x14ac:dyDescent="0.25">
      <c r="A54" s="1255">
        <v>7</v>
      </c>
      <c r="B54" s="1255" t="s">
        <v>62</v>
      </c>
      <c r="C54" s="1255"/>
      <c r="D54" s="4733" t="s">
        <v>1961</v>
      </c>
      <c r="E54" s="4734"/>
      <c r="F54" s="4734"/>
      <c r="G54" s="4734"/>
      <c r="H54" s="4734"/>
      <c r="I54" s="4734"/>
      <c r="J54" s="4734"/>
      <c r="K54" s="4734"/>
      <c r="L54" s="4734"/>
      <c r="M54" s="4734"/>
      <c r="N54" s="4734"/>
      <c r="O54" s="4734"/>
      <c r="P54" s="4734"/>
      <c r="Q54" s="4734"/>
      <c r="R54" s="4734"/>
      <c r="S54" s="4734"/>
      <c r="T54" s="4734"/>
      <c r="U54" s="4734"/>
      <c r="V54" s="4734"/>
      <c r="W54" s="4734"/>
      <c r="X54" s="4734"/>
      <c r="Y54" s="4734"/>
      <c r="Z54" s="4734"/>
      <c r="AA54" s="4734"/>
      <c r="AB54" s="4734"/>
      <c r="AC54" s="4734"/>
      <c r="AD54" s="4734"/>
      <c r="AE54" s="4734"/>
      <c r="AF54" s="4734"/>
      <c r="AG54" s="4734"/>
      <c r="AH54" s="4734"/>
      <c r="AI54" s="4734"/>
      <c r="AJ54" s="4734"/>
      <c r="AK54" s="4734"/>
      <c r="AL54" s="4734"/>
      <c r="AM54" s="4734"/>
      <c r="AN54" s="4734"/>
      <c r="AO54" s="4734"/>
      <c r="AP54" s="4734"/>
      <c r="AQ54" s="4734"/>
      <c r="AR54" s="4734"/>
      <c r="AS54" s="4734"/>
      <c r="AT54" s="4734"/>
      <c r="AU54" s="4734"/>
      <c r="AV54" s="4734"/>
      <c r="AW54" s="4734"/>
      <c r="AX54" s="4734"/>
      <c r="AY54" s="4734"/>
      <c r="AZ54" s="4734"/>
      <c r="BA54" s="4734"/>
      <c r="BB54" s="4735"/>
    </row>
    <row r="55" spans="1:54" ht="12.75" customHeight="1" x14ac:dyDescent="0.25">
      <c r="A55" s="1255">
        <v>8</v>
      </c>
      <c r="B55" s="1255" t="s">
        <v>64</v>
      </c>
      <c r="C55" s="1255"/>
      <c r="D55" s="4733" t="s">
        <v>626</v>
      </c>
      <c r="E55" s="4734"/>
      <c r="F55" s="4734"/>
      <c r="G55" s="4734"/>
      <c r="H55" s="4734"/>
      <c r="I55" s="4734"/>
      <c r="J55" s="4734"/>
      <c r="K55" s="4734"/>
      <c r="L55" s="4734"/>
      <c r="M55" s="4734"/>
      <c r="N55" s="4734"/>
      <c r="O55" s="4734"/>
      <c r="P55" s="4734"/>
      <c r="Q55" s="4734"/>
      <c r="R55" s="4734"/>
      <c r="S55" s="4734"/>
      <c r="T55" s="4734"/>
      <c r="U55" s="4734"/>
      <c r="V55" s="4734"/>
      <c r="W55" s="4734"/>
      <c r="X55" s="4734"/>
      <c r="Y55" s="4734"/>
      <c r="Z55" s="4734"/>
      <c r="AA55" s="4734"/>
      <c r="AB55" s="4734"/>
      <c r="AC55" s="4734"/>
      <c r="AD55" s="4734"/>
      <c r="AE55" s="4734"/>
      <c r="AF55" s="4734"/>
      <c r="AG55" s="4734"/>
      <c r="AH55" s="4734"/>
      <c r="AI55" s="4734"/>
      <c r="AJ55" s="4734"/>
      <c r="AK55" s="4734"/>
      <c r="AL55" s="4734"/>
      <c r="AM55" s="4734"/>
      <c r="AN55" s="4734"/>
      <c r="AO55" s="4734"/>
      <c r="AP55" s="4734"/>
      <c r="AQ55" s="4734"/>
      <c r="AR55" s="4734"/>
      <c r="AS55" s="4734"/>
      <c r="AT55" s="4734"/>
      <c r="AU55" s="4734"/>
      <c r="AV55" s="4734"/>
      <c r="AW55" s="4734"/>
      <c r="AX55" s="4734"/>
      <c r="AY55" s="4734"/>
      <c r="AZ55" s="4734"/>
      <c r="BA55" s="4734"/>
      <c r="BB55" s="4735"/>
    </row>
    <row r="56" spans="1:54" ht="12.75" customHeight="1" x14ac:dyDescent="0.25">
      <c r="D56" s="4733"/>
      <c r="E56" s="4734"/>
      <c r="F56" s="4734"/>
      <c r="G56" s="4734"/>
      <c r="H56" s="4734"/>
      <c r="I56" s="4734"/>
      <c r="J56" s="4734"/>
      <c r="K56" s="4734"/>
      <c r="L56" s="4734"/>
      <c r="M56" s="4734"/>
      <c r="N56" s="4734"/>
      <c r="O56" s="4734"/>
      <c r="P56" s="4734"/>
      <c r="Q56" s="4734"/>
      <c r="R56" s="4734"/>
      <c r="S56" s="4734"/>
      <c r="T56" s="4734"/>
      <c r="U56" s="4734"/>
      <c r="V56" s="4734"/>
      <c r="W56" s="4734"/>
      <c r="X56" s="4734"/>
      <c r="Y56" s="4734"/>
      <c r="Z56" s="4734"/>
      <c r="AA56" s="4734"/>
      <c r="AB56" s="4734"/>
      <c r="AC56" s="4734"/>
      <c r="AD56" s="4734"/>
      <c r="AE56" s="4734"/>
      <c r="AF56" s="4734"/>
      <c r="AG56" s="4734"/>
      <c r="AH56" s="4734"/>
      <c r="AI56" s="4734"/>
      <c r="AJ56" s="4734"/>
      <c r="AK56" s="4734"/>
      <c r="AL56" s="4734"/>
      <c r="AM56" s="4734"/>
      <c r="AN56" s="4734"/>
      <c r="AO56" s="4734"/>
      <c r="AP56" s="4734"/>
      <c r="AQ56" s="4734"/>
      <c r="AR56" s="4734"/>
      <c r="AS56" s="4734"/>
      <c r="AT56" s="4734"/>
      <c r="AU56" s="4734"/>
      <c r="AV56" s="4734"/>
      <c r="AW56" s="4734"/>
      <c r="AX56" s="4734"/>
      <c r="AY56" s="4734"/>
      <c r="AZ56" s="4734"/>
      <c r="BA56" s="4734"/>
      <c r="BB56" s="4735"/>
    </row>
    <row r="57" spans="1:54" x14ac:dyDescent="0.25">
      <c r="D57" s="4733"/>
      <c r="E57" s="4734"/>
      <c r="F57" s="4734"/>
      <c r="G57" s="4734"/>
      <c r="H57" s="4734"/>
      <c r="I57" s="4734"/>
      <c r="J57" s="4734"/>
      <c r="K57" s="4734"/>
      <c r="L57" s="4734"/>
      <c r="M57" s="4734"/>
      <c r="N57" s="4734"/>
      <c r="O57" s="4734"/>
      <c r="P57" s="4734"/>
      <c r="Q57" s="4734"/>
      <c r="R57" s="4734"/>
      <c r="S57" s="4734"/>
      <c r="T57" s="4734"/>
      <c r="U57" s="4734"/>
      <c r="V57" s="4734"/>
      <c r="W57" s="4734"/>
      <c r="X57" s="4734"/>
      <c r="Y57" s="4734"/>
      <c r="Z57" s="4734"/>
      <c r="AA57" s="4734"/>
      <c r="AB57" s="4734"/>
      <c r="AC57" s="4734"/>
      <c r="AD57" s="4734"/>
      <c r="AE57" s="4734"/>
      <c r="AF57" s="4734"/>
      <c r="AG57" s="4734"/>
      <c r="AH57" s="4734"/>
      <c r="AI57" s="4734"/>
      <c r="AJ57" s="4734"/>
      <c r="AK57" s="4734"/>
      <c r="AL57" s="4734"/>
      <c r="AM57" s="4734"/>
      <c r="AN57" s="4734"/>
      <c r="AO57" s="4734"/>
      <c r="AP57" s="4734"/>
      <c r="AQ57" s="4734"/>
      <c r="AR57" s="4734"/>
      <c r="AS57" s="4734"/>
      <c r="AT57" s="4734"/>
      <c r="AU57" s="4734"/>
      <c r="AV57" s="4734"/>
      <c r="AW57" s="4734"/>
      <c r="AX57" s="4734"/>
      <c r="AY57" s="4734"/>
      <c r="AZ57" s="4734"/>
      <c r="BA57" s="4734"/>
      <c r="BB57" s="4735"/>
    </row>
    <row r="58" spans="1:54" ht="21" customHeight="1" x14ac:dyDescent="0.35">
      <c r="D58" s="4761"/>
      <c r="E58" s="4762"/>
      <c r="F58" s="4762"/>
      <c r="G58" s="4762"/>
      <c r="H58" s="4762"/>
      <c r="I58" s="4762"/>
      <c r="J58" s="4762"/>
      <c r="K58" s="4762"/>
      <c r="L58" s="4762"/>
      <c r="M58" s="4762"/>
      <c r="N58" s="4762"/>
      <c r="O58" s="4762"/>
      <c r="P58" s="4762"/>
      <c r="Q58" s="4762"/>
      <c r="R58" s="4762"/>
      <c r="S58" s="4762"/>
      <c r="T58" s="4762"/>
      <c r="U58" s="4762"/>
      <c r="V58" s="4762"/>
      <c r="W58" s="4762"/>
      <c r="X58" s="4762"/>
      <c r="Y58" s="4762"/>
      <c r="Z58" s="4762"/>
      <c r="AA58" s="4762"/>
      <c r="AB58" s="4762"/>
      <c r="AC58" s="4762"/>
      <c r="AD58" s="4762"/>
      <c r="AE58" s="4762"/>
      <c r="AF58" s="4762"/>
      <c r="AG58" s="4762"/>
      <c r="AH58" s="4762"/>
      <c r="AI58" s="4762"/>
      <c r="AJ58" s="4762"/>
      <c r="AK58" s="4762"/>
      <c r="AL58" s="4762"/>
      <c r="AM58" s="4762"/>
      <c r="AN58" s="4762"/>
      <c r="AO58" s="4762"/>
      <c r="AP58" s="4762"/>
      <c r="AQ58" s="4762"/>
      <c r="AR58" s="4762"/>
      <c r="AS58" s="4762"/>
      <c r="AT58" s="4762"/>
      <c r="AU58" s="4762"/>
      <c r="AV58" s="4762"/>
      <c r="AW58" s="4762"/>
      <c r="AX58" s="4762"/>
      <c r="AY58" s="4762"/>
      <c r="AZ58" s="4762"/>
      <c r="BA58" s="4762"/>
      <c r="BB58" s="4763"/>
    </row>
    <row r="61" spans="1:54" s="1512" customFormat="1" x14ac:dyDescent="0.35">
      <c r="A61" s="728"/>
      <c r="B61" s="1610"/>
      <c r="C61" s="1610"/>
    </row>
    <row r="62" spans="1:54" s="1512" customFormat="1" x14ac:dyDescent="0.35">
      <c r="A62" s="728"/>
      <c r="B62" s="1610"/>
      <c r="C62" s="1610"/>
      <c r="D62" s="785"/>
      <c r="E62" s="1484"/>
      <c r="F62" s="1621"/>
      <c r="G62" s="1621"/>
      <c r="H62" s="1622"/>
      <c r="I62" s="1622"/>
      <c r="J62" s="1622"/>
      <c r="K62" s="1622"/>
      <c r="L62" s="1622"/>
      <c r="M62" s="1622"/>
      <c r="N62" s="1623"/>
      <c r="O62" s="1624"/>
      <c r="P62" s="1544"/>
      <c r="Q62" s="1544"/>
      <c r="R62" s="1544"/>
      <c r="S62" s="1544"/>
      <c r="T62" s="1545"/>
      <c r="U62" s="1544"/>
      <c r="V62" s="1545"/>
      <c r="W62" s="1545"/>
      <c r="X62" s="1545"/>
      <c r="Y62" s="1528"/>
      <c r="Z62" s="1528"/>
      <c r="AA62" s="1528"/>
      <c r="AB62" s="1528"/>
    </row>
    <row r="63" spans="1:54" s="1512" customFormat="1" x14ac:dyDescent="0.35">
      <c r="A63" s="728"/>
      <c r="B63" s="1610"/>
      <c r="C63" s="1610"/>
      <c r="D63" s="1625"/>
      <c r="E63" s="4760"/>
      <c r="F63" s="4760"/>
      <c r="G63" s="4760"/>
      <c r="H63" s="4760"/>
      <c r="I63" s="4760"/>
      <c r="J63" s="4760"/>
      <c r="K63" s="4760"/>
      <c r="L63" s="4760"/>
      <c r="M63" s="4760"/>
      <c r="N63" s="4760"/>
      <c r="O63" s="4760"/>
      <c r="P63" s="4760"/>
      <c r="Q63" s="1560"/>
      <c r="R63" s="4760"/>
      <c r="S63" s="4760"/>
      <c r="T63" s="4760"/>
      <c r="U63" s="4760"/>
      <c r="V63" s="4760"/>
      <c r="W63" s="4760"/>
      <c r="X63" s="4760"/>
      <c r="Y63" s="4760"/>
      <c r="Z63" s="4760"/>
      <c r="AA63" s="4760"/>
      <c r="AB63" s="4760"/>
    </row>
    <row r="64" spans="1:54" s="1512" customFormat="1" x14ac:dyDescent="0.35">
      <c r="A64" s="728"/>
      <c r="B64" s="1610"/>
      <c r="C64" s="1610"/>
      <c r="D64" s="1625"/>
      <c r="E64" s="1626"/>
      <c r="F64" s="1626"/>
      <c r="G64" s="1626"/>
      <c r="H64" s="1626"/>
      <c r="I64" s="1626"/>
      <c r="J64" s="1626"/>
      <c r="K64" s="1626"/>
      <c r="L64" s="1626"/>
      <c r="M64" s="1626"/>
      <c r="N64" s="1626"/>
      <c r="O64" s="1626"/>
      <c r="P64" s="1626"/>
      <c r="Q64" s="1626"/>
      <c r="R64" s="1626"/>
      <c r="S64" s="1626"/>
      <c r="T64" s="1626"/>
      <c r="U64" s="1626"/>
      <c r="V64" s="1626"/>
      <c r="W64" s="1626"/>
      <c r="X64" s="1626"/>
      <c r="Y64" s="1626"/>
      <c r="Z64" s="1626"/>
      <c r="AA64" s="1560"/>
      <c r="AB64" s="1560"/>
    </row>
    <row r="65" spans="1:28" s="1512" customFormat="1" x14ac:dyDescent="0.35">
      <c r="A65" s="728"/>
      <c r="B65" s="1610"/>
      <c r="C65" s="1610"/>
      <c r="D65" s="1270"/>
      <c r="E65" s="1571"/>
      <c r="F65" s="1523"/>
      <c r="G65" s="1571"/>
      <c r="H65" s="1523"/>
      <c r="I65" s="1571"/>
      <c r="J65" s="1523"/>
      <c r="K65" s="1571"/>
      <c r="L65" s="1523"/>
      <c r="M65" s="1571"/>
      <c r="N65" s="1523"/>
      <c r="O65" s="1571"/>
      <c r="P65" s="1523"/>
      <c r="Q65" s="1523"/>
      <c r="R65" s="1571"/>
      <c r="S65" s="1571"/>
      <c r="T65" s="1523"/>
      <c r="U65" s="1571"/>
      <c r="V65" s="1523"/>
      <c r="W65" s="1571"/>
      <c r="X65" s="1523"/>
      <c r="Y65" s="1571"/>
      <c r="Z65" s="1523"/>
      <c r="AA65" s="1571"/>
      <c r="AB65" s="1571"/>
    </row>
    <row r="66" spans="1:28" s="1512" customFormat="1" x14ac:dyDescent="0.35">
      <c r="A66" s="728"/>
      <c r="B66" s="1610"/>
      <c r="C66" s="1610"/>
      <c r="D66" s="1270"/>
      <c r="E66" s="1571"/>
      <c r="F66" s="1523"/>
      <c r="G66" s="1571"/>
      <c r="H66" s="1523"/>
      <c r="I66" s="1571"/>
      <c r="J66" s="1523"/>
      <c r="K66" s="1571"/>
      <c r="L66" s="1523"/>
      <c r="M66" s="1571"/>
      <c r="N66" s="1523"/>
      <c r="O66" s="1571"/>
      <c r="P66" s="1523"/>
      <c r="Q66" s="1523"/>
      <c r="R66" s="1571"/>
      <c r="S66" s="1571"/>
      <c r="T66" s="1523"/>
      <c r="U66" s="1571"/>
      <c r="V66" s="1523"/>
      <c r="W66" s="1571"/>
      <c r="X66" s="1523"/>
      <c r="Y66" s="1571"/>
      <c r="Z66" s="1523"/>
      <c r="AA66" s="1571"/>
      <c r="AB66" s="1571"/>
    </row>
    <row r="67" spans="1:28" s="1512" customFormat="1" x14ac:dyDescent="0.35">
      <c r="A67" s="728"/>
      <c r="B67" s="1610"/>
      <c r="C67" s="1610"/>
      <c r="D67" s="1270"/>
      <c r="E67" s="1571"/>
      <c r="F67" s="1523"/>
      <c r="G67" s="1571"/>
      <c r="H67" s="1523"/>
      <c r="I67" s="1571"/>
      <c r="J67" s="1523"/>
      <c r="K67" s="1571"/>
      <c r="L67" s="1523"/>
      <c r="M67" s="1571"/>
      <c r="N67" s="1523"/>
      <c r="O67" s="1571"/>
      <c r="P67" s="1523"/>
      <c r="Q67" s="1523"/>
      <c r="R67" s="1571"/>
      <c r="S67" s="1571"/>
      <c r="T67" s="1523"/>
      <c r="U67" s="1571"/>
      <c r="V67" s="1523"/>
      <c r="W67" s="1571"/>
      <c r="X67" s="1523"/>
      <c r="Y67" s="1571"/>
      <c r="Z67" s="1523"/>
      <c r="AA67" s="1571"/>
      <c r="AB67" s="1571"/>
    </row>
    <row r="68" spans="1:28" s="1512" customFormat="1" x14ac:dyDescent="0.35">
      <c r="A68" s="728"/>
      <c r="B68" s="1610"/>
      <c r="C68" s="1610"/>
      <c r="D68" s="1270"/>
      <c r="E68" s="1571"/>
      <c r="F68" s="1523"/>
      <c r="G68" s="1571"/>
      <c r="H68" s="1523"/>
      <c r="I68" s="1571"/>
      <c r="J68" s="1523"/>
      <c r="K68" s="1571"/>
      <c r="L68" s="1523"/>
      <c r="M68" s="1571"/>
      <c r="N68" s="1523"/>
      <c r="O68" s="1571"/>
      <c r="P68" s="1523"/>
      <c r="Q68" s="1523"/>
      <c r="R68" s="1571"/>
      <c r="S68" s="1571"/>
      <c r="T68" s="1523"/>
      <c r="U68" s="1571"/>
      <c r="V68" s="1523"/>
      <c r="W68" s="1571"/>
      <c r="X68" s="1523"/>
      <c r="Y68" s="1571"/>
      <c r="Z68" s="1523"/>
      <c r="AA68" s="1571"/>
      <c r="AB68" s="1571"/>
    </row>
    <row r="69" spans="1:28" s="1512" customFormat="1" x14ac:dyDescent="0.35">
      <c r="A69" s="728"/>
      <c r="B69" s="1610"/>
      <c r="C69" s="1610"/>
      <c r="D69" s="1270"/>
      <c r="E69" s="1571"/>
      <c r="F69" s="1523"/>
      <c r="G69" s="1571"/>
      <c r="H69" s="1523"/>
      <c r="I69" s="1571"/>
      <c r="J69" s="1523"/>
      <c r="K69" s="1571"/>
      <c r="L69" s="1523"/>
      <c r="M69" s="1571"/>
      <c r="N69" s="1523"/>
      <c r="O69" s="1571"/>
      <c r="P69" s="1523"/>
      <c r="Q69" s="1523"/>
      <c r="R69" s="1571"/>
      <c r="S69" s="1571"/>
      <c r="T69" s="1523"/>
      <c r="U69" s="1571"/>
      <c r="V69" s="1523"/>
      <c r="W69" s="1571"/>
      <c r="X69" s="1523"/>
      <c r="Y69" s="1571"/>
      <c r="Z69" s="1523"/>
      <c r="AA69" s="1571"/>
      <c r="AB69" s="1571"/>
    </row>
    <row r="70" spans="1:28" s="1512" customFormat="1" x14ac:dyDescent="0.35">
      <c r="A70" s="728"/>
      <c r="B70" s="1610"/>
      <c r="C70" s="1610"/>
      <c r="D70" s="1270"/>
      <c r="E70" s="1627"/>
      <c r="F70" s="1523"/>
      <c r="G70" s="1627"/>
      <c r="H70" s="1523"/>
      <c r="I70" s="1627"/>
      <c r="J70" s="1523"/>
      <c r="K70" s="1627"/>
      <c r="L70" s="1523"/>
      <c r="M70" s="1627"/>
      <c r="N70" s="1523"/>
      <c r="O70" s="1627"/>
      <c r="P70" s="1523"/>
      <c r="Q70" s="1523"/>
      <c r="R70" s="1627"/>
      <c r="S70" s="1627"/>
      <c r="T70" s="1523"/>
      <c r="U70" s="1627"/>
      <c r="V70" s="1523"/>
      <c r="W70" s="1627"/>
      <c r="X70" s="1523"/>
      <c r="Y70" s="1627"/>
      <c r="Z70" s="1523"/>
      <c r="AA70" s="1627"/>
      <c r="AB70" s="1627"/>
    </row>
    <row r="71" spans="1:28" s="1512" customFormat="1" x14ac:dyDescent="0.35">
      <c r="A71" s="728"/>
      <c r="B71" s="1610"/>
      <c r="C71" s="1610"/>
      <c r="D71" s="1270"/>
      <c r="E71" s="1571"/>
      <c r="F71" s="1523"/>
      <c r="G71" s="1571"/>
      <c r="H71" s="1523"/>
      <c r="I71" s="1571"/>
      <c r="J71" s="1523"/>
      <c r="K71" s="1571"/>
      <c r="L71" s="1523"/>
      <c r="M71" s="1571"/>
      <c r="N71" s="1523"/>
      <c r="O71" s="1571"/>
      <c r="P71" s="1523"/>
      <c r="Q71" s="1523"/>
      <c r="R71" s="1571"/>
      <c r="S71" s="1571"/>
      <c r="T71" s="1523"/>
      <c r="U71" s="1571"/>
      <c r="V71" s="1523"/>
      <c r="W71" s="1571"/>
      <c r="X71" s="1523"/>
      <c r="Y71" s="1571"/>
      <c r="Z71" s="1523"/>
      <c r="AA71" s="1571"/>
      <c r="AB71" s="1571"/>
    </row>
    <row r="72" spans="1:28" s="1512" customFormat="1" x14ac:dyDescent="0.35">
      <c r="A72" s="728"/>
      <c r="B72" s="1610"/>
      <c r="C72" s="1610"/>
      <c r="D72" s="785"/>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1609"/>
      <c r="AB72" s="1609"/>
    </row>
    <row r="73" spans="1:28" s="1512" customFormat="1" x14ac:dyDescent="0.35">
      <c r="A73" s="728"/>
      <c r="B73" s="1610"/>
      <c r="C73" s="1610"/>
    </row>
    <row r="74" spans="1:28" s="1512" customFormat="1" x14ac:dyDescent="0.35">
      <c r="A74" s="728"/>
      <c r="B74" s="1610"/>
      <c r="C74" s="1610"/>
    </row>
    <row r="75" spans="1:28" s="1512" customFormat="1" hidden="1" x14ac:dyDescent="0.35">
      <c r="A75" s="728"/>
      <c r="B75" s="1610"/>
      <c r="C75" s="1610"/>
    </row>
    <row r="76" spans="1:28" s="1512" customFormat="1" hidden="1" x14ac:dyDescent="0.35">
      <c r="A76" s="728"/>
      <c r="B76" s="1628"/>
      <c r="C76" s="1628"/>
      <c r="D76" s="1629"/>
      <c r="E76" s="1629"/>
      <c r="F76" s="1629"/>
      <c r="G76" s="1629"/>
      <c r="H76" s="1629"/>
      <c r="I76" s="1629"/>
      <c r="J76" s="1629"/>
      <c r="K76" s="1629"/>
    </row>
    <row r="77" spans="1:28" s="1512" customFormat="1" hidden="1" x14ac:dyDescent="0.35">
      <c r="A77" s="728"/>
      <c r="B77" s="1522"/>
      <c r="C77" s="1522"/>
      <c r="D77" s="785"/>
      <c r="E77" s="785"/>
      <c r="F77" s="785"/>
      <c r="G77" s="785"/>
      <c r="H77" s="785"/>
      <c r="I77" s="785"/>
      <c r="J77" s="785"/>
      <c r="K77" s="785"/>
      <c r="N77" s="1629"/>
      <c r="O77" s="1629"/>
      <c r="P77" s="1629"/>
      <c r="Q77" s="1629"/>
      <c r="R77" s="1629"/>
      <c r="S77" s="1629"/>
      <c r="T77" s="1629"/>
      <c r="U77" s="1629"/>
      <c r="V77" s="1629"/>
      <c r="W77" s="1629"/>
      <c r="X77" s="1629"/>
      <c r="Y77" s="1629"/>
      <c r="Z77" s="1629"/>
      <c r="AA77" s="1629"/>
      <c r="AB77" s="1629"/>
    </row>
    <row r="78" spans="1:28" s="1512" customFormat="1" hidden="1" x14ac:dyDescent="0.35">
      <c r="A78" s="728"/>
      <c r="B78" s="1522"/>
      <c r="C78" s="1522"/>
      <c r="D78" s="1630"/>
      <c r="E78" s="1630"/>
      <c r="F78" s="1630"/>
      <c r="G78" s="1630"/>
      <c r="H78" s="1630"/>
      <c r="I78" s="1631"/>
      <c r="J78" s="1631"/>
      <c r="K78" s="1631"/>
      <c r="N78" s="1632"/>
      <c r="O78" s="1629"/>
      <c r="P78" s="1629"/>
      <c r="Q78" s="1629"/>
      <c r="R78" s="1629"/>
      <c r="S78" s="1629"/>
      <c r="T78" s="1629"/>
      <c r="U78" s="1629"/>
      <c r="V78" s="1629"/>
      <c r="W78" s="1629"/>
      <c r="X78" s="1629"/>
      <c r="Y78" s="1629"/>
      <c r="Z78" s="1629"/>
      <c r="AA78" s="1622"/>
    </row>
    <row r="79" spans="1:28" s="1512" customFormat="1" hidden="1" x14ac:dyDescent="0.35">
      <c r="A79" s="728"/>
      <c r="B79" s="1522"/>
      <c r="C79" s="1522"/>
      <c r="D79" s="1631"/>
      <c r="E79" s="1631"/>
      <c r="F79" s="1631"/>
      <c r="G79" s="1631"/>
      <c r="H79" s="1631"/>
      <c r="I79" s="1631"/>
      <c r="J79" s="1631"/>
      <c r="K79" s="1631"/>
      <c r="N79" s="1632"/>
      <c r="O79" s="1633"/>
      <c r="P79" s="1633"/>
      <c r="Q79" s="1633"/>
      <c r="R79" s="1633"/>
      <c r="S79" s="1633"/>
      <c r="T79" s="1633"/>
      <c r="U79" s="1633"/>
      <c r="V79" s="1633"/>
      <c r="W79" s="1633"/>
      <c r="X79" s="1545"/>
      <c r="Y79" s="1545"/>
      <c r="Z79" s="1545"/>
      <c r="AA79" s="1545"/>
      <c r="AB79" s="1545"/>
    </row>
    <row r="80" spans="1:28" s="1512" customFormat="1" hidden="1" x14ac:dyDescent="0.35">
      <c r="A80" s="728"/>
      <c r="B80" s="1522"/>
      <c r="C80" s="1522"/>
      <c r="D80" s="1631"/>
      <c r="E80" s="1631"/>
      <c r="F80" s="1631"/>
      <c r="G80" s="1631"/>
      <c r="H80" s="1631"/>
      <c r="I80" s="1631"/>
      <c r="J80" s="1631"/>
      <c r="K80" s="1631"/>
      <c r="N80" s="1632"/>
      <c r="O80" s="1545"/>
      <c r="P80" s="1545"/>
      <c r="Q80" s="1545"/>
      <c r="R80" s="1545"/>
      <c r="S80" s="1545"/>
      <c r="T80" s="1545"/>
      <c r="U80" s="1545"/>
      <c r="V80" s="1545"/>
      <c r="W80" s="1545"/>
      <c r="X80" s="1545"/>
      <c r="Y80" s="1545"/>
      <c r="Z80" s="1545"/>
      <c r="AA80" s="1545"/>
      <c r="AB80" s="1545"/>
    </row>
    <row r="81" spans="1:28" s="1512" customFormat="1" hidden="1" x14ac:dyDescent="0.35">
      <c r="A81" s="728"/>
      <c r="B81" s="1522"/>
      <c r="C81" s="1522"/>
      <c r="D81" s="1631"/>
      <c r="E81" s="1631"/>
      <c r="F81" s="1631"/>
      <c r="G81" s="1631"/>
      <c r="H81" s="1631"/>
      <c r="I81" s="1631"/>
      <c r="J81" s="1631"/>
      <c r="K81" s="1631"/>
      <c r="N81" s="1632"/>
      <c r="O81" s="1545"/>
      <c r="P81" s="1545"/>
      <c r="Q81" s="1545"/>
      <c r="R81" s="1545"/>
      <c r="S81" s="1545"/>
      <c r="T81" s="1545"/>
      <c r="U81" s="1545"/>
      <c r="V81" s="1545"/>
      <c r="W81" s="1545"/>
      <c r="X81" s="1545"/>
      <c r="Y81" s="1545"/>
      <c r="Z81" s="1545"/>
      <c r="AA81" s="1545"/>
      <c r="AB81" s="1545"/>
    </row>
    <row r="82" spans="1:28" s="1512" customFormat="1" hidden="1" x14ac:dyDescent="0.35">
      <c r="A82" s="728"/>
      <c r="B82" s="1522"/>
      <c r="C82" s="1522"/>
      <c r="D82" s="1631"/>
      <c r="E82" s="1631"/>
      <c r="F82" s="1631"/>
      <c r="G82" s="1631"/>
      <c r="H82" s="1631"/>
      <c r="I82" s="1631"/>
      <c r="J82" s="1631"/>
      <c r="K82" s="1631"/>
      <c r="N82" s="1632"/>
      <c r="O82" s="1545"/>
      <c r="P82" s="1545"/>
      <c r="Q82" s="1545"/>
      <c r="R82" s="1545"/>
      <c r="S82" s="1545"/>
      <c r="T82" s="1545"/>
      <c r="U82" s="1545"/>
      <c r="V82" s="1545"/>
      <c r="W82" s="1545"/>
      <c r="X82" s="1545"/>
      <c r="Y82" s="1545"/>
      <c r="Z82" s="1545"/>
      <c r="AA82" s="1545"/>
      <c r="AB82" s="1545"/>
    </row>
    <row r="83" spans="1:28" s="1512" customFormat="1" hidden="1" x14ac:dyDescent="0.35">
      <c r="A83" s="728"/>
      <c r="B83" s="1522"/>
      <c r="C83" s="1522"/>
      <c r="D83" s="1631"/>
      <c r="E83" s="1631"/>
      <c r="F83" s="1631"/>
      <c r="G83" s="1631"/>
      <c r="H83" s="1631"/>
      <c r="I83" s="1631"/>
      <c r="J83" s="1631"/>
      <c r="K83" s="1631"/>
      <c r="N83" s="1632"/>
      <c r="O83" s="1545"/>
      <c r="P83" s="1545"/>
      <c r="Q83" s="1545"/>
      <c r="R83" s="1545"/>
      <c r="S83" s="1545"/>
      <c r="T83" s="1545"/>
      <c r="U83" s="1545"/>
      <c r="V83" s="1545"/>
      <c r="W83" s="1545"/>
      <c r="X83" s="1545"/>
      <c r="Y83" s="1545"/>
      <c r="Z83" s="1545"/>
      <c r="AA83" s="1545"/>
      <c r="AB83" s="1545"/>
    </row>
    <row r="84" spans="1:28" s="1512" customFormat="1" hidden="1" x14ac:dyDescent="0.35">
      <c r="A84" s="728"/>
      <c r="B84" s="1522"/>
      <c r="C84" s="1522"/>
      <c r="D84" s="1631"/>
      <c r="E84" s="1631"/>
      <c r="F84" s="1631"/>
      <c r="G84" s="1631"/>
      <c r="H84" s="1631"/>
      <c r="I84" s="1631"/>
      <c r="J84" s="1631"/>
      <c r="K84" s="1631"/>
      <c r="N84" s="1632"/>
      <c r="O84" s="1545"/>
      <c r="P84" s="1545"/>
      <c r="Q84" s="1545"/>
      <c r="R84" s="1545"/>
      <c r="S84" s="1545"/>
      <c r="T84" s="1545"/>
      <c r="U84" s="1545"/>
      <c r="V84" s="1545"/>
      <c r="W84" s="1545"/>
      <c r="X84" s="1545"/>
      <c r="Y84" s="1545"/>
      <c r="Z84" s="1545"/>
      <c r="AA84" s="1545"/>
      <c r="AB84" s="1545"/>
    </row>
    <row r="85" spans="1:28" s="1512" customFormat="1" hidden="1" x14ac:dyDescent="0.35">
      <c r="A85" s="728"/>
      <c r="B85" s="1634"/>
      <c r="C85" s="1634"/>
      <c r="D85" s="1631"/>
      <c r="E85" s="1631"/>
      <c r="F85" s="1631"/>
      <c r="G85" s="1631"/>
      <c r="H85" s="1631"/>
      <c r="I85" s="1631"/>
      <c r="J85" s="1631"/>
      <c r="K85" s="1631"/>
      <c r="N85" s="1632"/>
      <c r="O85" s="1545"/>
      <c r="P85" s="1545"/>
      <c r="Q85" s="1545"/>
      <c r="R85" s="1545"/>
      <c r="S85" s="1545"/>
      <c r="T85" s="1545"/>
      <c r="U85" s="1545"/>
      <c r="V85" s="1545"/>
      <c r="W85" s="1545"/>
      <c r="X85" s="1545"/>
      <c r="Y85" s="1545"/>
      <c r="Z85" s="1545"/>
      <c r="AA85" s="1545"/>
      <c r="AB85" s="1545"/>
    </row>
    <row r="86" spans="1:28" s="1512" customFormat="1" hidden="1" x14ac:dyDescent="0.35">
      <c r="A86" s="728"/>
      <c r="B86" s="1634"/>
      <c r="C86" s="1634"/>
      <c r="D86" s="1270"/>
      <c r="E86" s="1635"/>
      <c r="F86" s="1635"/>
      <c r="G86" s="1635"/>
      <c r="H86" s="1635"/>
      <c r="I86" s="1635"/>
      <c r="J86" s="1635"/>
      <c r="K86" s="1635"/>
      <c r="N86" s="1632"/>
      <c r="O86" s="1545"/>
      <c r="P86" s="1545"/>
      <c r="Q86" s="1545"/>
      <c r="R86" s="1545"/>
      <c r="S86" s="1545"/>
      <c r="T86" s="1545"/>
      <c r="U86" s="1545"/>
      <c r="V86" s="1545"/>
      <c r="W86" s="1545"/>
      <c r="X86" s="1545"/>
      <c r="Y86" s="1545"/>
      <c r="Z86" s="1545"/>
      <c r="AA86" s="1545"/>
      <c r="AB86" s="1545"/>
    </row>
    <row r="87" spans="1:28" s="1512" customFormat="1" hidden="1" x14ac:dyDescent="0.35">
      <c r="A87" s="728"/>
      <c r="B87" s="1634"/>
      <c r="C87" s="1634"/>
      <c r="D87" s="1270"/>
      <c r="E87" s="1635"/>
      <c r="F87" s="1635"/>
      <c r="G87" s="1635"/>
      <c r="H87" s="1635"/>
      <c r="I87" s="1635"/>
      <c r="J87" s="1635"/>
      <c r="K87" s="1635"/>
      <c r="N87" s="1636"/>
      <c r="O87" s="1545"/>
      <c r="P87" s="1545"/>
      <c r="Q87" s="1545"/>
      <c r="R87" s="1545"/>
      <c r="S87" s="1545"/>
      <c r="T87" s="1545"/>
      <c r="U87" s="1545"/>
      <c r="V87" s="1545"/>
      <c r="W87" s="1545"/>
      <c r="X87" s="1545"/>
      <c r="Y87" s="1545"/>
      <c r="Z87" s="1545"/>
      <c r="AA87" s="1545"/>
      <c r="AB87" s="1600"/>
    </row>
    <row r="88" spans="1:28" s="1512" customFormat="1" hidden="1" x14ac:dyDescent="0.35">
      <c r="A88" s="728"/>
      <c r="B88" s="1628"/>
      <c r="C88" s="1628"/>
      <c r="D88" s="1629"/>
      <c r="E88" s="1629"/>
      <c r="F88" s="1629"/>
      <c r="G88" s="1629"/>
      <c r="H88" s="1629"/>
      <c r="I88" s="1629"/>
      <c r="J88" s="1629"/>
      <c r="K88" s="1629"/>
      <c r="N88" s="1636"/>
      <c r="O88" s="1632"/>
      <c r="P88" s="1600"/>
      <c r="Q88" s="1600"/>
      <c r="R88" s="1600"/>
      <c r="S88" s="1600"/>
      <c r="T88" s="1600"/>
      <c r="U88" s="1600"/>
      <c r="V88" s="1600"/>
      <c r="W88" s="1600"/>
      <c r="X88" s="1600"/>
      <c r="Y88" s="1600"/>
      <c r="Z88" s="1600"/>
      <c r="AA88" s="1600"/>
      <c r="AB88" s="1270"/>
    </row>
    <row r="89" spans="1:28" s="1512" customFormat="1" hidden="1" x14ac:dyDescent="0.35">
      <c r="A89" s="728"/>
      <c r="B89" s="1634"/>
      <c r="C89" s="1634"/>
      <c r="D89" s="1637"/>
      <c r="H89" s="1638"/>
      <c r="I89" s="1638"/>
      <c r="J89" s="1638"/>
      <c r="K89" s="1638"/>
      <c r="N89" s="1636"/>
      <c r="O89" s="1632"/>
      <c r="P89" s="1600"/>
      <c r="Q89" s="1600"/>
      <c r="R89" s="1600"/>
      <c r="S89" s="1600"/>
      <c r="T89" s="1600"/>
      <c r="U89" s="1600"/>
      <c r="V89" s="1600"/>
      <c r="W89" s="1600"/>
      <c r="X89" s="1600"/>
      <c r="Y89" s="1600"/>
      <c r="Z89" s="1600"/>
      <c r="AA89" s="1600"/>
      <c r="AB89" s="1270"/>
    </row>
    <row r="90" spans="1:28" s="1512" customFormat="1" hidden="1" x14ac:dyDescent="0.35">
      <c r="A90" s="728"/>
      <c r="B90" s="1634"/>
      <c r="C90" s="1634"/>
      <c r="D90" s="1639"/>
      <c r="H90" s="1640"/>
      <c r="I90" s="1640"/>
      <c r="J90" s="1640"/>
      <c r="K90" s="1640"/>
      <c r="N90" s="1629"/>
      <c r="O90" s="1629"/>
      <c r="P90" s="1629"/>
      <c r="Q90" s="1629"/>
      <c r="R90" s="1629"/>
      <c r="S90" s="1629"/>
      <c r="T90" s="1629"/>
      <c r="U90" s="1629"/>
      <c r="V90" s="1629"/>
      <c r="W90" s="1629"/>
      <c r="X90" s="1629"/>
      <c r="Y90" s="1629"/>
      <c r="Z90" s="1629"/>
      <c r="AB90" s="1270"/>
    </row>
    <row r="91" spans="1:28" s="1512" customFormat="1" hidden="1" x14ac:dyDescent="0.35">
      <c r="A91" s="728"/>
      <c r="B91" s="1634"/>
      <c r="C91" s="1634"/>
      <c r="D91" s="1270"/>
      <c r="H91" s="1641"/>
      <c r="I91" s="1641"/>
      <c r="J91" s="1641"/>
      <c r="K91" s="1641"/>
      <c r="N91" s="1642"/>
      <c r="O91" s="1637"/>
      <c r="W91" s="1638"/>
      <c r="X91" s="1638"/>
      <c r="Y91" s="1638"/>
      <c r="Z91" s="1638"/>
      <c r="AA91" s="1638"/>
      <c r="AB91" s="1270"/>
    </row>
    <row r="92" spans="1:28" s="1512" customFormat="1" hidden="1" x14ac:dyDescent="0.35">
      <c r="A92" s="728"/>
      <c r="B92" s="1610"/>
      <c r="C92" s="1610"/>
      <c r="N92" s="1642"/>
      <c r="O92" s="1639"/>
      <c r="W92" s="1640"/>
      <c r="X92" s="1640"/>
      <c r="Y92" s="1640"/>
      <c r="Z92" s="1640"/>
      <c r="AA92" s="1640"/>
      <c r="AB92" s="1270"/>
    </row>
    <row r="93" spans="1:28" s="1512" customFormat="1" hidden="1" x14ac:dyDescent="0.35">
      <c r="A93" s="728"/>
      <c r="B93" s="1610"/>
      <c r="C93" s="1610"/>
      <c r="N93" s="1642"/>
      <c r="O93" s="1270"/>
      <c r="W93" s="1641"/>
      <c r="X93" s="1641"/>
      <c r="Y93" s="1641"/>
      <c r="Z93" s="1641"/>
      <c r="AA93" s="1641"/>
      <c r="AB93" s="1270"/>
    </row>
    <row r="94" spans="1:28" s="1512" customFormat="1" hidden="1" x14ac:dyDescent="0.35">
      <c r="A94" s="728"/>
      <c r="B94" s="1610"/>
      <c r="C94" s="1610"/>
    </row>
    <row r="95" spans="1:28" s="1512" customFormat="1" hidden="1" x14ac:dyDescent="0.35">
      <c r="A95" s="728"/>
      <c r="B95" s="1610"/>
      <c r="C95" s="1610"/>
    </row>
    <row r="96" spans="1:28" s="1512" customFormat="1" hidden="1" x14ac:dyDescent="0.35">
      <c r="A96" s="728"/>
      <c r="B96" s="1610"/>
      <c r="C96" s="1610"/>
    </row>
    <row r="97" spans="1:3" s="1512" customFormat="1" hidden="1" x14ac:dyDescent="0.35">
      <c r="A97" s="728"/>
      <c r="B97" s="1610"/>
      <c r="C97" s="1610"/>
    </row>
    <row r="98" spans="1:3" s="1512" customFormat="1" hidden="1" x14ac:dyDescent="0.35">
      <c r="A98" s="728"/>
      <c r="B98" s="1610"/>
      <c r="C98" s="1610"/>
    </row>
    <row r="99" spans="1:3" s="1512" customFormat="1" hidden="1" x14ac:dyDescent="0.35">
      <c r="A99" s="728"/>
      <c r="B99" s="1610"/>
      <c r="C99" s="1610"/>
    </row>
    <row r="100" spans="1:3" s="1512" customFormat="1" hidden="1" x14ac:dyDescent="0.35">
      <c r="A100" s="728"/>
      <c r="B100" s="1610"/>
      <c r="C100" s="1610"/>
    </row>
    <row r="101" spans="1:3" s="1512" customFormat="1" hidden="1" x14ac:dyDescent="0.35">
      <c r="A101" s="728"/>
      <c r="B101" s="1610"/>
      <c r="C101" s="1610"/>
    </row>
    <row r="102" spans="1:3" s="1512" customFormat="1" hidden="1" x14ac:dyDescent="0.35">
      <c r="A102" s="728"/>
      <c r="B102" s="1610"/>
      <c r="C102" s="1610"/>
    </row>
    <row r="103" spans="1:3" s="1512" customFormat="1" hidden="1" x14ac:dyDescent="0.35">
      <c r="A103" s="728"/>
      <c r="B103" s="1610"/>
      <c r="C103" s="1610"/>
    </row>
    <row r="104" spans="1:3" s="1512" customFormat="1" hidden="1" x14ac:dyDescent="0.35">
      <c r="A104" s="728"/>
      <c r="B104" s="1610"/>
      <c r="C104" s="1610"/>
    </row>
    <row r="105" spans="1:3" s="1512" customFormat="1" hidden="1" x14ac:dyDescent="0.35">
      <c r="A105" s="728"/>
      <c r="B105" s="1610"/>
      <c r="C105" s="1610"/>
    </row>
    <row r="106" spans="1:3" s="1512" customFormat="1" hidden="1" x14ac:dyDescent="0.35">
      <c r="A106" s="728"/>
      <c r="B106" s="1610"/>
      <c r="C106" s="1610"/>
    </row>
    <row r="107" spans="1:3" s="1512" customFormat="1" hidden="1" x14ac:dyDescent="0.35">
      <c r="A107" s="728"/>
      <c r="B107" s="1610"/>
      <c r="C107" s="1610"/>
    </row>
    <row r="108" spans="1:3" s="1512" customFormat="1" hidden="1" x14ac:dyDescent="0.35">
      <c r="A108" s="728"/>
      <c r="B108" s="1610"/>
      <c r="C108" s="1610"/>
    </row>
    <row r="109" spans="1:3" s="1512" customFormat="1" hidden="1" x14ac:dyDescent="0.35">
      <c r="A109" s="728"/>
      <c r="B109" s="1610"/>
      <c r="C109" s="1610"/>
    </row>
    <row r="110" spans="1:3" s="1512" customFormat="1" hidden="1" x14ac:dyDescent="0.35">
      <c r="A110" s="728"/>
      <c r="B110" s="1610"/>
      <c r="C110" s="1610"/>
    </row>
    <row r="111" spans="1:3" s="1512" customFormat="1" hidden="1" x14ac:dyDescent="0.35">
      <c r="A111" s="728"/>
      <c r="B111" s="1610"/>
      <c r="C111" s="1610"/>
    </row>
    <row r="112" spans="1:3" s="1512" customFormat="1" x14ac:dyDescent="0.35">
      <c r="A112" s="728"/>
      <c r="B112" s="1610"/>
      <c r="C112" s="1610"/>
    </row>
    <row r="113" spans="1:3" s="1512" customFormat="1" x14ac:dyDescent="0.35">
      <c r="A113" s="728"/>
      <c r="B113" s="1610"/>
      <c r="C113" s="1610"/>
    </row>
    <row r="114" spans="1:3" s="1512" customFormat="1" x14ac:dyDescent="0.35">
      <c r="A114" s="728"/>
      <c r="B114" s="1610"/>
      <c r="C114" s="1610"/>
    </row>
    <row r="115" spans="1:3" s="1512" customFormat="1" x14ac:dyDescent="0.35">
      <c r="A115" s="728"/>
      <c r="B115" s="1610"/>
      <c r="C115" s="1610"/>
    </row>
    <row r="116" spans="1:3" s="1512" customFormat="1" x14ac:dyDescent="0.35">
      <c r="A116" s="728"/>
      <c r="B116" s="1610"/>
      <c r="C116" s="1610"/>
    </row>
    <row r="117" spans="1:3" s="1512" customFormat="1" x14ac:dyDescent="0.35">
      <c r="A117" s="728"/>
      <c r="B117" s="1610"/>
      <c r="C117" s="1610"/>
    </row>
    <row r="118" spans="1:3" s="1512" customFormat="1" x14ac:dyDescent="0.35">
      <c r="A118" s="728"/>
      <c r="B118" s="1610"/>
      <c r="C118" s="1610"/>
    </row>
    <row r="119" spans="1:3" s="1512" customFormat="1" x14ac:dyDescent="0.35">
      <c r="A119" s="728"/>
      <c r="B119" s="1610"/>
      <c r="C119" s="1610"/>
    </row>
    <row r="120" spans="1:3" s="1512" customFormat="1" x14ac:dyDescent="0.35">
      <c r="A120" s="728"/>
      <c r="B120" s="1610"/>
      <c r="C120" s="1610"/>
    </row>
    <row r="121" spans="1:3" s="1512" customFormat="1" x14ac:dyDescent="0.35">
      <c r="A121" s="728"/>
      <c r="B121" s="1610"/>
      <c r="C121" s="1610"/>
    </row>
    <row r="122" spans="1:3" s="1512" customFormat="1" x14ac:dyDescent="0.35">
      <c r="A122" s="728"/>
      <c r="B122" s="1610"/>
      <c r="C122" s="1610"/>
    </row>
    <row r="123" spans="1:3" s="1512" customFormat="1" x14ac:dyDescent="0.35">
      <c r="A123" s="728"/>
      <c r="B123" s="1610"/>
      <c r="C123" s="1610"/>
    </row>
    <row r="124" spans="1:3" s="1512" customFormat="1" x14ac:dyDescent="0.35">
      <c r="A124" s="728"/>
      <c r="B124" s="1610"/>
      <c r="C124" s="1610"/>
    </row>
    <row r="125" spans="1:3" s="1512" customFormat="1" x14ac:dyDescent="0.35">
      <c r="A125" s="728"/>
      <c r="B125" s="1610"/>
      <c r="C125" s="1610"/>
    </row>
    <row r="126" spans="1:3" s="1512" customFormat="1" x14ac:dyDescent="0.35">
      <c r="A126" s="728"/>
      <c r="B126" s="1610"/>
      <c r="C126" s="1610"/>
    </row>
    <row r="127" spans="1:3" s="1512" customFormat="1" x14ac:dyDescent="0.35">
      <c r="A127" s="728"/>
      <c r="B127" s="1610"/>
      <c r="C127" s="1610"/>
    </row>
    <row r="128" spans="1:3" s="1512" customFormat="1" x14ac:dyDescent="0.35">
      <c r="A128" s="728"/>
      <c r="B128" s="1610"/>
      <c r="C128" s="1610"/>
    </row>
    <row r="129" spans="1:3" s="1512" customFormat="1" x14ac:dyDescent="0.35">
      <c r="A129" s="728"/>
      <c r="B129" s="1610"/>
      <c r="C129" s="1610"/>
    </row>
    <row r="130" spans="1:3" s="1512" customFormat="1" x14ac:dyDescent="0.35">
      <c r="A130" s="728"/>
      <c r="B130" s="1610"/>
      <c r="C130" s="1610"/>
    </row>
    <row r="131" spans="1:3" s="1512" customFormat="1" x14ac:dyDescent="0.35">
      <c r="A131" s="728"/>
      <c r="B131" s="1610"/>
      <c r="C131" s="1610"/>
    </row>
    <row r="132" spans="1:3" s="1512" customFormat="1" x14ac:dyDescent="0.35">
      <c r="A132" s="728"/>
      <c r="B132" s="1610"/>
      <c r="C132" s="1610"/>
    </row>
    <row r="133" spans="1:3" s="1512" customFormat="1" x14ac:dyDescent="0.35">
      <c r="A133" s="728"/>
      <c r="B133" s="1610"/>
      <c r="C133" s="1610"/>
    </row>
    <row r="134" spans="1:3" s="1512" customFormat="1" x14ac:dyDescent="0.35">
      <c r="A134" s="728"/>
      <c r="B134" s="1610"/>
      <c r="C134" s="1610"/>
    </row>
    <row r="135" spans="1:3" s="1512" customFormat="1" x14ac:dyDescent="0.35">
      <c r="A135" s="728"/>
      <c r="B135" s="1610"/>
      <c r="C135" s="1610"/>
    </row>
    <row r="136" spans="1:3" s="1512" customFormat="1" x14ac:dyDescent="0.35">
      <c r="A136" s="728"/>
      <c r="B136" s="1610"/>
      <c r="C136" s="1610"/>
    </row>
    <row r="137" spans="1:3" s="1512" customFormat="1" x14ac:dyDescent="0.35">
      <c r="A137" s="728"/>
      <c r="B137" s="1610"/>
      <c r="C137" s="1610"/>
    </row>
    <row r="138" spans="1:3" s="1512" customFormat="1" x14ac:dyDescent="0.35">
      <c r="A138" s="728"/>
      <c r="B138" s="1610"/>
      <c r="C138" s="1610"/>
    </row>
    <row r="139" spans="1:3" s="1512" customFormat="1" x14ac:dyDescent="0.35">
      <c r="A139" s="728"/>
      <c r="B139" s="1610"/>
      <c r="C139" s="1610"/>
    </row>
    <row r="140" spans="1:3" s="1512" customFormat="1" x14ac:dyDescent="0.35">
      <c r="A140" s="728"/>
      <c r="B140" s="1610"/>
      <c r="C140" s="1610"/>
    </row>
    <row r="141" spans="1:3" s="1512" customFormat="1" x14ac:dyDescent="0.35">
      <c r="A141" s="728"/>
      <c r="B141" s="1610"/>
      <c r="C141" s="1610"/>
    </row>
    <row r="142" spans="1:3" s="1512" customFormat="1" x14ac:dyDescent="0.35">
      <c r="A142" s="728"/>
      <c r="B142" s="1610"/>
      <c r="C142" s="1610"/>
    </row>
    <row r="143" spans="1:3" s="1512" customFormat="1" x14ac:dyDescent="0.35">
      <c r="A143" s="728"/>
      <c r="B143" s="1610"/>
      <c r="C143" s="1610"/>
    </row>
    <row r="144" spans="1:3" s="1512" customFormat="1" x14ac:dyDescent="0.35">
      <c r="A144" s="728"/>
      <c r="B144" s="1610"/>
      <c r="C144" s="1610"/>
    </row>
    <row r="145" spans="1:3" s="1512" customFormat="1" x14ac:dyDescent="0.35">
      <c r="A145" s="728"/>
      <c r="B145" s="1610"/>
      <c r="C145" s="1610"/>
    </row>
    <row r="146" spans="1:3" s="1512" customFormat="1" x14ac:dyDescent="0.35">
      <c r="A146" s="728"/>
      <c r="B146" s="1610"/>
      <c r="C146" s="1610"/>
    </row>
    <row r="147" spans="1:3" s="1512" customFormat="1" x14ac:dyDescent="0.35">
      <c r="A147" s="728"/>
      <c r="B147" s="1610"/>
      <c r="C147" s="1610"/>
    </row>
    <row r="148" spans="1:3" s="1512" customFormat="1" x14ac:dyDescent="0.35">
      <c r="A148" s="728"/>
      <c r="B148" s="1610"/>
      <c r="C148" s="1610"/>
    </row>
    <row r="149" spans="1:3" s="1512" customFormat="1" x14ac:dyDescent="0.35">
      <c r="A149" s="728"/>
      <c r="B149" s="1610"/>
      <c r="C149" s="1610"/>
    </row>
    <row r="150" spans="1:3" s="1512" customFormat="1" x14ac:dyDescent="0.35">
      <c r="A150" s="728"/>
      <c r="B150" s="1610"/>
      <c r="C150" s="1610"/>
    </row>
    <row r="151" spans="1:3" s="1512" customFormat="1" x14ac:dyDescent="0.35">
      <c r="A151" s="728"/>
      <c r="B151" s="1610"/>
      <c r="C151" s="1610"/>
    </row>
    <row r="152" spans="1:3" s="1512" customFormat="1" x14ac:dyDescent="0.35">
      <c r="A152" s="728"/>
      <c r="B152" s="1610"/>
      <c r="C152" s="1610"/>
    </row>
    <row r="153" spans="1:3" s="1512" customFormat="1" x14ac:dyDescent="0.35">
      <c r="A153" s="728"/>
      <c r="B153" s="1610"/>
      <c r="C153" s="1610"/>
    </row>
    <row r="154" spans="1:3" s="1512" customFormat="1" x14ac:dyDescent="0.35">
      <c r="A154" s="728"/>
      <c r="B154" s="1610"/>
      <c r="C154" s="1610"/>
    </row>
    <row r="155" spans="1:3" s="1512" customFormat="1" x14ac:dyDescent="0.35">
      <c r="A155" s="728"/>
      <c r="B155" s="1610"/>
      <c r="C155" s="1610"/>
    </row>
    <row r="156" spans="1:3" s="1512" customFormat="1" x14ac:dyDescent="0.35">
      <c r="A156" s="728"/>
      <c r="B156" s="1610"/>
      <c r="C156" s="1610"/>
    </row>
    <row r="157" spans="1:3" s="1512" customFormat="1" x14ac:dyDescent="0.35">
      <c r="A157" s="728"/>
      <c r="B157" s="1610"/>
      <c r="C157" s="1610"/>
    </row>
    <row r="158" spans="1:3" s="1512" customFormat="1" x14ac:dyDescent="0.35">
      <c r="A158" s="728"/>
      <c r="B158" s="1610"/>
      <c r="C158" s="1610"/>
    </row>
    <row r="159" spans="1:3" s="1512" customFormat="1" x14ac:dyDescent="0.35">
      <c r="A159" s="728"/>
      <c r="B159" s="1610"/>
      <c r="C159" s="1610"/>
    </row>
    <row r="160" spans="1:3" s="1512" customFormat="1" x14ac:dyDescent="0.35">
      <c r="A160" s="728"/>
      <c r="B160" s="1610"/>
      <c r="C160" s="1610"/>
    </row>
    <row r="161" spans="1:3" s="1512" customFormat="1" x14ac:dyDescent="0.35">
      <c r="A161" s="728"/>
      <c r="B161" s="1610"/>
      <c r="C161" s="1610"/>
    </row>
    <row r="162" spans="1:3" s="1512" customFormat="1" x14ac:dyDescent="0.35">
      <c r="A162" s="728"/>
      <c r="B162" s="1610"/>
      <c r="C162" s="1610"/>
    </row>
    <row r="163" spans="1:3" s="1512" customFormat="1" x14ac:dyDescent="0.35">
      <c r="A163" s="728"/>
      <c r="B163" s="1610"/>
      <c r="C163" s="1610"/>
    </row>
    <row r="164" spans="1:3" s="1512" customFormat="1" x14ac:dyDescent="0.35">
      <c r="A164" s="728"/>
      <c r="B164" s="1610"/>
      <c r="C164" s="1610"/>
    </row>
    <row r="165" spans="1:3" s="1512" customFormat="1" x14ac:dyDescent="0.35">
      <c r="A165" s="728"/>
      <c r="B165" s="1610"/>
      <c r="C165" s="1610"/>
    </row>
    <row r="166" spans="1:3" s="1512" customFormat="1" x14ac:dyDescent="0.35">
      <c r="A166" s="728"/>
      <c r="B166" s="1610"/>
      <c r="C166" s="1610"/>
    </row>
    <row r="167" spans="1:3" s="1512" customFormat="1" x14ac:dyDescent="0.35">
      <c r="A167" s="728"/>
      <c r="B167" s="1610"/>
      <c r="C167" s="1610"/>
    </row>
    <row r="168" spans="1:3" s="1512" customFormat="1" x14ac:dyDescent="0.35">
      <c r="A168" s="728"/>
      <c r="B168" s="1610"/>
      <c r="C168" s="1610"/>
    </row>
    <row r="169" spans="1:3" s="1512" customFormat="1" x14ac:dyDescent="0.35">
      <c r="A169" s="728"/>
      <c r="B169" s="1610"/>
      <c r="C169" s="1610"/>
    </row>
    <row r="170" spans="1:3" s="1512" customFormat="1" x14ac:dyDescent="0.35">
      <c r="A170" s="728"/>
      <c r="B170" s="1610"/>
      <c r="C170" s="1610"/>
    </row>
    <row r="171" spans="1:3" s="1512" customFormat="1" x14ac:dyDescent="0.35">
      <c r="A171" s="728"/>
      <c r="B171" s="1610"/>
      <c r="C171" s="1610"/>
    </row>
    <row r="172" spans="1:3" s="1512" customFormat="1" x14ac:dyDescent="0.35">
      <c r="A172" s="728"/>
      <c r="B172" s="1610"/>
      <c r="C172" s="1610"/>
    </row>
    <row r="173" spans="1:3" s="1512" customFormat="1" x14ac:dyDescent="0.35">
      <c r="A173" s="728"/>
      <c r="B173" s="1610"/>
      <c r="C173" s="1610"/>
    </row>
    <row r="174" spans="1:3" s="1512" customFormat="1" x14ac:dyDescent="0.35">
      <c r="A174" s="728"/>
      <c r="B174" s="1610"/>
      <c r="C174" s="1610"/>
    </row>
    <row r="175" spans="1:3" s="1512" customFormat="1" x14ac:dyDescent="0.35">
      <c r="A175" s="728"/>
      <c r="B175" s="1610"/>
      <c r="C175" s="1610"/>
    </row>
    <row r="176" spans="1:3" s="1512" customFormat="1" x14ac:dyDescent="0.35">
      <c r="A176" s="728"/>
      <c r="B176" s="1610"/>
      <c r="C176" s="1610"/>
    </row>
    <row r="177" spans="1:3" s="1512" customFormat="1" x14ac:dyDescent="0.35">
      <c r="A177" s="728"/>
      <c r="B177" s="1610"/>
      <c r="C177" s="1610"/>
    </row>
    <row r="178" spans="1:3" s="1512" customFormat="1" x14ac:dyDescent="0.35">
      <c r="A178" s="728"/>
      <c r="B178" s="1610"/>
      <c r="C178" s="1610"/>
    </row>
    <row r="179" spans="1:3" s="1512" customFormat="1" x14ac:dyDescent="0.35">
      <c r="A179" s="728"/>
      <c r="B179" s="1610"/>
      <c r="C179" s="1610"/>
    </row>
    <row r="180" spans="1:3" s="1512" customFormat="1" x14ac:dyDescent="0.35">
      <c r="A180" s="728"/>
      <c r="B180" s="1610"/>
      <c r="C180" s="1610"/>
    </row>
    <row r="181" spans="1:3" s="1512" customFormat="1" x14ac:dyDescent="0.35">
      <c r="A181" s="728"/>
      <c r="B181" s="1610"/>
      <c r="C181" s="1610"/>
    </row>
    <row r="182" spans="1:3" s="1512" customFormat="1" x14ac:dyDescent="0.35">
      <c r="A182" s="728"/>
      <c r="B182" s="1610"/>
      <c r="C182" s="1610"/>
    </row>
    <row r="183" spans="1:3" s="1512" customFormat="1" x14ac:dyDescent="0.35">
      <c r="A183" s="728"/>
      <c r="B183" s="1610"/>
      <c r="C183" s="1610"/>
    </row>
    <row r="184" spans="1:3" s="1512" customFormat="1" x14ac:dyDescent="0.35">
      <c r="A184" s="728"/>
      <c r="B184" s="1610"/>
      <c r="C184" s="1610"/>
    </row>
    <row r="185" spans="1:3" s="1512" customFormat="1" x14ac:dyDescent="0.35">
      <c r="A185" s="728"/>
      <c r="B185" s="1610"/>
      <c r="C185" s="1610"/>
    </row>
    <row r="186" spans="1:3" s="1512" customFormat="1" x14ac:dyDescent="0.35">
      <c r="A186" s="728"/>
      <c r="B186" s="1610"/>
      <c r="C186" s="1610"/>
    </row>
    <row r="187" spans="1:3" s="1512" customFormat="1" x14ac:dyDescent="0.35">
      <c r="A187" s="728"/>
      <c r="B187" s="1610"/>
      <c r="C187" s="1610"/>
    </row>
    <row r="188" spans="1:3" s="1512" customFormat="1" x14ac:dyDescent="0.35">
      <c r="A188" s="728"/>
      <c r="B188" s="1610"/>
      <c r="C188" s="1610"/>
    </row>
    <row r="189" spans="1:3" s="1512" customFormat="1" x14ac:dyDescent="0.35">
      <c r="A189" s="728"/>
      <c r="B189" s="1610"/>
      <c r="C189" s="1610"/>
    </row>
    <row r="190" spans="1:3" s="1512" customFormat="1" x14ac:dyDescent="0.35">
      <c r="A190" s="728"/>
      <c r="B190" s="1610"/>
      <c r="C190" s="1610"/>
    </row>
    <row r="191" spans="1:3" s="1512" customFormat="1" x14ac:dyDescent="0.35">
      <c r="A191" s="728"/>
      <c r="B191" s="1610"/>
      <c r="C191" s="1610"/>
    </row>
    <row r="192" spans="1:3" s="1512" customFormat="1" x14ac:dyDescent="0.35">
      <c r="A192" s="728"/>
      <c r="B192" s="1610"/>
      <c r="C192" s="1610"/>
    </row>
    <row r="193" spans="1:3" s="1512" customFormat="1" x14ac:dyDescent="0.35">
      <c r="A193" s="728"/>
      <c r="B193" s="1610"/>
      <c r="C193" s="1610"/>
    </row>
    <row r="194" spans="1:3" s="1512" customFormat="1" x14ac:dyDescent="0.35">
      <c r="A194" s="728"/>
      <c r="B194" s="1610"/>
      <c r="C194" s="1610"/>
    </row>
    <row r="195" spans="1:3" s="1512" customFormat="1" x14ac:dyDescent="0.35">
      <c r="A195" s="728"/>
      <c r="B195" s="1610"/>
      <c r="C195" s="1610"/>
    </row>
    <row r="196" spans="1:3" s="1512" customFormat="1" x14ac:dyDescent="0.35">
      <c r="A196" s="728"/>
      <c r="B196" s="1610"/>
      <c r="C196" s="1610"/>
    </row>
    <row r="197" spans="1:3" s="1512" customFormat="1" x14ac:dyDescent="0.35">
      <c r="A197" s="728"/>
      <c r="B197" s="1610"/>
      <c r="C197" s="1610"/>
    </row>
    <row r="198" spans="1:3" s="1512" customFormat="1" x14ac:dyDescent="0.35">
      <c r="A198" s="728"/>
      <c r="B198" s="1610"/>
      <c r="C198" s="1610"/>
    </row>
    <row r="199" spans="1:3" s="1512" customFormat="1" x14ac:dyDescent="0.35">
      <c r="A199" s="728"/>
      <c r="B199" s="1610"/>
      <c r="C199" s="1610"/>
    </row>
    <row r="200" spans="1:3" s="1512" customFormat="1" x14ac:dyDescent="0.35">
      <c r="A200" s="728"/>
      <c r="B200" s="1610"/>
      <c r="C200" s="1610"/>
    </row>
    <row r="201" spans="1:3" s="1512" customFormat="1" x14ac:dyDescent="0.35">
      <c r="A201" s="728"/>
      <c r="B201" s="1610"/>
      <c r="C201" s="1610"/>
    </row>
    <row r="202" spans="1:3" s="1512" customFormat="1" x14ac:dyDescent="0.35">
      <c r="A202" s="728"/>
      <c r="B202" s="1610"/>
      <c r="C202" s="1610"/>
    </row>
    <row r="203" spans="1:3" s="1512" customFormat="1" x14ac:dyDescent="0.35">
      <c r="A203" s="728"/>
      <c r="B203" s="1610"/>
      <c r="C203" s="1610"/>
    </row>
    <row r="204" spans="1:3" s="1512" customFormat="1" x14ac:dyDescent="0.35">
      <c r="A204" s="728"/>
      <c r="B204" s="1610"/>
      <c r="C204" s="1610"/>
    </row>
    <row r="205" spans="1:3" s="1512" customFormat="1" x14ac:dyDescent="0.35">
      <c r="A205" s="728"/>
      <c r="B205" s="1610"/>
      <c r="C205" s="1610"/>
    </row>
    <row r="206" spans="1:3" s="1512" customFormat="1" x14ac:dyDescent="0.35">
      <c r="A206" s="728"/>
      <c r="B206" s="1610"/>
      <c r="C206" s="1610"/>
    </row>
    <row r="207" spans="1:3" s="1512" customFormat="1" x14ac:dyDescent="0.35">
      <c r="A207" s="728"/>
      <c r="B207" s="1610"/>
      <c r="C207" s="1610"/>
    </row>
    <row r="208" spans="1:3" s="1512" customFormat="1" x14ac:dyDescent="0.35">
      <c r="A208" s="728"/>
      <c r="B208" s="1610"/>
      <c r="C208" s="1610"/>
    </row>
    <row r="209" spans="1:3" s="1512" customFormat="1" x14ac:dyDescent="0.35">
      <c r="A209" s="728"/>
      <c r="B209" s="1610"/>
      <c r="C209" s="1610"/>
    </row>
    <row r="210" spans="1:3" s="1512" customFormat="1" x14ac:dyDescent="0.35">
      <c r="A210" s="728"/>
      <c r="B210" s="1610"/>
      <c r="C210" s="1610"/>
    </row>
    <row r="211" spans="1:3" s="1512" customFormat="1" x14ac:dyDescent="0.35">
      <c r="A211" s="728"/>
      <c r="B211" s="1610"/>
      <c r="C211" s="1610"/>
    </row>
    <row r="212" spans="1:3" s="1512" customFormat="1" x14ac:dyDescent="0.35">
      <c r="A212" s="728"/>
      <c r="B212" s="1610"/>
      <c r="C212" s="1610"/>
    </row>
    <row r="213" spans="1:3" s="1512" customFormat="1" x14ac:dyDescent="0.35">
      <c r="A213" s="728"/>
      <c r="B213" s="1610"/>
      <c r="C213" s="1610"/>
    </row>
    <row r="214" spans="1:3" s="1512" customFormat="1" x14ac:dyDescent="0.35">
      <c r="A214" s="728"/>
      <c r="B214" s="1610"/>
      <c r="C214" s="1610"/>
    </row>
    <row r="215" spans="1:3" s="1512" customFormat="1" x14ac:dyDescent="0.35">
      <c r="A215" s="728"/>
      <c r="B215" s="1610"/>
      <c r="C215" s="1610"/>
    </row>
    <row r="216" spans="1:3" s="1512" customFormat="1" x14ac:dyDescent="0.35">
      <c r="A216" s="728"/>
      <c r="B216" s="1610"/>
      <c r="C216" s="1610"/>
    </row>
    <row r="217" spans="1:3" s="1512" customFormat="1" x14ac:dyDescent="0.35">
      <c r="A217" s="728"/>
      <c r="B217" s="1610"/>
      <c r="C217" s="1610"/>
    </row>
    <row r="218" spans="1:3" s="1512" customFormat="1" x14ac:dyDescent="0.35">
      <c r="A218" s="728"/>
      <c r="B218" s="1610"/>
      <c r="C218" s="1610"/>
    </row>
    <row r="219" spans="1:3" s="1512" customFormat="1" x14ac:dyDescent="0.35">
      <c r="A219" s="728"/>
      <c r="B219" s="1610"/>
      <c r="C219" s="1610"/>
    </row>
    <row r="220" spans="1:3" s="1512" customFormat="1" x14ac:dyDescent="0.35">
      <c r="A220" s="728"/>
      <c r="B220" s="1610"/>
      <c r="C220" s="1610"/>
    </row>
    <row r="221" spans="1:3" s="1512" customFormat="1" x14ac:dyDescent="0.35">
      <c r="A221" s="728"/>
      <c r="B221" s="1610"/>
      <c r="C221" s="1610"/>
    </row>
    <row r="222" spans="1:3" s="1512" customFormat="1" x14ac:dyDescent="0.35">
      <c r="A222" s="728"/>
      <c r="B222" s="1610"/>
      <c r="C222" s="1610"/>
    </row>
    <row r="223" spans="1:3" s="1512" customFormat="1" x14ac:dyDescent="0.35">
      <c r="A223" s="728"/>
      <c r="B223" s="1610"/>
      <c r="C223" s="1610"/>
    </row>
    <row r="224" spans="1:3" s="1512" customFormat="1" x14ac:dyDescent="0.35">
      <c r="A224" s="728"/>
      <c r="B224" s="1610"/>
      <c r="C224" s="1610"/>
    </row>
    <row r="225" spans="1:3" s="1512" customFormat="1" x14ac:dyDescent="0.35">
      <c r="A225" s="728"/>
      <c r="B225" s="1610"/>
      <c r="C225" s="1610"/>
    </row>
    <row r="226" spans="1:3" s="1512" customFormat="1" x14ac:dyDescent="0.35">
      <c r="A226" s="728"/>
      <c r="B226" s="1610"/>
      <c r="C226" s="1610"/>
    </row>
    <row r="227" spans="1:3" s="1512" customFormat="1" x14ac:dyDescent="0.35">
      <c r="A227" s="728"/>
      <c r="B227" s="1610"/>
      <c r="C227" s="1610"/>
    </row>
    <row r="228" spans="1:3" s="1512" customFormat="1" x14ac:dyDescent="0.35">
      <c r="A228" s="728"/>
      <c r="B228" s="1610"/>
      <c r="C228" s="1610"/>
    </row>
    <row r="229" spans="1:3" s="1512" customFormat="1" x14ac:dyDescent="0.35">
      <c r="A229" s="728"/>
      <c r="B229" s="1610"/>
      <c r="C229" s="1610"/>
    </row>
    <row r="230" spans="1:3" s="1512" customFormat="1" x14ac:dyDescent="0.35">
      <c r="A230" s="728"/>
      <c r="B230" s="1610"/>
      <c r="C230" s="1610"/>
    </row>
    <row r="231" spans="1:3" s="1512" customFormat="1" x14ac:dyDescent="0.35">
      <c r="A231" s="728"/>
      <c r="B231" s="1610"/>
      <c r="C231" s="1610"/>
    </row>
    <row r="232" spans="1:3" s="1512" customFormat="1" x14ac:dyDescent="0.35">
      <c r="A232" s="728"/>
      <c r="B232" s="1610"/>
      <c r="C232" s="1610"/>
    </row>
    <row r="233" spans="1:3" s="1512" customFormat="1" x14ac:dyDescent="0.35">
      <c r="A233" s="728"/>
      <c r="B233" s="1610"/>
      <c r="C233" s="1610"/>
    </row>
    <row r="234" spans="1:3" s="1512" customFormat="1" x14ac:dyDescent="0.35">
      <c r="A234" s="728"/>
      <c r="B234" s="1610"/>
      <c r="C234" s="1610"/>
    </row>
    <row r="235" spans="1:3" s="1512" customFormat="1" x14ac:dyDescent="0.35">
      <c r="A235" s="728"/>
      <c r="B235" s="1610"/>
      <c r="C235" s="1610"/>
    </row>
    <row r="236" spans="1:3" s="1512" customFormat="1" x14ac:dyDescent="0.35">
      <c r="A236" s="728"/>
      <c r="B236" s="1610"/>
      <c r="C236" s="1610"/>
    </row>
    <row r="237" spans="1:3" s="1512" customFormat="1" x14ac:dyDescent="0.35">
      <c r="A237" s="728"/>
      <c r="B237" s="1610"/>
      <c r="C237" s="1610"/>
    </row>
    <row r="238" spans="1:3" s="1512" customFormat="1" x14ac:dyDescent="0.35">
      <c r="A238" s="728"/>
      <c r="B238" s="1610"/>
      <c r="C238" s="1610"/>
    </row>
    <row r="239" spans="1:3" s="1512" customFormat="1" x14ac:dyDescent="0.35">
      <c r="A239" s="728"/>
      <c r="B239" s="1610"/>
      <c r="C239" s="1610"/>
    </row>
    <row r="240" spans="1:3" s="1512" customFormat="1" x14ac:dyDescent="0.35">
      <c r="A240" s="728"/>
      <c r="B240" s="1610"/>
      <c r="C240" s="1610"/>
    </row>
    <row r="241" spans="1:3" s="1512" customFormat="1" x14ac:dyDescent="0.35">
      <c r="A241" s="728"/>
      <c r="B241" s="1610"/>
      <c r="C241" s="1610"/>
    </row>
    <row r="242" spans="1:3" s="1512" customFormat="1" x14ac:dyDescent="0.35">
      <c r="A242" s="728"/>
      <c r="B242" s="1610"/>
      <c r="C242" s="1610"/>
    </row>
    <row r="243" spans="1:3" s="1512" customFormat="1" x14ac:dyDescent="0.35">
      <c r="A243" s="728"/>
      <c r="B243" s="1610"/>
      <c r="C243" s="1610"/>
    </row>
    <row r="244" spans="1:3" s="1512" customFormat="1" x14ac:dyDescent="0.35">
      <c r="A244" s="728"/>
      <c r="B244" s="1610"/>
      <c r="C244" s="1610"/>
    </row>
    <row r="245" spans="1:3" s="1512" customFormat="1" x14ac:dyDescent="0.35">
      <c r="A245" s="728"/>
      <c r="B245" s="1610"/>
      <c r="C245" s="1610"/>
    </row>
    <row r="246" spans="1:3" s="1512" customFormat="1" x14ac:dyDescent="0.35">
      <c r="A246" s="728"/>
      <c r="B246" s="1610"/>
      <c r="C246" s="1610"/>
    </row>
    <row r="247" spans="1:3" s="1512" customFormat="1" x14ac:dyDescent="0.35">
      <c r="A247" s="728"/>
      <c r="B247" s="1610"/>
      <c r="C247" s="1610"/>
    </row>
    <row r="248" spans="1:3" s="1512" customFormat="1" x14ac:dyDescent="0.35">
      <c r="A248" s="728"/>
      <c r="B248" s="1610"/>
      <c r="C248" s="1610"/>
    </row>
    <row r="249" spans="1:3" s="1512" customFormat="1" x14ac:dyDescent="0.35">
      <c r="A249" s="728"/>
      <c r="B249" s="1610"/>
      <c r="C249" s="1610"/>
    </row>
    <row r="250" spans="1:3" s="1512" customFormat="1" x14ac:dyDescent="0.35">
      <c r="A250" s="728"/>
      <c r="B250" s="1610"/>
      <c r="C250" s="1610"/>
    </row>
    <row r="251" spans="1:3" s="1512" customFormat="1" x14ac:dyDescent="0.35">
      <c r="A251" s="728"/>
      <c r="B251" s="1610"/>
      <c r="C251" s="1610"/>
    </row>
    <row r="252" spans="1:3" s="1512" customFormat="1" x14ac:dyDescent="0.35">
      <c r="A252" s="728"/>
      <c r="B252" s="1610"/>
      <c r="C252" s="1610"/>
    </row>
    <row r="253" spans="1:3" s="1512" customFormat="1" x14ac:dyDescent="0.35">
      <c r="A253" s="728"/>
      <c r="B253" s="1610"/>
      <c r="C253" s="1610"/>
    </row>
    <row r="254" spans="1:3" s="1512" customFormat="1" x14ac:dyDescent="0.35">
      <c r="A254" s="728"/>
      <c r="B254" s="1610"/>
      <c r="C254" s="1610"/>
    </row>
    <row r="255" spans="1:3" s="1512" customFormat="1" x14ac:dyDescent="0.35">
      <c r="A255" s="728"/>
      <c r="B255" s="1610"/>
      <c r="C255" s="1610"/>
    </row>
    <row r="256" spans="1:3" s="1512" customFormat="1" x14ac:dyDescent="0.35">
      <c r="A256" s="728"/>
      <c r="B256" s="1610"/>
      <c r="C256" s="1610"/>
    </row>
    <row r="257" spans="1:3" s="1512" customFormat="1" x14ac:dyDescent="0.35">
      <c r="A257" s="728"/>
      <c r="B257" s="1610"/>
      <c r="C257" s="1610"/>
    </row>
    <row r="258" spans="1:3" s="1512" customFormat="1" x14ac:dyDescent="0.35">
      <c r="A258" s="728"/>
      <c r="B258" s="1610"/>
      <c r="C258" s="1610"/>
    </row>
    <row r="259" spans="1:3" s="1512" customFormat="1" x14ac:dyDescent="0.35">
      <c r="A259" s="728"/>
      <c r="B259" s="1610"/>
      <c r="C259" s="1610"/>
    </row>
    <row r="260" spans="1:3" s="1512" customFormat="1" x14ac:dyDescent="0.35">
      <c r="A260" s="728"/>
      <c r="B260" s="1610"/>
      <c r="C260" s="1610"/>
    </row>
    <row r="261" spans="1:3" s="1512" customFormat="1" x14ac:dyDescent="0.35">
      <c r="A261" s="728"/>
      <c r="B261" s="1610"/>
      <c r="C261" s="1610"/>
    </row>
    <row r="262" spans="1:3" s="1512" customFormat="1" x14ac:dyDescent="0.35">
      <c r="A262" s="728"/>
      <c r="B262" s="1610"/>
      <c r="C262" s="1610"/>
    </row>
    <row r="263" spans="1:3" s="1512" customFormat="1" x14ac:dyDescent="0.35">
      <c r="A263" s="728"/>
      <c r="B263" s="1610"/>
      <c r="C263" s="1610"/>
    </row>
    <row r="264" spans="1:3" s="1512" customFormat="1" x14ac:dyDescent="0.35">
      <c r="A264" s="728"/>
      <c r="B264" s="1610"/>
      <c r="C264" s="1610"/>
    </row>
    <row r="265" spans="1:3" s="1512" customFormat="1" x14ac:dyDescent="0.35">
      <c r="A265" s="728"/>
      <c r="B265" s="1610"/>
      <c r="C265" s="1610"/>
    </row>
    <row r="266" spans="1:3" s="1512" customFormat="1" x14ac:dyDescent="0.35">
      <c r="A266" s="728"/>
      <c r="B266" s="1610"/>
      <c r="C266" s="1610"/>
    </row>
    <row r="267" spans="1:3" s="1512" customFormat="1" x14ac:dyDescent="0.35">
      <c r="A267" s="728"/>
      <c r="B267" s="1610"/>
      <c r="C267" s="1610"/>
    </row>
    <row r="268" spans="1:3" s="1512" customFormat="1" x14ac:dyDescent="0.35">
      <c r="A268" s="728"/>
      <c r="B268" s="1610"/>
      <c r="C268" s="1610"/>
    </row>
    <row r="269" spans="1:3" s="1512" customFormat="1" x14ac:dyDescent="0.35">
      <c r="A269" s="728"/>
      <c r="B269" s="1610"/>
      <c r="C269" s="1610"/>
    </row>
    <row r="270" spans="1:3" s="1512" customFormat="1" x14ac:dyDescent="0.35">
      <c r="A270" s="728"/>
      <c r="B270" s="1610"/>
      <c r="C270" s="1610"/>
    </row>
    <row r="271" spans="1:3" s="1512" customFormat="1" x14ac:dyDescent="0.35">
      <c r="A271" s="728"/>
      <c r="B271" s="1610"/>
      <c r="C271" s="1610"/>
    </row>
    <row r="272" spans="1:3" s="1512" customFormat="1" x14ac:dyDescent="0.35">
      <c r="A272" s="728"/>
      <c r="B272" s="1610"/>
      <c r="C272" s="1610"/>
    </row>
    <row r="273" spans="1:3" s="1512" customFormat="1" x14ac:dyDescent="0.35">
      <c r="A273" s="728"/>
      <c r="B273" s="1610"/>
      <c r="C273" s="1610"/>
    </row>
    <row r="274" spans="1:3" s="1512" customFormat="1" x14ac:dyDescent="0.35">
      <c r="A274" s="728"/>
      <c r="B274" s="1610"/>
      <c r="C274" s="1610"/>
    </row>
    <row r="275" spans="1:3" s="1512" customFormat="1" x14ac:dyDescent="0.35">
      <c r="A275" s="728"/>
      <c r="B275" s="1610"/>
      <c r="C275" s="1610"/>
    </row>
    <row r="276" spans="1:3" s="1512" customFormat="1" x14ac:dyDescent="0.35">
      <c r="A276" s="728"/>
      <c r="B276" s="1610"/>
      <c r="C276" s="1610"/>
    </row>
    <row r="277" spans="1:3" s="1512" customFormat="1" x14ac:dyDescent="0.35">
      <c r="A277" s="728"/>
      <c r="B277" s="1610"/>
      <c r="C277" s="1610"/>
    </row>
    <row r="278" spans="1:3" s="1512" customFormat="1" x14ac:dyDescent="0.35">
      <c r="A278" s="728"/>
      <c r="B278" s="1610"/>
      <c r="C278" s="1610"/>
    </row>
    <row r="279" spans="1:3" s="1512" customFormat="1" x14ac:dyDescent="0.35">
      <c r="A279" s="728"/>
      <c r="B279" s="1610"/>
      <c r="C279" s="1610"/>
    </row>
    <row r="280" spans="1:3" s="1512" customFormat="1" x14ac:dyDescent="0.35">
      <c r="A280" s="728"/>
      <c r="B280" s="1610"/>
      <c r="C280" s="1610"/>
    </row>
    <row r="281" spans="1:3" s="1512" customFormat="1" x14ac:dyDescent="0.35">
      <c r="A281" s="728"/>
      <c r="B281" s="1610"/>
      <c r="C281" s="1610"/>
    </row>
    <row r="282" spans="1:3" s="1512" customFormat="1" x14ac:dyDescent="0.35">
      <c r="A282" s="728"/>
      <c r="B282" s="1610"/>
      <c r="C282" s="1610"/>
    </row>
    <row r="283" spans="1:3" s="1512" customFormat="1" x14ac:dyDescent="0.35">
      <c r="A283" s="728"/>
      <c r="B283" s="1610"/>
      <c r="C283" s="1610"/>
    </row>
    <row r="284" spans="1:3" s="1512" customFormat="1" x14ac:dyDescent="0.35">
      <c r="A284" s="728"/>
      <c r="B284" s="1610"/>
      <c r="C284" s="1610"/>
    </row>
    <row r="285" spans="1:3" s="1512" customFormat="1" x14ac:dyDescent="0.35">
      <c r="A285" s="728"/>
      <c r="B285" s="1610"/>
      <c r="C285" s="1610"/>
    </row>
    <row r="286" spans="1:3" s="1512" customFormat="1" x14ac:dyDescent="0.35">
      <c r="A286" s="728"/>
      <c r="B286" s="1610"/>
      <c r="C286" s="1610"/>
    </row>
    <row r="287" spans="1:3" s="1512" customFormat="1" x14ac:dyDescent="0.35">
      <c r="A287" s="728"/>
      <c r="B287" s="1610"/>
      <c r="C287" s="1610"/>
    </row>
    <row r="288" spans="1:3" s="1512" customFormat="1" x14ac:dyDescent="0.35">
      <c r="A288" s="728"/>
      <c r="B288" s="1610"/>
      <c r="C288" s="1610"/>
    </row>
    <row r="289" spans="1:3" s="1512" customFormat="1" x14ac:dyDescent="0.35">
      <c r="A289" s="728"/>
      <c r="B289" s="1610"/>
      <c r="C289" s="1610"/>
    </row>
    <row r="290" spans="1:3" s="1512" customFormat="1" x14ac:dyDescent="0.35">
      <c r="A290" s="728"/>
      <c r="B290" s="1610"/>
      <c r="C290" s="1610"/>
    </row>
    <row r="291" spans="1:3" s="1512" customFormat="1" x14ac:dyDescent="0.35">
      <c r="A291" s="728"/>
      <c r="B291" s="1610"/>
      <c r="C291" s="1610"/>
    </row>
    <row r="292" spans="1:3" s="1512" customFormat="1" x14ac:dyDescent="0.35">
      <c r="A292" s="728"/>
      <c r="B292" s="1610"/>
      <c r="C292" s="1610"/>
    </row>
    <row r="293" spans="1:3" s="1512" customFormat="1" x14ac:dyDescent="0.35">
      <c r="A293" s="728"/>
      <c r="B293" s="1610"/>
      <c r="C293" s="1610"/>
    </row>
    <row r="294" spans="1:3" s="1512" customFormat="1" x14ac:dyDescent="0.35">
      <c r="A294" s="728"/>
      <c r="B294" s="1610"/>
      <c r="C294" s="1610"/>
    </row>
    <row r="295" spans="1:3" s="1512" customFormat="1" x14ac:dyDescent="0.35">
      <c r="A295" s="728"/>
      <c r="B295" s="1610"/>
      <c r="C295" s="1610"/>
    </row>
    <row r="296" spans="1:3" s="1512" customFormat="1" x14ac:dyDescent="0.35">
      <c r="A296" s="728"/>
      <c r="B296" s="1610"/>
      <c r="C296" s="1610"/>
    </row>
    <row r="297" spans="1:3" s="1512" customFormat="1" x14ac:dyDescent="0.35">
      <c r="A297" s="728"/>
      <c r="B297" s="1610"/>
      <c r="C297" s="1610"/>
    </row>
    <row r="298" spans="1:3" s="1512" customFormat="1" x14ac:dyDescent="0.35">
      <c r="A298" s="728"/>
      <c r="B298" s="1610"/>
      <c r="C298" s="1610"/>
    </row>
    <row r="299" spans="1:3" s="1512" customFormat="1" x14ac:dyDescent="0.35">
      <c r="A299" s="728"/>
      <c r="B299" s="1610"/>
      <c r="C299" s="1610"/>
    </row>
    <row r="300" spans="1:3" s="1512" customFormat="1" x14ac:dyDescent="0.35">
      <c r="A300" s="728"/>
      <c r="B300" s="1610"/>
      <c r="C300" s="1610"/>
    </row>
    <row r="301" spans="1:3" s="1512" customFormat="1" x14ac:dyDescent="0.35">
      <c r="A301" s="728"/>
      <c r="B301" s="1610"/>
      <c r="C301" s="1610"/>
    </row>
    <row r="302" spans="1:3" s="1512" customFormat="1" x14ac:dyDescent="0.35">
      <c r="A302" s="728"/>
      <c r="B302" s="1610"/>
      <c r="C302" s="1610"/>
    </row>
    <row r="303" spans="1:3" s="1512" customFormat="1" x14ac:dyDescent="0.35">
      <c r="A303" s="728"/>
      <c r="B303" s="1610"/>
      <c r="C303" s="1610"/>
    </row>
    <row r="304" spans="1:3" s="1512" customFormat="1" x14ac:dyDescent="0.35">
      <c r="A304" s="728"/>
      <c r="B304" s="1610"/>
      <c r="C304" s="1610"/>
    </row>
    <row r="305" spans="1:3" s="1512" customFormat="1" x14ac:dyDescent="0.35">
      <c r="A305" s="728"/>
      <c r="B305" s="1610"/>
      <c r="C305" s="1610"/>
    </row>
    <row r="306" spans="1:3" s="1512" customFormat="1" x14ac:dyDescent="0.35">
      <c r="A306" s="728"/>
      <c r="B306" s="1610"/>
      <c r="C306" s="1610"/>
    </row>
    <row r="307" spans="1:3" s="1512" customFormat="1" x14ac:dyDescent="0.35">
      <c r="A307" s="728"/>
      <c r="B307" s="1610"/>
      <c r="C307" s="1610"/>
    </row>
    <row r="308" spans="1:3" s="1512" customFormat="1" x14ac:dyDescent="0.35">
      <c r="A308" s="728"/>
      <c r="B308" s="1610"/>
      <c r="C308" s="1610"/>
    </row>
    <row r="309" spans="1:3" s="1512" customFormat="1" x14ac:dyDescent="0.35">
      <c r="A309" s="728"/>
      <c r="B309" s="1610"/>
      <c r="C309" s="1610"/>
    </row>
    <row r="310" spans="1:3" s="1512" customFormat="1" x14ac:dyDescent="0.35">
      <c r="A310" s="728"/>
      <c r="B310" s="1610"/>
      <c r="C310" s="1610"/>
    </row>
    <row r="311" spans="1:3" s="1512" customFormat="1" x14ac:dyDescent="0.35">
      <c r="A311" s="728"/>
      <c r="B311" s="1610"/>
      <c r="C311" s="1610"/>
    </row>
    <row r="312" spans="1:3" s="1512" customFormat="1" x14ac:dyDescent="0.35">
      <c r="A312" s="728"/>
      <c r="B312" s="1610"/>
      <c r="C312" s="1610"/>
    </row>
    <row r="313" spans="1:3" s="1512" customFormat="1" x14ac:dyDescent="0.35">
      <c r="A313" s="728"/>
      <c r="B313" s="1610"/>
      <c r="C313" s="1610"/>
    </row>
    <row r="314" spans="1:3" s="1512" customFormat="1" x14ac:dyDescent="0.35">
      <c r="A314" s="728"/>
      <c r="B314" s="1610"/>
      <c r="C314" s="1610"/>
    </row>
    <row r="315" spans="1:3" s="1512" customFormat="1" x14ac:dyDescent="0.35">
      <c r="A315" s="728"/>
      <c r="B315" s="1610"/>
      <c r="C315" s="1610"/>
    </row>
    <row r="316" spans="1:3" s="1512" customFormat="1" x14ac:dyDescent="0.35">
      <c r="A316" s="728"/>
      <c r="B316" s="1610"/>
      <c r="C316" s="1610"/>
    </row>
    <row r="317" spans="1:3" s="1512" customFormat="1" x14ac:dyDescent="0.35">
      <c r="A317" s="728"/>
      <c r="B317" s="1610"/>
      <c r="C317" s="1610"/>
    </row>
    <row r="318" spans="1:3" s="1512" customFormat="1" x14ac:dyDescent="0.35">
      <c r="A318" s="728"/>
      <c r="B318" s="1610"/>
      <c r="C318" s="1610"/>
    </row>
    <row r="319" spans="1:3" s="1512" customFormat="1" x14ac:dyDescent="0.35">
      <c r="A319" s="728"/>
      <c r="B319" s="1610"/>
      <c r="C319" s="1610"/>
    </row>
    <row r="320" spans="1:3" s="1512" customFormat="1" x14ac:dyDescent="0.35">
      <c r="A320" s="728"/>
      <c r="B320" s="1610"/>
      <c r="C320" s="1610"/>
    </row>
    <row r="321" spans="1:3" s="1512" customFormat="1" x14ac:dyDescent="0.35">
      <c r="A321" s="728"/>
      <c r="B321" s="1610"/>
      <c r="C321" s="1610"/>
    </row>
    <row r="322" spans="1:3" s="1512" customFormat="1" x14ac:dyDescent="0.35">
      <c r="A322" s="728"/>
      <c r="B322" s="1610"/>
      <c r="C322" s="1610"/>
    </row>
    <row r="323" spans="1:3" s="1512" customFormat="1" x14ac:dyDescent="0.35">
      <c r="A323" s="728"/>
      <c r="B323" s="1610"/>
      <c r="C323" s="1610"/>
    </row>
    <row r="324" spans="1:3" s="1512" customFormat="1" x14ac:dyDescent="0.35">
      <c r="A324" s="728"/>
      <c r="B324" s="1610"/>
      <c r="C324" s="1610"/>
    </row>
    <row r="325" spans="1:3" s="1512" customFormat="1" x14ac:dyDescent="0.35">
      <c r="A325" s="728"/>
      <c r="B325" s="1610"/>
      <c r="C325" s="1610"/>
    </row>
    <row r="326" spans="1:3" s="1512" customFormat="1" x14ac:dyDescent="0.35">
      <c r="A326" s="728"/>
      <c r="B326" s="1610"/>
      <c r="C326" s="1610"/>
    </row>
    <row r="327" spans="1:3" s="1512" customFormat="1" x14ac:dyDescent="0.35">
      <c r="A327" s="728"/>
      <c r="B327" s="1610"/>
      <c r="C327" s="1610"/>
    </row>
    <row r="328" spans="1:3" s="1512" customFormat="1" x14ac:dyDescent="0.35">
      <c r="A328" s="728"/>
      <c r="B328" s="1610"/>
      <c r="C328" s="1610"/>
    </row>
    <row r="329" spans="1:3" s="1512" customFormat="1" x14ac:dyDescent="0.35">
      <c r="A329" s="728"/>
      <c r="B329" s="1610"/>
      <c r="C329" s="1610"/>
    </row>
    <row r="330" spans="1:3" s="1512" customFormat="1" x14ac:dyDescent="0.35">
      <c r="A330" s="728"/>
      <c r="B330" s="1610"/>
      <c r="C330" s="1610"/>
    </row>
    <row r="331" spans="1:3" s="1512" customFormat="1" x14ac:dyDescent="0.35">
      <c r="A331" s="728"/>
      <c r="B331" s="1610"/>
      <c r="C331" s="1610"/>
    </row>
    <row r="332" spans="1:3" s="1512" customFormat="1" x14ac:dyDescent="0.35">
      <c r="A332" s="728"/>
      <c r="B332" s="1610"/>
      <c r="C332" s="1610"/>
    </row>
    <row r="333" spans="1:3" s="1512" customFormat="1" x14ac:dyDescent="0.35">
      <c r="A333" s="728"/>
      <c r="B333" s="1610"/>
      <c r="C333" s="1610"/>
    </row>
    <row r="334" spans="1:3" s="1512" customFormat="1" x14ac:dyDescent="0.35">
      <c r="A334" s="728"/>
      <c r="B334" s="1610"/>
      <c r="C334" s="1610"/>
    </row>
    <row r="335" spans="1:3" s="1512" customFormat="1" x14ac:dyDescent="0.35">
      <c r="A335" s="728"/>
      <c r="B335" s="1610"/>
      <c r="C335" s="1610"/>
    </row>
    <row r="336" spans="1:3" s="1512" customFormat="1" x14ac:dyDescent="0.35">
      <c r="A336" s="728"/>
      <c r="B336" s="1610"/>
      <c r="C336" s="1610"/>
    </row>
    <row r="337" spans="1:3" s="1512" customFormat="1" x14ac:dyDescent="0.35">
      <c r="A337" s="728"/>
      <c r="B337" s="1610"/>
      <c r="C337" s="1610"/>
    </row>
    <row r="338" spans="1:3" s="1512" customFormat="1" x14ac:dyDescent="0.35">
      <c r="A338" s="728"/>
      <c r="B338" s="1610"/>
      <c r="C338" s="1610"/>
    </row>
    <row r="339" spans="1:3" s="1512" customFormat="1" x14ac:dyDescent="0.35">
      <c r="A339" s="728"/>
      <c r="B339" s="1610"/>
      <c r="C339" s="1610"/>
    </row>
    <row r="340" spans="1:3" s="1512" customFormat="1" x14ac:dyDescent="0.35">
      <c r="A340" s="728"/>
      <c r="B340" s="1610"/>
      <c r="C340" s="1610"/>
    </row>
    <row r="341" spans="1:3" s="1512" customFormat="1" x14ac:dyDescent="0.35">
      <c r="A341" s="728"/>
      <c r="B341" s="1610"/>
      <c r="C341" s="1610"/>
    </row>
    <row r="342" spans="1:3" s="1512" customFormat="1" x14ac:dyDescent="0.35">
      <c r="A342" s="728"/>
      <c r="B342" s="1610"/>
      <c r="C342" s="1610"/>
    </row>
    <row r="343" spans="1:3" s="1512" customFormat="1" x14ac:dyDescent="0.35">
      <c r="A343" s="728"/>
      <c r="B343" s="1610"/>
      <c r="C343" s="1610"/>
    </row>
    <row r="344" spans="1:3" s="1512" customFormat="1" x14ac:dyDescent="0.35">
      <c r="A344" s="728"/>
      <c r="B344" s="1610"/>
      <c r="C344" s="1610"/>
    </row>
    <row r="345" spans="1:3" s="1512" customFormat="1" x14ac:dyDescent="0.35">
      <c r="A345" s="728"/>
      <c r="B345" s="1610"/>
      <c r="C345" s="1610"/>
    </row>
    <row r="346" spans="1:3" s="1512" customFormat="1" x14ac:dyDescent="0.35">
      <c r="A346" s="728"/>
      <c r="B346" s="1610"/>
      <c r="C346" s="1610"/>
    </row>
    <row r="347" spans="1:3" s="1512" customFormat="1" x14ac:dyDescent="0.35">
      <c r="A347" s="728"/>
      <c r="B347" s="1610"/>
      <c r="C347" s="1610"/>
    </row>
    <row r="348" spans="1:3" s="1512" customFormat="1" x14ac:dyDescent="0.35">
      <c r="A348" s="728"/>
      <c r="B348" s="1610"/>
      <c r="C348" s="1610"/>
    </row>
    <row r="349" spans="1:3" s="1512" customFormat="1" x14ac:dyDescent="0.35">
      <c r="A349" s="728"/>
      <c r="B349" s="1610"/>
      <c r="C349" s="1610"/>
    </row>
    <row r="350" spans="1:3" s="1512" customFormat="1" x14ac:dyDescent="0.35">
      <c r="A350" s="728"/>
      <c r="B350" s="1610"/>
      <c r="C350" s="1610"/>
    </row>
    <row r="351" spans="1:3" s="1512" customFormat="1" x14ac:dyDescent="0.35">
      <c r="A351" s="728"/>
      <c r="B351" s="1610"/>
      <c r="C351" s="1610"/>
    </row>
    <row r="352" spans="1:3" s="1512" customFormat="1" x14ac:dyDescent="0.35">
      <c r="A352" s="728"/>
      <c r="B352" s="1610"/>
      <c r="C352" s="1610"/>
    </row>
    <row r="353" spans="1:3" s="1512" customFormat="1" x14ac:dyDescent="0.35">
      <c r="A353" s="728"/>
      <c r="B353" s="1610"/>
      <c r="C353" s="1610"/>
    </row>
    <row r="354" spans="1:3" s="1512" customFormat="1" x14ac:dyDescent="0.35">
      <c r="A354" s="728"/>
      <c r="B354" s="1610"/>
      <c r="C354" s="1610"/>
    </row>
    <row r="355" spans="1:3" s="1512" customFormat="1" x14ac:dyDescent="0.35">
      <c r="A355" s="728"/>
      <c r="B355" s="1610"/>
      <c r="C355" s="1610"/>
    </row>
    <row r="356" spans="1:3" s="1512" customFormat="1" x14ac:dyDescent="0.35">
      <c r="A356" s="728"/>
      <c r="B356" s="1610"/>
      <c r="C356" s="1610"/>
    </row>
    <row r="357" spans="1:3" s="1512" customFormat="1" x14ac:dyDescent="0.35">
      <c r="A357" s="728"/>
      <c r="B357" s="1610"/>
      <c r="C357" s="1610"/>
    </row>
    <row r="358" spans="1:3" s="1512" customFormat="1" x14ac:dyDescent="0.35">
      <c r="A358" s="728"/>
      <c r="B358" s="1610"/>
      <c r="C358" s="1610"/>
    </row>
    <row r="359" spans="1:3" s="1512" customFormat="1" x14ac:dyDescent="0.35">
      <c r="A359" s="728"/>
      <c r="B359" s="1610"/>
      <c r="C359" s="1610"/>
    </row>
    <row r="360" spans="1:3" s="1512" customFormat="1" x14ac:dyDescent="0.35">
      <c r="A360" s="728"/>
      <c r="B360" s="1610"/>
      <c r="C360" s="1610"/>
    </row>
    <row r="361" spans="1:3" s="1512" customFormat="1" x14ac:dyDescent="0.35">
      <c r="A361" s="728"/>
      <c r="B361" s="1610"/>
      <c r="C361" s="1610"/>
    </row>
    <row r="362" spans="1:3" s="1512" customFormat="1" x14ac:dyDescent="0.35">
      <c r="A362" s="728"/>
      <c r="B362" s="1610"/>
      <c r="C362" s="1610"/>
    </row>
    <row r="363" spans="1:3" s="1512" customFormat="1" x14ac:dyDescent="0.35">
      <c r="A363" s="728"/>
      <c r="B363" s="1610"/>
      <c r="C363" s="1610"/>
    </row>
    <row r="364" spans="1:3" s="1512" customFormat="1" x14ac:dyDescent="0.35">
      <c r="A364" s="728"/>
      <c r="B364" s="1610"/>
      <c r="C364" s="1610"/>
    </row>
    <row r="365" spans="1:3" s="1512" customFormat="1" x14ac:dyDescent="0.35">
      <c r="A365" s="728"/>
      <c r="B365" s="1610"/>
      <c r="C365" s="1610"/>
    </row>
    <row r="366" spans="1:3" s="1512" customFormat="1" x14ac:dyDescent="0.35">
      <c r="A366" s="728"/>
      <c r="B366" s="1610"/>
      <c r="C366" s="1610"/>
    </row>
    <row r="367" spans="1:3" s="1512" customFormat="1" x14ac:dyDescent="0.35">
      <c r="A367" s="728"/>
      <c r="B367" s="1610"/>
      <c r="C367" s="1610"/>
    </row>
    <row r="368" spans="1:3" s="1512" customFormat="1" x14ac:dyDescent="0.35">
      <c r="A368" s="728"/>
      <c r="B368" s="1610"/>
      <c r="C368" s="1610"/>
    </row>
    <row r="369" spans="1:3" s="1512" customFormat="1" x14ac:dyDescent="0.35">
      <c r="A369" s="728"/>
      <c r="B369" s="1610"/>
      <c r="C369" s="1610"/>
    </row>
    <row r="370" spans="1:3" s="1512" customFormat="1" x14ac:dyDescent="0.35">
      <c r="A370" s="728"/>
      <c r="B370" s="1610"/>
      <c r="C370" s="1610"/>
    </row>
    <row r="371" spans="1:3" s="1512" customFormat="1" x14ac:dyDescent="0.35">
      <c r="A371" s="728"/>
      <c r="B371" s="1610"/>
      <c r="C371" s="1610"/>
    </row>
    <row r="372" spans="1:3" s="1512" customFormat="1" x14ac:dyDescent="0.35">
      <c r="A372" s="728"/>
      <c r="B372" s="1610"/>
      <c r="C372" s="1610"/>
    </row>
    <row r="373" spans="1:3" s="1512" customFormat="1" x14ac:dyDescent="0.35">
      <c r="A373" s="728"/>
      <c r="B373" s="1610"/>
      <c r="C373" s="1610"/>
    </row>
    <row r="374" spans="1:3" s="1512" customFormat="1" x14ac:dyDescent="0.35">
      <c r="A374" s="728"/>
      <c r="B374" s="1610"/>
      <c r="C374" s="1610"/>
    </row>
    <row r="375" spans="1:3" s="1512" customFormat="1" x14ac:dyDescent="0.35">
      <c r="A375" s="728"/>
      <c r="B375" s="1610"/>
      <c r="C375" s="1610"/>
    </row>
    <row r="376" spans="1:3" s="1512" customFormat="1" x14ac:dyDescent="0.35">
      <c r="A376" s="728"/>
      <c r="B376" s="1610"/>
      <c r="C376" s="1610"/>
    </row>
    <row r="377" spans="1:3" s="1512" customFormat="1" x14ac:dyDescent="0.35">
      <c r="A377" s="728"/>
      <c r="B377" s="1610"/>
      <c r="C377" s="1610"/>
    </row>
    <row r="378" spans="1:3" s="1512" customFormat="1" x14ac:dyDescent="0.35">
      <c r="A378" s="728"/>
      <c r="B378" s="1610"/>
      <c r="C378" s="1610"/>
    </row>
    <row r="379" spans="1:3" s="1512" customFormat="1" x14ac:dyDescent="0.35">
      <c r="A379" s="728"/>
      <c r="B379" s="1610"/>
      <c r="C379" s="1610"/>
    </row>
    <row r="380" spans="1:3" s="1512" customFormat="1" x14ac:dyDescent="0.35">
      <c r="A380" s="728"/>
      <c r="B380" s="1610"/>
      <c r="C380" s="1610"/>
    </row>
    <row r="381" spans="1:3" s="1512" customFormat="1" x14ac:dyDescent="0.35">
      <c r="A381" s="728"/>
      <c r="B381" s="1610"/>
      <c r="C381" s="1610"/>
    </row>
    <row r="382" spans="1:3" s="1512" customFormat="1" x14ac:dyDescent="0.35">
      <c r="A382" s="728"/>
      <c r="B382" s="1610"/>
      <c r="C382" s="1610"/>
    </row>
    <row r="383" spans="1:3" s="1512" customFormat="1" x14ac:dyDescent="0.35">
      <c r="A383" s="728"/>
      <c r="B383" s="1610"/>
      <c r="C383" s="1610"/>
    </row>
    <row r="384" spans="1:3" s="1512" customFormat="1" x14ac:dyDescent="0.35">
      <c r="A384" s="728"/>
      <c r="B384" s="1610"/>
      <c r="C384" s="1610"/>
    </row>
    <row r="385" spans="1:3" s="1512" customFormat="1" x14ac:dyDescent="0.35">
      <c r="A385" s="728"/>
      <c r="B385" s="1610"/>
      <c r="C385" s="1610"/>
    </row>
    <row r="386" spans="1:3" s="1512" customFormat="1" x14ac:dyDescent="0.35">
      <c r="A386" s="728"/>
      <c r="B386" s="1610"/>
      <c r="C386" s="1610"/>
    </row>
    <row r="387" spans="1:3" s="1512" customFormat="1" x14ac:dyDescent="0.35">
      <c r="A387" s="728"/>
      <c r="B387" s="1610"/>
      <c r="C387" s="1610"/>
    </row>
    <row r="388" spans="1:3" s="1512" customFormat="1" x14ac:dyDescent="0.35">
      <c r="A388" s="728"/>
      <c r="B388" s="1610"/>
      <c r="C388" s="1610"/>
    </row>
    <row r="389" spans="1:3" s="1512" customFormat="1" x14ac:dyDescent="0.35">
      <c r="A389" s="728"/>
      <c r="B389" s="1610"/>
      <c r="C389" s="1610"/>
    </row>
    <row r="390" spans="1:3" s="1512" customFormat="1" x14ac:dyDescent="0.35">
      <c r="A390" s="728"/>
      <c r="B390" s="1610"/>
      <c r="C390" s="1610"/>
    </row>
    <row r="391" spans="1:3" s="1512" customFormat="1" x14ac:dyDescent="0.35">
      <c r="A391" s="728"/>
      <c r="B391" s="1610"/>
      <c r="C391" s="1610"/>
    </row>
    <row r="392" spans="1:3" s="1512" customFormat="1" x14ac:dyDescent="0.35">
      <c r="A392" s="728"/>
      <c r="B392" s="1610"/>
      <c r="C392" s="1610"/>
    </row>
    <row r="393" spans="1:3" s="1512" customFormat="1" x14ac:dyDescent="0.35">
      <c r="A393" s="728"/>
      <c r="B393" s="1610"/>
      <c r="C393" s="1610"/>
    </row>
    <row r="394" spans="1:3" s="1512" customFormat="1" x14ac:dyDescent="0.35">
      <c r="A394" s="728"/>
      <c r="B394" s="1610"/>
      <c r="C394" s="1610"/>
    </row>
    <row r="395" spans="1:3" s="1512" customFormat="1" x14ac:dyDescent="0.35">
      <c r="A395" s="728"/>
      <c r="B395" s="1610"/>
      <c r="C395" s="1610"/>
    </row>
    <row r="396" spans="1:3" s="1512" customFormat="1" x14ac:dyDescent="0.35">
      <c r="A396" s="728"/>
      <c r="B396" s="1610"/>
      <c r="C396" s="1610"/>
    </row>
    <row r="397" spans="1:3" s="1512" customFormat="1" x14ac:dyDescent="0.35">
      <c r="A397" s="728"/>
      <c r="B397" s="1610"/>
      <c r="C397" s="1610"/>
    </row>
    <row r="398" spans="1:3" s="1512" customFormat="1" x14ac:dyDescent="0.35">
      <c r="A398" s="728"/>
      <c r="B398" s="1610"/>
      <c r="C398" s="1610"/>
    </row>
    <row r="399" spans="1:3" s="1512" customFormat="1" x14ac:dyDescent="0.35">
      <c r="A399" s="728"/>
      <c r="B399" s="1610"/>
      <c r="C399" s="1610"/>
    </row>
    <row r="400" spans="1:3" s="1512" customFormat="1" x14ac:dyDescent="0.35">
      <c r="A400" s="728"/>
      <c r="B400" s="1610"/>
      <c r="C400" s="1610"/>
    </row>
    <row r="401" spans="1:3" s="1512" customFormat="1" x14ac:dyDescent="0.35">
      <c r="A401" s="728"/>
      <c r="B401" s="1610"/>
      <c r="C401" s="1610"/>
    </row>
    <row r="402" spans="1:3" s="1512" customFormat="1" x14ac:dyDescent="0.35">
      <c r="A402" s="728"/>
      <c r="B402" s="1610"/>
      <c r="C402" s="1610"/>
    </row>
    <row r="403" spans="1:3" s="1512" customFormat="1" x14ac:dyDescent="0.35">
      <c r="A403" s="728"/>
      <c r="B403" s="1610"/>
      <c r="C403" s="1610"/>
    </row>
    <row r="404" spans="1:3" s="1512" customFormat="1" x14ac:dyDescent="0.35">
      <c r="A404" s="728"/>
      <c r="B404" s="1610"/>
      <c r="C404" s="1610"/>
    </row>
    <row r="405" spans="1:3" s="1512" customFormat="1" x14ac:dyDescent="0.35">
      <c r="A405" s="728"/>
      <c r="B405" s="1610"/>
      <c r="C405" s="1610"/>
    </row>
    <row r="406" spans="1:3" s="1512" customFormat="1" x14ac:dyDescent="0.35">
      <c r="A406" s="728"/>
      <c r="B406" s="1610"/>
      <c r="C406" s="1610"/>
    </row>
    <row r="407" spans="1:3" s="1512" customFormat="1" x14ac:dyDescent="0.35">
      <c r="A407" s="728"/>
      <c r="B407" s="1610"/>
      <c r="C407" s="1610"/>
    </row>
    <row r="408" spans="1:3" s="1512" customFormat="1" x14ac:dyDescent="0.35">
      <c r="A408" s="728"/>
      <c r="B408" s="1610"/>
      <c r="C408" s="1610"/>
    </row>
    <row r="409" spans="1:3" s="1512" customFormat="1" x14ac:dyDescent="0.35">
      <c r="A409" s="728"/>
      <c r="B409" s="1610"/>
      <c r="C409" s="1610"/>
    </row>
    <row r="410" spans="1:3" s="1512" customFormat="1" x14ac:dyDescent="0.35">
      <c r="A410" s="728"/>
      <c r="B410" s="1610"/>
      <c r="C410" s="1610"/>
    </row>
    <row r="411" spans="1:3" s="1512" customFormat="1" x14ac:dyDescent="0.35">
      <c r="A411" s="728"/>
      <c r="B411" s="1610"/>
      <c r="C411" s="1610"/>
    </row>
    <row r="412" spans="1:3" s="1512" customFormat="1" x14ac:dyDescent="0.35">
      <c r="A412" s="728"/>
      <c r="B412" s="1610"/>
      <c r="C412" s="1610"/>
    </row>
    <row r="413" spans="1:3" s="1512" customFormat="1" x14ac:dyDescent="0.35">
      <c r="A413" s="728"/>
      <c r="B413" s="1610"/>
      <c r="C413" s="1610"/>
    </row>
    <row r="414" spans="1:3" s="1512" customFormat="1" x14ac:dyDescent="0.35">
      <c r="A414" s="728"/>
      <c r="B414" s="1610"/>
      <c r="C414" s="1610"/>
    </row>
    <row r="415" spans="1:3" s="1512" customFormat="1" x14ac:dyDescent="0.35">
      <c r="A415" s="728"/>
      <c r="B415" s="1610"/>
      <c r="C415" s="1610"/>
    </row>
    <row r="416" spans="1:3" s="1512" customFormat="1" x14ac:dyDescent="0.35">
      <c r="A416" s="728"/>
      <c r="B416" s="1610"/>
      <c r="C416" s="1610"/>
    </row>
    <row r="417" spans="1:3" s="1512" customFormat="1" x14ac:dyDescent="0.35">
      <c r="A417" s="728"/>
      <c r="B417" s="1610"/>
      <c r="C417" s="1610"/>
    </row>
    <row r="418" spans="1:3" s="1512" customFormat="1" x14ac:dyDescent="0.35">
      <c r="A418" s="728"/>
      <c r="B418" s="1610"/>
      <c r="C418" s="1610"/>
    </row>
    <row r="419" spans="1:3" s="1512" customFormat="1" x14ac:dyDescent="0.35">
      <c r="A419" s="728"/>
      <c r="B419" s="1610"/>
      <c r="C419" s="1610"/>
    </row>
    <row r="420" spans="1:3" s="1512" customFormat="1" x14ac:dyDescent="0.35">
      <c r="A420" s="728"/>
      <c r="B420" s="1610"/>
      <c r="C420" s="1610"/>
    </row>
    <row r="421" spans="1:3" s="1512" customFormat="1" x14ac:dyDescent="0.35">
      <c r="A421" s="728"/>
      <c r="B421" s="1610"/>
      <c r="C421" s="1610"/>
    </row>
    <row r="422" spans="1:3" s="1512" customFormat="1" x14ac:dyDescent="0.35">
      <c r="A422" s="728"/>
      <c r="B422" s="1610"/>
      <c r="C422" s="1610"/>
    </row>
    <row r="423" spans="1:3" s="1512" customFormat="1" x14ac:dyDescent="0.35">
      <c r="A423" s="728"/>
      <c r="B423" s="1610"/>
      <c r="C423" s="1610"/>
    </row>
    <row r="424" spans="1:3" s="1512" customFormat="1" x14ac:dyDescent="0.35">
      <c r="A424" s="728"/>
      <c r="B424" s="1610"/>
      <c r="C424" s="1610"/>
    </row>
    <row r="425" spans="1:3" s="1512" customFormat="1" x14ac:dyDescent="0.35">
      <c r="A425" s="728"/>
      <c r="B425" s="1610"/>
      <c r="C425" s="1610"/>
    </row>
    <row r="426" spans="1:3" s="1512" customFormat="1" x14ac:dyDescent="0.35">
      <c r="A426" s="728"/>
      <c r="B426" s="1610"/>
      <c r="C426" s="1610"/>
    </row>
    <row r="427" spans="1:3" s="1512" customFormat="1" x14ac:dyDescent="0.35">
      <c r="A427" s="728"/>
      <c r="B427" s="1610"/>
      <c r="C427" s="1610"/>
    </row>
    <row r="428" spans="1:3" s="1512" customFormat="1" x14ac:dyDescent="0.35">
      <c r="A428" s="728"/>
      <c r="B428" s="1610"/>
      <c r="C428" s="1610"/>
    </row>
    <row r="429" spans="1:3" s="1512" customFormat="1" x14ac:dyDescent="0.35">
      <c r="A429" s="728"/>
      <c r="B429" s="1610"/>
      <c r="C429" s="1610"/>
    </row>
    <row r="430" spans="1:3" s="1512" customFormat="1" x14ac:dyDescent="0.35">
      <c r="A430" s="728"/>
      <c r="B430" s="1610"/>
      <c r="C430" s="1610"/>
    </row>
    <row r="431" spans="1:3" s="1512" customFormat="1" x14ac:dyDescent="0.35">
      <c r="A431" s="728"/>
      <c r="B431" s="1610"/>
      <c r="C431" s="1610"/>
    </row>
    <row r="432" spans="1:3" s="1512" customFormat="1" x14ac:dyDescent="0.35">
      <c r="A432" s="728"/>
      <c r="B432" s="1610"/>
      <c r="C432" s="1610"/>
    </row>
    <row r="433" spans="1:3" s="1512" customFormat="1" x14ac:dyDescent="0.35">
      <c r="A433" s="728"/>
      <c r="B433" s="1610"/>
      <c r="C433" s="1610"/>
    </row>
    <row r="434" spans="1:3" s="1512" customFormat="1" x14ac:dyDescent="0.35">
      <c r="A434" s="728"/>
      <c r="B434" s="1610"/>
      <c r="C434" s="1610"/>
    </row>
    <row r="435" spans="1:3" s="1512" customFormat="1" x14ac:dyDescent="0.35">
      <c r="A435" s="728"/>
      <c r="B435" s="1610"/>
      <c r="C435" s="1610"/>
    </row>
    <row r="436" spans="1:3" s="1512" customFormat="1" x14ac:dyDescent="0.35">
      <c r="A436" s="728"/>
      <c r="B436" s="1610"/>
      <c r="C436" s="1610"/>
    </row>
    <row r="437" spans="1:3" s="1512" customFormat="1" x14ac:dyDescent="0.35">
      <c r="A437" s="728"/>
      <c r="B437" s="1610"/>
      <c r="C437" s="1610"/>
    </row>
    <row r="438" spans="1:3" s="1512" customFormat="1" x14ac:dyDescent="0.35">
      <c r="A438" s="728"/>
      <c r="B438" s="1610"/>
      <c r="C438" s="1610"/>
    </row>
    <row r="439" spans="1:3" s="1512" customFormat="1" x14ac:dyDescent="0.35">
      <c r="A439" s="728"/>
      <c r="B439" s="1610"/>
      <c r="C439" s="1610"/>
    </row>
    <row r="440" spans="1:3" s="1512" customFormat="1" x14ac:dyDescent="0.35">
      <c r="A440" s="728"/>
      <c r="B440" s="1610"/>
      <c r="C440" s="1610"/>
    </row>
    <row r="441" spans="1:3" s="1512" customFormat="1" x14ac:dyDescent="0.35">
      <c r="A441" s="728"/>
      <c r="B441" s="1610"/>
      <c r="C441" s="1610"/>
    </row>
    <row r="442" spans="1:3" s="1512" customFormat="1" x14ac:dyDescent="0.35">
      <c r="A442" s="728"/>
      <c r="B442" s="1610"/>
      <c r="C442" s="1610"/>
    </row>
    <row r="443" spans="1:3" s="1512" customFormat="1" x14ac:dyDescent="0.35">
      <c r="A443" s="728"/>
      <c r="B443" s="1610"/>
      <c r="C443" s="1610"/>
    </row>
    <row r="444" spans="1:3" s="1512" customFormat="1" x14ac:dyDescent="0.35">
      <c r="A444" s="728"/>
      <c r="B444" s="1610"/>
      <c r="C444" s="1610"/>
    </row>
    <row r="445" spans="1:3" s="1512" customFormat="1" x14ac:dyDescent="0.35">
      <c r="A445" s="728"/>
      <c r="B445" s="1610"/>
      <c r="C445" s="1610"/>
    </row>
    <row r="446" spans="1:3" s="1512" customFormat="1" x14ac:dyDescent="0.35">
      <c r="A446" s="728"/>
      <c r="B446" s="1610"/>
      <c r="C446" s="1610"/>
    </row>
    <row r="447" spans="1:3" s="1512" customFormat="1" x14ac:dyDescent="0.35">
      <c r="A447" s="728"/>
      <c r="B447" s="1610"/>
      <c r="C447" s="1610"/>
    </row>
    <row r="448" spans="1:3" s="1512" customFormat="1" x14ac:dyDescent="0.35">
      <c r="A448" s="728"/>
      <c r="B448" s="1610"/>
      <c r="C448" s="1610"/>
    </row>
    <row r="449" spans="1:3" s="1512" customFormat="1" x14ac:dyDescent="0.35">
      <c r="A449" s="728"/>
      <c r="B449" s="1610"/>
      <c r="C449" s="1610"/>
    </row>
    <row r="450" spans="1:3" s="1512" customFormat="1" x14ac:dyDescent="0.35">
      <c r="A450" s="728"/>
      <c r="B450" s="1610"/>
      <c r="C450" s="1610"/>
    </row>
    <row r="451" spans="1:3" s="1512" customFormat="1" x14ac:dyDescent="0.35">
      <c r="A451" s="728"/>
      <c r="B451" s="1610"/>
      <c r="C451" s="1610"/>
    </row>
    <row r="452" spans="1:3" s="1512" customFormat="1" x14ac:dyDescent="0.35">
      <c r="A452" s="728"/>
      <c r="B452" s="1610"/>
      <c r="C452" s="1610"/>
    </row>
    <row r="453" spans="1:3" s="1512" customFormat="1" x14ac:dyDescent="0.35">
      <c r="A453" s="728"/>
      <c r="B453" s="1610"/>
      <c r="C453" s="1610"/>
    </row>
    <row r="454" spans="1:3" s="1512" customFormat="1" x14ac:dyDescent="0.35">
      <c r="A454" s="728"/>
      <c r="B454" s="1610"/>
      <c r="C454" s="1610"/>
    </row>
    <row r="455" spans="1:3" s="1512" customFormat="1" x14ac:dyDescent="0.35">
      <c r="A455" s="728"/>
      <c r="B455" s="1610"/>
      <c r="C455" s="1610"/>
    </row>
    <row r="456" spans="1:3" s="1512" customFormat="1" x14ac:dyDescent="0.35">
      <c r="A456" s="728"/>
      <c r="B456" s="1610"/>
      <c r="C456" s="1610"/>
    </row>
    <row r="457" spans="1:3" s="1512" customFormat="1" x14ac:dyDescent="0.35">
      <c r="A457" s="728"/>
      <c r="B457" s="1610"/>
      <c r="C457" s="1610"/>
    </row>
    <row r="458" spans="1:3" s="1512" customFormat="1" x14ac:dyDescent="0.35">
      <c r="A458" s="728"/>
      <c r="B458" s="1610"/>
      <c r="C458" s="1610"/>
    </row>
    <row r="459" spans="1:3" s="1512" customFormat="1" x14ac:dyDescent="0.35">
      <c r="A459" s="728"/>
      <c r="B459" s="1610"/>
      <c r="C459" s="1610"/>
    </row>
    <row r="460" spans="1:3" s="1512" customFormat="1" x14ac:dyDescent="0.35">
      <c r="A460" s="728"/>
      <c r="B460" s="1610"/>
      <c r="C460" s="1610"/>
    </row>
    <row r="461" spans="1:3" s="1512" customFormat="1" x14ac:dyDescent="0.35">
      <c r="A461" s="728"/>
      <c r="B461" s="1610"/>
      <c r="C461" s="1610"/>
    </row>
    <row r="462" spans="1:3" s="1512" customFormat="1" x14ac:dyDescent="0.35">
      <c r="A462" s="728"/>
      <c r="B462" s="1610"/>
      <c r="C462" s="1610"/>
    </row>
    <row r="463" spans="1:3" s="1512" customFormat="1" x14ac:dyDescent="0.35">
      <c r="A463" s="728"/>
      <c r="B463" s="1610"/>
      <c r="C463" s="1610"/>
    </row>
    <row r="464" spans="1:3" s="1512" customFormat="1" x14ac:dyDescent="0.35">
      <c r="A464" s="728"/>
      <c r="B464" s="1610"/>
      <c r="C464" s="1610"/>
    </row>
    <row r="465" spans="1:3" s="1512" customFormat="1" x14ac:dyDescent="0.35">
      <c r="A465" s="728"/>
      <c r="B465" s="1610"/>
      <c r="C465" s="1610"/>
    </row>
    <row r="466" spans="1:3" s="1512" customFormat="1" x14ac:dyDescent="0.35">
      <c r="A466" s="728"/>
      <c r="B466" s="1610"/>
      <c r="C466" s="1610"/>
    </row>
    <row r="467" spans="1:3" s="1512" customFormat="1" x14ac:dyDescent="0.35">
      <c r="A467" s="728"/>
      <c r="B467" s="1610"/>
      <c r="C467" s="1610"/>
    </row>
    <row r="468" spans="1:3" s="1512" customFormat="1" x14ac:dyDescent="0.35">
      <c r="A468" s="728"/>
      <c r="B468" s="1610"/>
      <c r="C468" s="1610"/>
    </row>
    <row r="469" spans="1:3" s="1512" customFormat="1" x14ac:dyDescent="0.35">
      <c r="A469" s="728"/>
      <c r="B469" s="1610"/>
      <c r="C469" s="1610"/>
    </row>
    <row r="470" spans="1:3" s="1512" customFormat="1" x14ac:dyDescent="0.35">
      <c r="A470" s="728"/>
      <c r="B470" s="1610"/>
      <c r="C470" s="1610"/>
    </row>
    <row r="471" spans="1:3" s="1512" customFormat="1" x14ac:dyDescent="0.35">
      <c r="A471" s="728"/>
      <c r="B471" s="1610"/>
      <c r="C471" s="1610"/>
    </row>
    <row r="472" spans="1:3" s="1512" customFormat="1" x14ac:dyDescent="0.35">
      <c r="A472" s="728"/>
      <c r="B472" s="1610"/>
      <c r="C472" s="1610"/>
    </row>
    <row r="473" spans="1:3" s="1512" customFormat="1" x14ac:dyDescent="0.35">
      <c r="A473" s="728"/>
      <c r="B473" s="1610"/>
      <c r="C473" s="1610"/>
    </row>
    <row r="474" spans="1:3" s="1512" customFormat="1" x14ac:dyDescent="0.35">
      <c r="A474" s="728"/>
      <c r="B474" s="1610"/>
      <c r="C474" s="1610"/>
    </row>
    <row r="475" spans="1:3" s="1512" customFormat="1" x14ac:dyDescent="0.35">
      <c r="A475" s="728"/>
      <c r="B475" s="1610"/>
      <c r="C475" s="1610"/>
    </row>
    <row r="476" spans="1:3" s="1512" customFormat="1" x14ac:dyDescent="0.35">
      <c r="A476" s="728"/>
      <c r="B476" s="1610"/>
      <c r="C476" s="1610"/>
    </row>
    <row r="477" spans="1:3" s="1512" customFormat="1" x14ac:dyDescent="0.35">
      <c r="A477" s="728"/>
      <c r="B477" s="1610"/>
      <c r="C477" s="1610"/>
    </row>
    <row r="478" spans="1:3" s="1512" customFormat="1" x14ac:dyDescent="0.35">
      <c r="A478" s="728"/>
      <c r="B478" s="1610"/>
      <c r="C478" s="1610"/>
    </row>
    <row r="479" spans="1:3" s="1512" customFormat="1" x14ac:dyDescent="0.35">
      <c r="A479" s="728"/>
      <c r="B479" s="1610"/>
      <c r="C479" s="1610"/>
    </row>
    <row r="480" spans="1:3" s="1512" customFormat="1" x14ac:dyDescent="0.35">
      <c r="A480" s="728"/>
      <c r="B480" s="1610"/>
      <c r="C480" s="1610"/>
    </row>
    <row r="481" spans="1:3" s="1512" customFormat="1" x14ac:dyDescent="0.35">
      <c r="A481" s="728"/>
      <c r="B481" s="1610"/>
      <c r="C481" s="1610"/>
    </row>
    <row r="482" spans="1:3" s="1512" customFormat="1" x14ac:dyDescent="0.35">
      <c r="A482" s="728"/>
      <c r="B482" s="1610"/>
      <c r="C482" s="1610"/>
    </row>
    <row r="483" spans="1:3" s="1512" customFormat="1" x14ac:dyDescent="0.35">
      <c r="A483" s="728"/>
      <c r="B483" s="1610"/>
      <c r="C483" s="1610"/>
    </row>
    <row r="484" spans="1:3" s="1512" customFormat="1" x14ac:dyDescent="0.35">
      <c r="A484" s="728"/>
      <c r="B484" s="1610"/>
      <c r="C484" s="1610"/>
    </row>
    <row r="485" spans="1:3" s="1512" customFormat="1" x14ac:dyDescent="0.35">
      <c r="A485" s="728"/>
      <c r="B485" s="1610"/>
      <c r="C485" s="1610"/>
    </row>
    <row r="486" spans="1:3" s="1512" customFormat="1" x14ac:dyDescent="0.35">
      <c r="A486" s="728"/>
      <c r="B486" s="1610"/>
      <c r="C486" s="1610"/>
    </row>
    <row r="487" spans="1:3" s="1512" customFormat="1" x14ac:dyDescent="0.35">
      <c r="A487" s="728"/>
      <c r="B487" s="1610"/>
      <c r="C487" s="1610"/>
    </row>
    <row r="488" spans="1:3" s="1512" customFormat="1" x14ac:dyDescent="0.35">
      <c r="A488" s="728"/>
      <c r="B488" s="1610"/>
      <c r="C488" s="1610"/>
    </row>
    <row r="489" spans="1:3" s="1512" customFormat="1" x14ac:dyDescent="0.35">
      <c r="A489" s="728"/>
      <c r="B489" s="1610"/>
      <c r="C489" s="1610"/>
    </row>
    <row r="490" spans="1:3" s="1512" customFormat="1" x14ac:dyDescent="0.35">
      <c r="A490" s="728"/>
      <c r="B490" s="1610"/>
      <c r="C490" s="1610"/>
    </row>
    <row r="491" spans="1:3" s="1512" customFormat="1" x14ac:dyDescent="0.35">
      <c r="A491" s="728"/>
      <c r="B491" s="1610"/>
      <c r="C491" s="1610"/>
    </row>
    <row r="492" spans="1:3" s="1512" customFormat="1" x14ac:dyDescent="0.35">
      <c r="A492" s="728"/>
      <c r="B492" s="1610"/>
      <c r="C492" s="1610"/>
    </row>
    <row r="493" spans="1:3" s="1512" customFormat="1" x14ac:dyDescent="0.35">
      <c r="A493" s="728"/>
      <c r="B493" s="1610"/>
      <c r="C493" s="1610"/>
    </row>
    <row r="494" spans="1:3" s="1512" customFormat="1" x14ac:dyDescent="0.35">
      <c r="A494" s="728"/>
      <c r="B494" s="1610"/>
      <c r="C494" s="1610"/>
    </row>
    <row r="495" spans="1:3" s="1512" customFormat="1" x14ac:dyDescent="0.35">
      <c r="A495" s="728"/>
      <c r="B495" s="1610"/>
      <c r="C495" s="1610"/>
    </row>
    <row r="496" spans="1:3" s="1512" customFormat="1" x14ac:dyDescent="0.35">
      <c r="A496" s="728"/>
      <c r="B496" s="1610"/>
      <c r="C496" s="1610"/>
    </row>
    <row r="497" spans="1:3" s="1512" customFormat="1" x14ac:dyDescent="0.35">
      <c r="A497" s="728"/>
      <c r="B497" s="1610"/>
      <c r="C497" s="1610"/>
    </row>
    <row r="498" spans="1:3" s="1512" customFormat="1" x14ac:dyDescent="0.35">
      <c r="A498" s="728"/>
      <c r="B498" s="1610"/>
      <c r="C498" s="1610"/>
    </row>
    <row r="499" spans="1:3" s="1512" customFormat="1" x14ac:dyDescent="0.35">
      <c r="A499" s="728"/>
      <c r="B499" s="1610"/>
      <c r="C499" s="1610"/>
    </row>
    <row r="500" spans="1:3" s="1512" customFormat="1" x14ac:dyDescent="0.35">
      <c r="A500" s="728"/>
      <c r="B500" s="1610"/>
      <c r="C500" s="1610"/>
    </row>
    <row r="501" spans="1:3" s="1512" customFormat="1" x14ac:dyDescent="0.35">
      <c r="A501" s="728"/>
      <c r="B501" s="1610"/>
      <c r="C501" s="1610"/>
    </row>
    <row r="502" spans="1:3" s="1512" customFormat="1" x14ac:dyDescent="0.35">
      <c r="A502" s="728"/>
      <c r="B502" s="1610"/>
      <c r="C502" s="1610"/>
    </row>
    <row r="503" spans="1:3" s="1512" customFormat="1" x14ac:dyDescent="0.35">
      <c r="A503" s="728"/>
      <c r="B503" s="1610"/>
      <c r="C503" s="1610"/>
    </row>
    <row r="504" spans="1:3" s="1512" customFormat="1" x14ac:dyDescent="0.35">
      <c r="A504" s="728"/>
      <c r="B504" s="1610"/>
      <c r="C504" s="1610"/>
    </row>
    <row r="505" spans="1:3" s="1512" customFormat="1" x14ac:dyDescent="0.35">
      <c r="A505" s="728"/>
      <c r="B505" s="1610"/>
      <c r="C505" s="1610"/>
    </row>
    <row r="506" spans="1:3" s="1512" customFormat="1" x14ac:dyDescent="0.35">
      <c r="A506" s="728"/>
      <c r="B506" s="1610"/>
      <c r="C506" s="1610"/>
    </row>
    <row r="507" spans="1:3" s="1512" customFormat="1" x14ac:dyDescent="0.35">
      <c r="A507" s="728"/>
      <c r="B507" s="1610"/>
      <c r="C507" s="1610"/>
    </row>
    <row r="508" spans="1:3" s="1512" customFormat="1" x14ac:dyDescent="0.35">
      <c r="A508" s="728"/>
      <c r="B508" s="1610"/>
      <c r="C508" s="1610"/>
    </row>
    <row r="509" spans="1:3" s="1512" customFormat="1" x14ac:dyDescent="0.35">
      <c r="A509" s="728"/>
      <c r="B509" s="1610"/>
      <c r="C509" s="1610"/>
    </row>
    <row r="510" spans="1:3" s="1512" customFormat="1" x14ac:dyDescent="0.35">
      <c r="A510" s="728"/>
      <c r="B510" s="1610"/>
      <c r="C510" s="1610"/>
    </row>
    <row r="511" spans="1:3" s="1512" customFormat="1" x14ac:dyDescent="0.35">
      <c r="A511" s="728"/>
      <c r="B511" s="1610"/>
      <c r="C511" s="1610"/>
    </row>
    <row r="512" spans="1:3" s="1512" customFormat="1" x14ac:dyDescent="0.35">
      <c r="A512" s="728"/>
      <c r="B512" s="1610"/>
      <c r="C512" s="1610"/>
    </row>
    <row r="513" spans="1:3" s="1512" customFormat="1" x14ac:dyDescent="0.35">
      <c r="A513" s="728"/>
      <c r="B513" s="1610"/>
      <c r="C513" s="1610"/>
    </row>
    <row r="514" spans="1:3" s="1512" customFormat="1" x14ac:dyDescent="0.35">
      <c r="A514" s="728"/>
      <c r="B514" s="1610"/>
      <c r="C514" s="1610"/>
    </row>
    <row r="515" spans="1:3" s="1512" customFormat="1" x14ac:dyDescent="0.35">
      <c r="A515" s="728"/>
      <c r="B515" s="1610"/>
      <c r="C515" s="1610"/>
    </row>
    <row r="516" spans="1:3" s="1512" customFormat="1" x14ac:dyDescent="0.35">
      <c r="A516" s="728"/>
      <c r="B516" s="1610"/>
      <c r="C516" s="1610"/>
    </row>
    <row r="517" spans="1:3" s="1512" customFormat="1" x14ac:dyDescent="0.35">
      <c r="A517" s="728"/>
      <c r="B517" s="1610"/>
      <c r="C517" s="1610"/>
    </row>
    <row r="518" spans="1:3" s="1512" customFormat="1" x14ac:dyDescent="0.35">
      <c r="A518" s="728"/>
      <c r="B518" s="1610"/>
      <c r="C518" s="1610"/>
    </row>
    <row r="519" spans="1:3" s="1512" customFormat="1" x14ac:dyDescent="0.35">
      <c r="A519" s="728"/>
      <c r="B519" s="1610"/>
      <c r="C519" s="1610"/>
    </row>
    <row r="520" spans="1:3" s="1512" customFormat="1" x14ac:dyDescent="0.35">
      <c r="A520" s="728"/>
      <c r="B520" s="1610"/>
      <c r="C520" s="1610"/>
    </row>
    <row r="521" spans="1:3" s="1512" customFormat="1" x14ac:dyDescent="0.35">
      <c r="A521" s="728"/>
      <c r="B521" s="1610"/>
      <c r="C521" s="1610"/>
    </row>
    <row r="522" spans="1:3" s="1512" customFormat="1" x14ac:dyDescent="0.35">
      <c r="A522" s="728"/>
      <c r="B522" s="1610"/>
      <c r="C522" s="1610"/>
    </row>
    <row r="523" spans="1:3" s="1512" customFormat="1" x14ac:dyDescent="0.35">
      <c r="A523" s="728"/>
      <c r="B523" s="1610"/>
      <c r="C523" s="1610"/>
    </row>
    <row r="524" spans="1:3" s="1512" customFormat="1" x14ac:dyDescent="0.35">
      <c r="A524" s="728"/>
      <c r="B524" s="1610"/>
      <c r="C524" s="1610"/>
    </row>
    <row r="525" spans="1:3" s="1512" customFormat="1" x14ac:dyDescent="0.35">
      <c r="A525" s="728"/>
      <c r="B525" s="1610"/>
      <c r="C525" s="1610"/>
    </row>
    <row r="526" spans="1:3" s="1512" customFormat="1" x14ac:dyDescent="0.35">
      <c r="A526" s="728"/>
      <c r="B526" s="1610"/>
      <c r="C526" s="1610"/>
    </row>
    <row r="527" spans="1:3" s="1512" customFormat="1" x14ac:dyDescent="0.35">
      <c r="A527" s="728"/>
      <c r="B527" s="1610"/>
      <c r="C527" s="1610"/>
    </row>
    <row r="528" spans="1:3" s="1512" customFormat="1" x14ac:dyDescent="0.35">
      <c r="A528" s="728"/>
      <c r="B528" s="1610"/>
      <c r="C528" s="1610"/>
    </row>
    <row r="529" spans="1:3" s="1512" customFormat="1" x14ac:dyDescent="0.35">
      <c r="A529" s="728"/>
      <c r="B529" s="1610"/>
      <c r="C529" s="1610"/>
    </row>
    <row r="530" spans="1:3" s="1512" customFormat="1" x14ac:dyDescent="0.35">
      <c r="A530" s="728"/>
      <c r="B530" s="1610"/>
      <c r="C530" s="1610"/>
    </row>
    <row r="531" spans="1:3" s="1512" customFormat="1" x14ac:dyDescent="0.35">
      <c r="A531" s="728"/>
      <c r="B531" s="1610"/>
      <c r="C531" s="1610"/>
    </row>
    <row r="532" spans="1:3" s="1512" customFormat="1" x14ac:dyDescent="0.35">
      <c r="A532" s="728"/>
      <c r="B532" s="1610"/>
      <c r="C532" s="1610"/>
    </row>
    <row r="533" spans="1:3" s="1512" customFormat="1" x14ac:dyDescent="0.35">
      <c r="A533" s="728"/>
      <c r="B533" s="1610"/>
      <c r="C533" s="1610"/>
    </row>
    <row r="534" spans="1:3" s="1512" customFormat="1" x14ac:dyDescent="0.35">
      <c r="A534" s="728"/>
      <c r="B534" s="1610"/>
      <c r="C534" s="1610"/>
    </row>
    <row r="535" spans="1:3" s="1512" customFormat="1" x14ac:dyDescent="0.35">
      <c r="A535" s="728"/>
      <c r="B535" s="1610"/>
      <c r="C535" s="1610"/>
    </row>
    <row r="536" spans="1:3" s="1512" customFormat="1" x14ac:dyDescent="0.35">
      <c r="A536" s="728"/>
      <c r="B536" s="1610"/>
      <c r="C536" s="1610"/>
    </row>
    <row r="537" spans="1:3" s="1512" customFormat="1" x14ac:dyDescent="0.35">
      <c r="A537" s="728"/>
      <c r="B537" s="1610"/>
      <c r="C537" s="1610"/>
    </row>
    <row r="538" spans="1:3" s="1512" customFormat="1" x14ac:dyDescent="0.35">
      <c r="A538" s="728"/>
      <c r="B538" s="1610"/>
      <c r="C538" s="1610"/>
    </row>
    <row r="539" spans="1:3" s="1512" customFormat="1" x14ac:dyDescent="0.35">
      <c r="A539" s="728"/>
      <c r="B539" s="1610"/>
      <c r="C539" s="1610"/>
    </row>
    <row r="540" spans="1:3" s="1512" customFormat="1" x14ac:dyDescent="0.35">
      <c r="A540" s="728"/>
      <c r="B540" s="1610"/>
      <c r="C540" s="1610"/>
    </row>
    <row r="541" spans="1:3" s="1512" customFormat="1" x14ac:dyDescent="0.35">
      <c r="A541" s="728"/>
      <c r="B541" s="1610"/>
      <c r="C541" s="1610"/>
    </row>
    <row r="542" spans="1:3" s="1512" customFormat="1" x14ac:dyDescent="0.35">
      <c r="A542" s="728"/>
      <c r="B542" s="1610"/>
      <c r="C542" s="1610"/>
    </row>
    <row r="543" spans="1:3" s="1512" customFormat="1" x14ac:dyDescent="0.35">
      <c r="A543" s="728"/>
      <c r="B543" s="1610"/>
      <c r="C543" s="1610"/>
    </row>
    <row r="544" spans="1:3" s="1512" customFormat="1" x14ac:dyDescent="0.35">
      <c r="A544" s="728"/>
      <c r="B544" s="1610"/>
      <c r="C544" s="1610"/>
    </row>
    <row r="545" spans="1:3" s="1512" customFormat="1" x14ac:dyDescent="0.35">
      <c r="A545" s="728"/>
      <c r="B545" s="1610"/>
      <c r="C545" s="1610"/>
    </row>
    <row r="546" spans="1:3" s="1512" customFormat="1" x14ac:dyDescent="0.35">
      <c r="A546" s="728"/>
      <c r="B546" s="1610"/>
      <c r="C546" s="1610"/>
    </row>
    <row r="547" spans="1:3" s="1512" customFormat="1" x14ac:dyDescent="0.35">
      <c r="A547" s="728"/>
      <c r="B547" s="1610"/>
      <c r="C547" s="1610"/>
    </row>
    <row r="548" spans="1:3" s="1512" customFormat="1" x14ac:dyDescent="0.35">
      <c r="A548" s="728"/>
      <c r="B548" s="1610"/>
      <c r="C548" s="1610"/>
    </row>
    <row r="549" spans="1:3" s="1512" customFormat="1" x14ac:dyDescent="0.35">
      <c r="A549" s="728"/>
      <c r="B549" s="1610"/>
      <c r="C549" s="1610"/>
    </row>
    <row r="550" spans="1:3" s="1512" customFormat="1" x14ac:dyDescent="0.35">
      <c r="A550" s="728"/>
      <c r="B550" s="1610"/>
      <c r="C550" s="1610"/>
    </row>
    <row r="551" spans="1:3" s="1512" customFormat="1" x14ac:dyDescent="0.35">
      <c r="A551" s="728"/>
      <c r="B551" s="1610"/>
      <c r="C551" s="1610"/>
    </row>
    <row r="552" spans="1:3" s="1512" customFormat="1" x14ac:dyDescent="0.35">
      <c r="A552" s="728"/>
      <c r="B552" s="1610"/>
      <c r="C552" s="1610"/>
    </row>
    <row r="553" spans="1:3" s="1512" customFormat="1" x14ac:dyDescent="0.35">
      <c r="A553" s="728"/>
      <c r="B553" s="1610"/>
      <c r="C553" s="1610"/>
    </row>
    <row r="554" spans="1:3" s="1512" customFormat="1" x14ac:dyDescent="0.35">
      <c r="A554" s="728"/>
      <c r="B554" s="1610"/>
      <c r="C554" s="1610"/>
    </row>
    <row r="555" spans="1:3" s="1512" customFormat="1" x14ac:dyDescent="0.35">
      <c r="A555" s="728"/>
      <c r="B555" s="1610"/>
      <c r="C555" s="1610"/>
    </row>
    <row r="556" spans="1:3" s="1512" customFormat="1" x14ac:dyDescent="0.35">
      <c r="A556" s="728"/>
      <c r="B556" s="1610"/>
      <c r="C556" s="1610"/>
    </row>
    <row r="557" spans="1:3" s="1512" customFormat="1" x14ac:dyDescent="0.35">
      <c r="A557" s="728"/>
      <c r="B557" s="1610"/>
      <c r="C557" s="1610"/>
    </row>
    <row r="558" spans="1:3" s="1512" customFormat="1" x14ac:dyDescent="0.35">
      <c r="A558" s="728"/>
      <c r="B558" s="1610"/>
      <c r="C558" s="1610"/>
    </row>
    <row r="559" spans="1:3" s="1512" customFormat="1" x14ac:dyDescent="0.35">
      <c r="A559" s="728"/>
      <c r="B559" s="1610"/>
      <c r="C559" s="1610"/>
    </row>
    <row r="560" spans="1:3" s="1512" customFormat="1" x14ac:dyDescent="0.35">
      <c r="A560" s="728"/>
      <c r="B560" s="1610"/>
      <c r="C560" s="1610"/>
    </row>
    <row r="561" spans="1:3" s="1512" customFormat="1" x14ac:dyDescent="0.35">
      <c r="A561" s="728"/>
      <c r="B561" s="1610"/>
      <c r="C561" s="1610"/>
    </row>
    <row r="562" spans="1:3" s="1512" customFormat="1" x14ac:dyDescent="0.35">
      <c r="A562" s="728"/>
      <c r="B562" s="1610"/>
      <c r="C562" s="1610"/>
    </row>
    <row r="563" spans="1:3" s="1512" customFormat="1" x14ac:dyDescent="0.35">
      <c r="A563" s="728"/>
      <c r="B563" s="1610"/>
      <c r="C563" s="1610"/>
    </row>
    <row r="564" spans="1:3" s="1512" customFormat="1" x14ac:dyDescent="0.35">
      <c r="A564" s="728"/>
      <c r="B564" s="1610"/>
      <c r="C564" s="1610"/>
    </row>
    <row r="565" spans="1:3" s="1512" customFormat="1" x14ac:dyDescent="0.35">
      <c r="A565" s="728"/>
      <c r="B565" s="1610"/>
      <c r="C565" s="1610"/>
    </row>
    <row r="566" spans="1:3" s="1512" customFormat="1" x14ac:dyDescent="0.35">
      <c r="A566" s="728"/>
      <c r="B566" s="1610"/>
      <c r="C566" s="1610"/>
    </row>
    <row r="567" spans="1:3" s="1512" customFormat="1" x14ac:dyDescent="0.35">
      <c r="A567" s="728"/>
      <c r="B567" s="1610"/>
      <c r="C567" s="1610"/>
    </row>
    <row r="568" spans="1:3" s="1512" customFormat="1" x14ac:dyDescent="0.35">
      <c r="A568" s="728"/>
      <c r="B568" s="1610"/>
      <c r="C568" s="1610"/>
    </row>
    <row r="569" spans="1:3" s="1512" customFormat="1" x14ac:dyDescent="0.35">
      <c r="A569" s="728"/>
      <c r="B569" s="1610"/>
      <c r="C569" s="1610"/>
    </row>
    <row r="570" spans="1:3" s="1512" customFormat="1" x14ac:dyDescent="0.35">
      <c r="A570" s="728"/>
      <c r="B570" s="1610"/>
      <c r="C570" s="1610"/>
    </row>
    <row r="571" spans="1:3" s="1512" customFormat="1" x14ac:dyDescent="0.35">
      <c r="A571" s="728"/>
      <c r="B571" s="1610"/>
      <c r="C571" s="1610"/>
    </row>
    <row r="572" spans="1:3" s="1512" customFormat="1" x14ac:dyDescent="0.35">
      <c r="A572" s="728"/>
      <c r="B572" s="1610"/>
      <c r="C572" s="1610"/>
    </row>
    <row r="573" spans="1:3" s="1512" customFormat="1" x14ac:dyDescent="0.35">
      <c r="A573" s="728"/>
      <c r="B573" s="1610"/>
      <c r="C573" s="1610"/>
    </row>
    <row r="574" spans="1:3" s="1512" customFormat="1" x14ac:dyDescent="0.35">
      <c r="A574" s="728"/>
      <c r="B574" s="1610"/>
      <c r="C574" s="1610"/>
    </row>
    <row r="575" spans="1:3" s="1512" customFormat="1" x14ac:dyDescent="0.35">
      <c r="A575" s="728"/>
      <c r="B575" s="1610"/>
      <c r="C575" s="1610"/>
    </row>
    <row r="576" spans="1:3" s="1512" customFormat="1" x14ac:dyDescent="0.35">
      <c r="A576" s="728"/>
      <c r="B576" s="1610"/>
      <c r="C576" s="1610"/>
    </row>
    <row r="577" spans="1:3" s="1512" customFormat="1" x14ac:dyDescent="0.35">
      <c r="A577" s="728"/>
      <c r="B577" s="1610"/>
      <c r="C577" s="1610"/>
    </row>
    <row r="578" spans="1:3" s="1512" customFormat="1" x14ac:dyDescent="0.35">
      <c r="A578" s="728"/>
      <c r="B578" s="1610"/>
      <c r="C578" s="1610"/>
    </row>
    <row r="579" spans="1:3" s="1512" customFormat="1" x14ac:dyDescent="0.35">
      <c r="A579" s="728"/>
      <c r="B579" s="1610"/>
      <c r="C579" s="1610"/>
    </row>
    <row r="580" spans="1:3" s="1512" customFormat="1" x14ac:dyDescent="0.35">
      <c r="A580" s="728"/>
      <c r="B580" s="1610"/>
      <c r="C580" s="1610"/>
    </row>
    <row r="581" spans="1:3" s="1512" customFormat="1" x14ac:dyDescent="0.35">
      <c r="A581" s="728"/>
      <c r="B581" s="1610"/>
      <c r="C581" s="1610"/>
    </row>
    <row r="582" spans="1:3" s="1512" customFormat="1" x14ac:dyDescent="0.35">
      <c r="A582" s="728"/>
      <c r="B582" s="1610"/>
      <c r="C582" s="1610"/>
    </row>
    <row r="583" spans="1:3" s="1512" customFormat="1" x14ac:dyDescent="0.35">
      <c r="A583" s="728"/>
      <c r="B583" s="1610"/>
      <c r="C583" s="1610"/>
    </row>
    <row r="584" spans="1:3" s="1512" customFormat="1" x14ac:dyDescent="0.35">
      <c r="A584" s="728"/>
      <c r="B584" s="1610"/>
      <c r="C584" s="1610"/>
    </row>
    <row r="585" spans="1:3" s="1512" customFormat="1" x14ac:dyDescent="0.35">
      <c r="A585" s="728"/>
      <c r="B585" s="1610"/>
      <c r="C585" s="1610"/>
    </row>
    <row r="586" spans="1:3" s="1512" customFormat="1" x14ac:dyDescent="0.35">
      <c r="A586" s="728"/>
      <c r="B586" s="1610"/>
      <c r="C586" s="1610"/>
    </row>
    <row r="587" spans="1:3" s="1512" customFormat="1" x14ac:dyDescent="0.35">
      <c r="A587" s="728"/>
      <c r="B587" s="1610"/>
      <c r="C587" s="1610"/>
    </row>
    <row r="588" spans="1:3" s="1512" customFormat="1" x14ac:dyDescent="0.35">
      <c r="A588" s="728"/>
      <c r="B588" s="1610"/>
      <c r="C588" s="1610"/>
    </row>
    <row r="589" spans="1:3" s="1512" customFormat="1" x14ac:dyDescent="0.35">
      <c r="A589" s="728"/>
      <c r="B589" s="1610"/>
      <c r="C589" s="1610"/>
    </row>
    <row r="590" spans="1:3" s="1512" customFormat="1" x14ac:dyDescent="0.35">
      <c r="A590" s="728"/>
      <c r="B590" s="1610"/>
      <c r="C590" s="1610"/>
    </row>
    <row r="591" spans="1:3" s="1512" customFormat="1" x14ac:dyDescent="0.35">
      <c r="A591" s="728"/>
      <c r="B591" s="1610"/>
      <c r="C591" s="1610"/>
    </row>
    <row r="592" spans="1:3" s="1512" customFormat="1" x14ac:dyDescent="0.35">
      <c r="A592" s="728"/>
      <c r="B592" s="1610"/>
      <c r="C592" s="1610"/>
    </row>
    <row r="593" spans="1:3" s="1512" customFormat="1" x14ac:dyDescent="0.35">
      <c r="A593" s="728"/>
      <c r="B593" s="1610"/>
      <c r="C593" s="1610"/>
    </row>
    <row r="594" spans="1:3" s="1512" customFormat="1" x14ac:dyDescent="0.35">
      <c r="A594" s="728"/>
      <c r="B594" s="1610"/>
      <c r="C594" s="1610"/>
    </row>
    <row r="595" spans="1:3" s="1512" customFormat="1" x14ac:dyDescent="0.35">
      <c r="A595" s="728"/>
      <c r="B595" s="1610"/>
      <c r="C595" s="1610"/>
    </row>
    <row r="596" spans="1:3" s="1512" customFormat="1" x14ac:dyDescent="0.35">
      <c r="A596" s="728"/>
      <c r="B596" s="1610"/>
      <c r="C596" s="1610"/>
    </row>
    <row r="597" spans="1:3" s="1512" customFormat="1" x14ac:dyDescent="0.35">
      <c r="A597" s="728"/>
      <c r="B597" s="1610"/>
      <c r="C597" s="1610"/>
    </row>
    <row r="598" spans="1:3" s="1512" customFormat="1" x14ac:dyDescent="0.35">
      <c r="A598" s="728"/>
      <c r="B598" s="1610"/>
      <c r="C598" s="1610"/>
    </row>
    <row r="599" spans="1:3" s="1512" customFormat="1" x14ac:dyDescent="0.35">
      <c r="A599" s="728"/>
      <c r="B599" s="1610"/>
      <c r="C599" s="1610"/>
    </row>
    <row r="600" spans="1:3" s="1512" customFormat="1" x14ac:dyDescent="0.35">
      <c r="A600" s="728"/>
      <c r="B600" s="1610"/>
      <c r="C600" s="1610"/>
    </row>
    <row r="601" spans="1:3" s="1512" customFormat="1" x14ac:dyDescent="0.35">
      <c r="A601" s="728"/>
      <c r="B601" s="1610"/>
      <c r="C601" s="1610"/>
    </row>
    <row r="602" spans="1:3" s="1512" customFormat="1" x14ac:dyDescent="0.35">
      <c r="A602" s="728"/>
      <c r="B602" s="1610"/>
      <c r="C602" s="1610"/>
    </row>
    <row r="603" spans="1:3" s="1512" customFormat="1" x14ac:dyDescent="0.35">
      <c r="A603" s="728"/>
      <c r="B603" s="1610"/>
      <c r="C603" s="1610"/>
    </row>
    <row r="604" spans="1:3" s="1512" customFormat="1" x14ac:dyDescent="0.35">
      <c r="A604" s="728"/>
      <c r="B604" s="1610"/>
      <c r="C604" s="1610"/>
    </row>
    <row r="605" spans="1:3" s="1512" customFormat="1" x14ac:dyDescent="0.35">
      <c r="A605" s="728"/>
      <c r="B605" s="1610"/>
      <c r="C605" s="1610"/>
    </row>
    <row r="606" spans="1:3" s="1512" customFormat="1" x14ac:dyDescent="0.35">
      <c r="A606" s="728"/>
      <c r="B606" s="1610"/>
      <c r="C606" s="1610"/>
    </row>
    <row r="607" spans="1:3" s="1512" customFormat="1" x14ac:dyDescent="0.35">
      <c r="A607" s="728"/>
      <c r="B607" s="1610"/>
      <c r="C607" s="1610"/>
    </row>
    <row r="608" spans="1:3" s="1512" customFormat="1" x14ac:dyDescent="0.35">
      <c r="A608" s="728"/>
      <c r="B608" s="1610"/>
      <c r="C608" s="1610"/>
    </row>
    <row r="609" spans="1:3" s="1512" customFormat="1" x14ac:dyDescent="0.35">
      <c r="A609" s="728"/>
      <c r="B609" s="1610"/>
      <c r="C609" s="1610"/>
    </row>
    <row r="610" spans="1:3" s="1512" customFormat="1" x14ac:dyDescent="0.35">
      <c r="A610" s="728"/>
      <c r="B610" s="1610"/>
      <c r="C610" s="1610"/>
    </row>
    <row r="611" spans="1:3" s="1512" customFormat="1" x14ac:dyDescent="0.35">
      <c r="A611" s="728"/>
      <c r="B611" s="1610"/>
      <c r="C611" s="1610"/>
    </row>
    <row r="612" spans="1:3" s="1512" customFormat="1" x14ac:dyDescent="0.35">
      <c r="A612" s="728"/>
      <c r="B612" s="1610"/>
      <c r="C612" s="1610"/>
    </row>
    <row r="613" spans="1:3" s="1512" customFormat="1" x14ac:dyDescent="0.35">
      <c r="A613" s="728"/>
      <c r="B613" s="1610"/>
      <c r="C613" s="1610"/>
    </row>
    <row r="614" spans="1:3" s="1512" customFormat="1" x14ac:dyDescent="0.35">
      <c r="A614" s="728"/>
      <c r="B614" s="1610"/>
      <c r="C614" s="1610"/>
    </row>
    <row r="615" spans="1:3" s="1512" customFormat="1" x14ac:dyDescent="0.35">
      <c r="A615" s="728"/>
      <c r="B615" s="1610"/>
      <c r="C615" s="1610"/>
    </row>
    <row r="616" spans="1:3" s="1512" customFormat="1" x14ac:dyDescent="0.35">
      <c r="A616" s="728"/>
      <c r="B616" s="1610"/>
      <c r="C616" s="1610"/>
    </row>
    <row r="617" spans="1:3" s="1512" customFormat="1" x14ac:dyDescent="0.35">
      <c r="A617" s="728"/>
      <c r="B617" s="1610"/>
      <c r="C617" s="1610"/>
    </row>
    <row r="618" spans="1:3" s="1512" customFormat="1" x14ac:dyDescent="0.35">
      <c r="A618" s="728"/>
      <c r="B618" s="1610"/>
      <c r="C618" s="1610"/>
    </row>
    <row r="619" spans="1:3" s="1512" customFormat="1" x14ac:dyDescent="0.35">
      <c r="A619" s="728"/>
      <c r="B619" s="1610"/>
      <c r="C619" s="1610"/>
    </row>
    <row r="620" spans="1:3" s="1512" customFormat="1" x14ac:dyDescent="0.35">
      <c r="A620" s="728"/>
      <c r="B620" s="1610"/>
      <c r="C620" s="1610"/>
    </row>
    <row r="621" spans="1:3" s="1512" customFormat="1" x14ac:dyDescent="0.35">
      <c r="A621" s="728"/>
      <c r="B621" s="1610"/>
      <c r="C621" s="1610"/>
    </row>
    <row r="622" spans="1:3" s="1512" customFormat="1" x14ac:dyDescent="0.35">
      <c r="A622" s="728"/>
      <c r="B622" s="1610"/>
      <c r="C622" s="1610"/>
    </row>
    <row r="623" spans="1:3" s="1512" customFormat="1" x14ac:dyDescent="0.35">
      <c r="A623" s="728"/>
      <c r="B623" s="1610"/>
      <c r="C623" s="1610"/>
    </row>
    <row r="624" spans="1:3" s="1512" customFormat="1" x14ac:dyDescent="0.35">
      <c r="A624" s="728"/>
      <c r="B624" s="1610"/>
      <c r="C624" s="1610"/>
    </row>
    <row r="625" spans="1:3" s="1512" customFormat="1" x14ac:dyDescent="0.35">
      <c r="A625" s="728"/>
      <c r="B625" s="1610"/>
      <c r="C625" s="1610"/>
    </row>
    <row r="626" spans="1:3" s="1512" customFormat="1" x14ac:dyDescent="0.35">
      <c r="A626" s="728"/>
      <c r="B626" s="1610"/>
      <c r="C626" s="1610"/>
    </row>
    <row r="627" spans="1:3" s="1512" customFormat="1" x14ac:dyDescent="0.35">
      <c r="A627" s="728"/>
      <c r="B627" s="1610"/>
      <c r="C627" s="1610"/>
    </row>
    <row r="628" spans="1:3" s="1512" customFormat="1" x14ac:dyDescent="0.35">
      <c r="A628" s="728"/>
      <c r="B628" s="1610"/>
      <c r="C628" s="1610"/>
    </row>
    <row r="629" spans="1:3" s="1512" customFormat="1" x14ac:dyDescent="0.35">
      <c r="A629" s="728"/>
      <c r="B629" s="1610"/>
      <c r="C629" s="1610"/>
    </row>
    <row r="630" spans="1:3" s="1512" customFormat="1" x14ac:dyDescent="0.35">
      <c r="A630" s="728"/>
      <c r="B630" s="1610"/>
      <c r="C630" s="1610"/>
    </row>
    <row r="631" spans="1:3" s="1512" customFormat="1" x14ac:dyDescent="0.35">
      <c r="A631" s="728"/>
      <c r="B631" s="1610"/>
      <c r="C631" s="1610"/>
    </row>
    <row r="632" spans="1:3" s="1512" customFormat="1" x14ac:dyDescent="0.35">
      <c r="A632" s="728"/>
      <c r="B632" s="1610"/>
      <c r="C632" s="1610"/>
    </row>
    <row r="633" spans="1:3" s="1512" customFormat="1" x14ac:dyDescent="0.35">
      <c r="A633" s="728"/>
      <c r="B633" s="1610"/>
      <c r="C633" s="1610"/>
    </row>
    <row r="634" spans="1:3" s="1512" customFormat="1" x14ac:dyDescent="0.35">
      <c r="A634" s="728"/>
      <c r="B634" s="1610"/>
      <c r="C634" s="1610"/>
    </row>
    <row r="635" spans="1:3" s="1512" customFormat="1" x14ac:dyDescent="0.35">
      <c r="A635" s="728"/>
      <c r="B635" s="1610"/>
      <c r="C635" s="1610"/>
    </row>
    <row r="636" spans="1:3" s="1512" customFormat="1" x14ac:dyDescent="0.35">
      <c r="A636" s="728"/>
      <c r="B636" s="1610"/>
      <c r="C636" s="1610"/>
    </row>
    <row r="637" spans="1:3" s="1512" customFormat="1" x14ac:dyDescent="0.35">
      <c r="A637" s="728"/>
      <c r="B637" s="1610"/>
      <c r="C637" s="1610"/>
    </row>
    <row r="638" spans="1:3" s="1512" customFormat="1" x14ac:dyDescent="0.35">
      <c r="A638" s="728"/>
      <c r="B638" s="1610"/>
      <c r="C638" s="1610"/>
    </row>
    <row r="639" spans="1:3" s="1512" customFormat="1" x14ac:dyDescent="0.35">
      <c r="A639" s="728"/>
      <c r="B639" s="1610"/>
      <c r="C639" s="1610"/>
    </row>
    <row r="640" spans="1:3" s="1512" customFormat="1" x14ac:dyDescent="0.35">
      <c r="A640" s="728"/>
      <c r="B640" s="1610"/>
      <c r="C640" s="1610"/>
    </row>
    <row r="641" spans="1:3" s="1512" customFormat="1" x14ac:dyDescent="0.35">
      <c r="A641" s="728"/>
      <c r="B641" s="1610"/>
      <c r="C641" s="1610"/>
    </row>
    <row r="642" spans="1:3" s="1512" customFormat="1" x14ac:dyDescent="0.35">
      <c r="A642" s="728"/>
      <c r="B642" s="1610"/>
      <c r="C642" s="1610"/>
    </row>
    <row r="643" spans="1:3" s="1512" customFormat="1" x14ac:dyDescent="0.35">
      <c r="A643" s="728"/>
      <c r="B643" s="1610"/>
      <c r="C643" s="1610"/>
    </row>
    <row r="644" spans="1:3" s="1512" customFormat="1" x14ac:dyDescent="0.35">
      <c r="A644" s="728"/>
      <c r="B644" s="1610"/>
      <c r="C644" s="1610"/>
    </row>
    <row r="645" spans="1:3" s="1512" customFormat="1" x14ac:dyDescent="0.35">
      <c r="A645" s="728"/>
      <c r="B645" s="1610"/>
      <c r="C645" s="1610"/>
    </row>
    <row r="646" spans="1:3" s="1512" customFormat="1" x14ac:dyDescent="0.35">
      <c r="A646" s="728"/>
      <c r="B646" s="1610"/>
      <c r="C646" s="1610"/>
    </row>
    <row r="647" spans="1:3" s="1512" customFormat="1" x14ac:dyDescent="0.35">
      <c r="A647" s="728"/>
      <c r="B647" s="1610"/>
      <c r="C647" s="1610"/>
    </row>
    <row r="648" spans="1:3" s="1512" customFormat="1" x14ac:dyDescent="0.35">
      <c r="A648" s="728"/>
      <c r="B648" s="1610"/>
      <c r="C648" s="1610"/>
    </row>
    <row r="649" spans="1:3" s="1512" customFormat="1" x14ac:dyDescent="0.35">
      <c r="A649" s="728"/>
      <c r="B649" s="1610"/>
      <c r="C649" s="1610"/>
    </row>
    <row r="650" spans="1:3" s="1512" customFormat="1" x14ac:dyDescent="0.35">
      <c r="A650" s="728"/>
      <c r="B650" s="1610"/>
      <c r="C650" s="1610"/>
    </row>
    <row r="651" spans="1:3" s="1512" customFormat="1" x14ac:dyDescent="0.35">
      <c r="A651" s="728"/>
      <c r="B651" s="1610"/>
      <c r="C651" s="1610"/>
    </row>
    <row r="652" spans="1:3" s="1512" customFormat="1" x14ac:dyDescent="0.35">
      <c r="A652" s="728"/>
      <c r="B652" s="1610"/>
      <c r="C652" s="1610"/>
    </row>
    <row r="653" spans="1:3" s="1512" customFormat="1" x14ac:dyDescent="0.35">
      <c r="A653" s="728"/>
      <c r="B653" s="1610"/>
      <c r="C653" s="1610"/>
    </row>
    <row r="654" spans="1:3" s="1512" customFormat="1" x14ac:dyDescent="0.35">
      <c r="A654" s="728"/>
      <c r="B654" s="1610"/>
      <c r="C654" s="1610"/>
    </row>
    <row r="655" spans="1:3" s="1512" customFormat="1" x14ac:dyDescent="0.35">
      <c r="A655" s="728"/>
      <c r="B655" s="1610"/>
      <c r="C655" s="1610"/>
    </row>
    <row r="656" spans="1:3" s="1512" customFormat="1" x14ac:dyDescent="0.35">
      <c r="A656" s="728"/>
      <c r="B656" s="1610"/>
      <c r="C656" s="1610"/>
    </row>
    <row r="657" spans="1:3" s="1512" customFormat="1" x14ac:dyDescent="0.35">
      <c r="A657" s="728"/>
      <c r="B657" s="1610"/>
      <c r="C657" s="1610"/>
    </row>
    <row r="658" spans="1:3" s="1512" customFormat="1" x14ac:dyDescent="0.35">
      <c r="A658" s="728"/>
      <c r="B658" s="1610"/>
      <c r="C658" s="1610"/>
    </row>
    <row r="659" spans="1:3" s="1512" customFormat="1" x14ac:dyDescent="0.35">
      <c r="A659" s="728"/>
      <c r="B659" s="1610"/>
      <c r="C659" s="1610"/>
    </row>
    <row r="660" spans="1:3" s="1512" customFormat="1" x14ac:dyDescent="0.35">
      <c r="A660" s="728"/>
      <c r="B660" s="1610"/>
      <c r="C660" s="1610"/>
    </row>
    <row r="661" spans="1:3" s="1512" customFormat="1" x14ac:dyDescent="0.35">
      <c r="A661" s="728"/>
      <c r="B661" s="1610"/>
      <c r="C661" s="1610"/>
    </row>
    <row r="662" spans="1:3" s="1512" customFormat="1" x14ac:dyDescent="0.35">
      <c r="A662" s="728"/>
      <c r="B662" s="1610"/>
      <c r="C662" s="1610"/>
    </row>
    <row r="663" spans="1:3" s="1512" customFormat="1" x14ac:dyDescent="0.35">
      <c r="A663" s="728"/>
      <c r="B663" s="1610"/>
      <c r="C663" s="1610"/>
    </row>
    <row r="664" spans="1:3" s="1512" customFormat="1" x14ac:dyDescent="0.35">
      <c r="A664" s="728"/>
      <c r="B664" s="1610"/>
      <c r="C664" s="1610"/>
    </row>
    <row r="665" spans="1:3" s="1512" customFormat="1" x14ac:dyDescent="0.35">
      <c r="A665" s="728"/>
      <c r="B665" s="1610"/>
      <c r="C665" s="1610"/>
    </row>
    <row r="666" spans="1:3" s="1512" customFormat="1" x14ac:dyDescent="0.35">
      <c r="A666" s="728"/>
      <c r="B666" s="1610"/>
      <c r="C666" s="1610"/>
    </row>
    <row r="667" spans="1:3" s="1512" customFormat="1" x14ac:dyDescent="0.35">
      <c r="A667" s="728"/>
      <c r="B667" s="1610"/>
      <c r="C667" s="1610"/>
    </row>
    <row r="668" spans="1:3" s="1512" customFormat="1" x14ac:dyDescent="0.35">
      <c r="A668" s="728"/>
      <c r="B668" s="1610"/>
      <c r="C668" s="1610"/>
    </row>
    <row r="669" spans="1:3" s="1512" customFormat="1" x14ac:dyDescent="0.35">
      <c r="A669" s="728"/>
      <c r="B669" s="1610"/>
      <c r="C669" s="1610"/>
    </row>
    <row r="670" spans="1:3" s="1512" customFormat="1" x14ac:dyDescent="0.35">
      <c r="A670" s="728"/>
      <c r="B670" s="1610"/>
      <c r="C670" s="1610"/>
    </row>
    <row r="671" spans="1:3" s="1512" customFormat="1" x14ac:dyDescent="0.35">
      <c r="A671" s="728"/>
      <c r="B671" s="1610"/>
      <c r="C671" s="1610"/>
    </row>
    <row r="672" spans="1:3" s="1512" customFormat="1" x14ac:dyDescent="0.35">
      <c r="A672" s="728"/>
      <c r="B672" s="1610"/>
      <c r="C672" s="1610"/>
    </row>
    <row r="673" spans="1:3" s="1512" customFormat="1" x14ac:dyDescent="0.35">
      <c r="A673" s="728"/>
      <c r="B673" s="1610"/>
      <c r="C673" s="1610"/>
    </row>
    <row r="674" spans="1:3" s="1512" customFormat="1" x14ac:dyDescent="0.35">
      <c r="A674" s="728"/>
      <c r="B674" s="1610"/>
      <c r="C674" s="1610"/>
    </row>
    <row r="675" spans="1:3" s="1512" customFormat="1" x14ac:dyDescent="0.35">
      <c r="A675" s="728"/>
      <c r="B675" s="1610"/>
      <c r="C675" s="1610"/>
    </row>
    <row r="676" spans="1:3" s="1512" customFormat="1" x14ac:dyDescent="0.35">
      <c r="A676" s="728"/>
      <c r="B676" s="1610"/>
      <c r="C676" s="1610"/>
    </row>
    <row r="677" spans="1:3" s="1512" customFormat="1" x14ac:dyDescent="0.35">
      <c r="A677" s="728"/>
      <c r="B677" s="1610"/>
      <c r="C677" s="1610"/>
    </row>
    <row r="678" spans="1:3" s="1512" customFormat="1" x14ac:dyDescent="0.35">
      <c r="A678" s="728"/>
      <c r="B678" s="1610"/>
      <c r="C678" s="1610"/>
    </row>
    <row r="679" spans="1:3" s="1512" customFormat="1" x14ac:dyDescent="0.35">
      <c r="A679" s="728"/>
      <c r="B679" s="1610"/>
      <c r="C679" s="1610"/>
    </row>
    <row r="680" spans="1:3" s="1512" customFormat="1" x14ac:dyDescent="0.35">
      <c r="A680" s="728"/>
      <c r="B680" s="1610"/>
      <c r="C680" s="1610"/>
    </row>
    <row r="681" spans="1:3" s="1512" customFormat="1" x14ac:dyDescent="0.35">
      <c r="A681" s="728"/>
      <c r="B681" s="1610"/>
      <c r="C681" s="1610"/>
    </row>
    <row r="682" spans="1:3" s="1512" customFormat="1" x14ac:dyDescent="0.35">
      <c r="A682" s="728"/>
      <c r="B682" s="1610"/>
      <c r="C682" s="1610"/>
    </row>
    <row r="683" spans="1:3" s="1512" customFormat="1" x14ac:dyDescent="0.35">
      <c r="A683" s="728"/>
      <c r="B683" s="1610"/>
      <c r="C683" s="1610"/>
    </row>
    <row r="684" spans="1:3" s="1512" customFormat="1" x14ac:dyDescent="0.35">
      <c r="A684" s="728"/>
      <c r="B684" s="1610"/>
      <c r="C684" s="1610"/>
    </row>
    <row r="685" spans="1:3" s="1512" customFormat="1" x14ac:dyDescent="0.35">
      <c r="A685" s="728"/>
      <c r="B685" s="1610"/>
      <c r="C685" s="1610"/>
    </row>
    <row r="686" spans="1:3" s="1512" customFormat="1" x14ac:dyDescent="0.35">
      <c r="A686" s="728"/>
      <c r="B686" s="1610"/>
      <c r="C686" s="1610"/>
    </row>
    <row r="687" spans="1:3" s="1512" customFormat="1" x14ac:dyDescent="0.35">
      <c r="A687" s="728"/>
      <c r="B687" s="1610"/>
      <c r="C687" s="1610"/>
    </row>
    <row r="688" spans="1:3" s="1512" customFormat="1" x14ac:dyDescent="0.35">
      <c r="A688" s="728"/>
      <c r="B688" s="1610"/>
      <c r="C688" s="1610"/>
    </row>
    <row r="689" spans="1:3" s="1512" customFormat="1" x14ac:dyDescent="0.35">
      <c r="A689" s="728"/>
      <c r="B689" s="1610"/>
      <c r="C689" s="1610"/>
    </row>
    <row r="690" spans="1:3" s="1512" customFormat="1" x14ac:dyDescent="0.35">
      <c r="A690" s="728"/>
      <c r="B690" s="1610"/>
      <c r="C690" s="1610"/>
    </row>
    <row r="691" spans="1:3" s="1512" customFormat="1" x14ac:dyDescent="0.35">
      <c r="A691" s="728"/>
      <c r="B691" s="1610"/>
      <c r="C691" s="1610"/>
    </row>
    <row r="692" spans="1:3" s="1512" customFormat="1" x14ac:dyDescent="0.35">
      <c r="A692" s="728"/>
      <c r="B692" s="1610"/>
      <c r="C692" s="1610"/>
    </row>
    <row r="693" spans="1:3" s="1512" customFormat="1" x14ac:dyDescent="0.35">
      <c r="A693" s="728"/>
      <c r="B693" s="1610"/>
      <c r="C693" s="1610"/>
    </row>
    <row r="694" spans="1:3" s="1512" customFormat="1" x14ac:dyDescent="0.35">
      <c r="A694" s="728"/>
      <c r="B694" s="1610"/>
      <c r="C694" s="1610"/>
    </row>
    <row r="695" spans="1:3" s="1512" customFormat="1" x14ac:dyDescent="0.35">
      <c r="A695" s="728"/>
      <c r="B695" s="1610"/>
      <c r="C695" s="1610"/>
    </row>
    <row r="696" spans="1:3" s="1512" customFormat="1" x14ac:dyDescent="0.35">
      <c r="A696" s="728"/>
      <c r="B696" s="1610"/>
      <c r="C696" s="1610"/>
    </row>
    <row r="697" spans="1:3" s="1512" customFormat="1" x14ac:dyDescent="0.35">
      <c r="A697" s="728"/>
      <c r="B697" s="1610"/>
      <c r="C697" s="1610"/>
    </row>
    <row r="698" spans="1:3" s="1512" customFormat="1" x14ac:dyDescent="0.35">
      <c r="A698" s="728"/>
      <c r="B698" s="1610"/>
      <c r="C698" s="1610"/>
    </row>
    <row r="699" spans="1:3" s="1512" customFormat="1" x14ac:dyDescent="0.35">
      <c r="A699" s="728"/>
      <c r="B699" s="1610"/>
      <c r="C699" s="1610"/>
    </row>
    <row r="700" spans="1:3" s="1512" customFormat="1" x14ac:dyDescent="0.35">
      <c r="A700" s="728"/>
      <c r="B700" s="1610"/>
      <c r="C700" s="1610"/>
    </row>
    <row r="701" spans="1:3" s="1512" customFormat="1" x14ac:dyDescent="0.35">
      <c r="A701" s="728"/>
      <c r="B701" s="1610"/>
      <c r="C701" s="1610"/>
    </row>
    <row r="702" spans="1:3" s="1512" customFormat="1" x14ac:dyDescent="0.35">
      <c r="A702" s="728"/>
      <c r="B702" s="1610"/>
      <c r="C702" s="1610"/>
    </row>
    <row r="703" spans="1:3" s="1512" customFormat="1" x14ac:dyDescent="0.35">
      <c r="A703" s="728"/>
      <c r="B703" s="1610"/>
      <c r="C703" s="1610"/>
    </row>
    <row r="704" spans="1:3" s="1512" customFormat="1" x14ac:dyDescent="0.35">
      <c r="A704" s="728"/>
      <c r="B704" s="1610"/>
      <c r="C704" s="1610"/>
    </row>
    <row r="705" spans="1:3" s="1512" customFormat="1" x14ac:dyDescent="0.35">
      <c r="A705" s="728"/>
      <c r="B705" s="1610"/>
      <c r="C705" s="1610"/>
    </row>
    <row r="706" spans="1:3" s="1512" customFormat="1" x14ac:dyDescent="0.35">
      <c r="A706" s="728"/>
      <c r="B706" s="1610"/>
      <c r="C706" s="1610"/>
    </row>
    <row r="707" spans="1:3" s="1512" customFormat="1" x14ac:dyDescent="0.35">
      <c r="A707" s="728"/>
      <c r="B707" s="1610"/>
      <c r="C707" s="1610"/>
    </row>
    <row r="708" spans="1:3" s="1512" customFormat="1" x14ac:dyDescent="0.35">
      <c r="A708" s="728"/>
      <c r="B708" s="1610"/>
      <c r="C708" s="1610"/>
    </row>
    <row r="709" spans="1:3" s="1512" customFormat="1" x14ac:dyDescent="0.35">
      <c r="A709" s="728"/>
      <c r="B709" s="1610"/>
      <c r="C709" s="1610"/>
    </row>
    <row r="710" spans="1:3" s="1512" customFormat="1" x14ac:dyDescent="0.35">
      <c r="A710" s="728"/>
      <c r="B710" s="1610"/>
      <c r="C710" s="1610"/>
    </row>
    <row r="711" spans="1:3" s="1512" customFormat="1" x14ac:dyDescent="0.35">
      <c r="A711" s="728"/>
      <c r="B711" s="1610"/>
      <c r="C711" s="1610"/>
    </row>
    <row r="712" spans="1:3" s="1512" customFormat="1" x14ac:dyDescent="0.35">
      <c r="A712" s="728"/>
      <c r="B712" s="1610"/>
      <c r="C712" s="1610"/>
    </row>
    <row r="713" spans="1:3" s="1512" customFormat="1" x14ac:dyDescent="0.35">
      <c r="A713" s="728"/>
      <c r="B713" s="1610"/>
      <c r="C713" s="1610"/>
    </row>
    <row r="714" spans="1:3" s="1512" customFormat="1" x14ac:dyDescent="0.35">
      <c r="A714" s="728"/>
      <c r="B714" s="1610"/>
      <c r="C714" s="1610"/>
    </row>
    <row r="715" spans="1:3" s="1512" customFormat="1" x14ac:dyDescent="0.35">
      <c r="A715" s="728"/>
      <c r="B715" s="1610"/>
      <c r="C715" s="1610"/>
    </row>
    <row r="716" spans="1:3" s="1512" customFormat="1" x14ac:dyDescent="0.35">
      <c r="A716" s="728"/>
      <c r="B716" s="1610"/>
      <c r="C716" s="1610"/>
    </row>
    <row r="717" spans="1:3" s="1512" customFormat="1" x14ac:dyDescent="0.35">
      <c r="A717" s="728"/>
      <c r="B717" s="1610"/>
      <c r="C717" s="1610"/>
    </row>
    <row r="718" spans="1:3" s="1512" customFormat="1" x14ac:dyDescent="0.35">
      <c r="A718" s="728"/>
      <c r="B718" s="1610"/>
      <c r="C718" s="1610"/>
    </row>
    <row r="719" spans="1:3" s="1512" customFormat="1" x14ac:dyDescent="0.35">
      <c r="A719" s="728"/>
      <c r="B719" s="1610"/>
      <c r="C719" s="1610"/>
    </row>
    <row r="720" spans="1:3" s="1512" customFormat="1" x14ac:dyDescent="0.35">
      <c r="A720" s="728"/>
      <c r="B720" s="1610"/>
      <c r="C720" s="1610"/>
    </row>
    <row r="721" spans="1:3" s="1512" customFormat="1" x14ac:dyDescent="0.35">
      <c r="A721" s="728"/>
      <c r="B721" s="1610"/>
      <c r="C721" s="1610"/>
    </row>
    <row r="722" spans="1:3" s="1512" customFormat="1" x14ac:dyDescent="0.35">
      <c r="A722" s="728"/>
      <c r="B722" s="1610"/>
      <c r="C722" s="1610"/>
    </row>
    <row r="723" spans="1:3" s="1512" customFormat="1" x14ac:dyDescent="0.35">
      <c r="A723" s="728"/>
      <c r="B723" s="1610"/>
      <c r="C723" s="1610"/>
    </row>
    <row r="724" spans="1:3" s="1512" customFormat="1" x14ac:dyDescent="0.35">
      <c r="A724" s="728"/>
      <c r="B724" s="1610"/>
      <c r="C724" s="1610"/>
    </row>
    <row r="725" spans="1:3" s="1512" customFormat="1" x14ac:dyDescent="0.35">
      <c r="A725" s="728"/>
      <c r="B725" s="1610"/>
      <c r="C725" s="1610"/>
    </row>
    <row r="726" spans="1:3" s="1512" customFormat="1" x14ac:dyDescent="0.35">
      <c r="A726" s="728"/>
      <c r="B726" s="1610"/>
      <c r="C726" s="1610"/>
    </row>
    <row r="727" spans="1:3" s="1512" customFormat="1" x14ac:dyDescent="0.35">
      <c r="A727" s="728"/>
      <c r="B727" s="1610"/>
      <c r="C727" s="1610"/>
    </row>
    <row r="728" spans="1:3" s="1512" customFormat="1" x14ac:dyDescent="0.35">
      <c r="A728" s="728"/>
      <c r="B728" s="1610"/>
      <c r="C728" s="1610"/>
    </row>
    <row r="729" spans="1:3" s="1512" customFormat="1" x14ac:dyDescent="0.35">
      <c r="A729" s="728"/>
      <c r="B729" s="1610"/>
      <c r="C729" s="1610"/>
    </row>
    <row r="730" spans="1:3" s="1512" customFormat="1" x14ac:dyDescent="0.35">
      <c r="A730" s="728"/>
      <c r="B730" s="1610"/>
      <c r="C730" s="1610"/>
    </row>
    <row r="731" spans="1:3" s="1512" customFormat="1" x14ac:dyDescent="0.35">
      <c r="A731" s="728"/>
      <c r="B731" s="1610"/>
      <c r="C731" s="1610"/>
    </row>
    <row r="732" spans="1:3" s="1512" customFormat="1" x14ac:dyDescent="0.35">
      <c r="A732" s="728"/>
      <c r="B732" s="1610"/>
      <c r="C732" s="1610"/>
    </row>
    <row r="733" spans="1:3" s="1512" customFormat="1" x14ac:dyDescent="0.35">
      <c r="A733" s="728"/>
      <c r="B733" s="1610"/>
      <c r="C733" s="1610"/>
    </row>
    <row r="734" spans="1:3" s="1512" customFormat="1" x14ac:dyDescent="0.35">
      <c r="A734" s="728"/>
      <c r="B734" s="1610"/>
      <c r="C734" s="1610"/>
    </row>
    <row r="735" spans="1:3" s="1512" customFormat="1" x14ac:dyDescent="0.35">
      <c r="A735" s="728"/>
      <c r="B735" s="1610"/>
      <c r="C735" s="1610"/>
    </row>
    <row r="736" spans="1:3" s="1512" customFormat="1" x14ac:dyDescent="0.35">
      <c r="A736" s="728"/>
      <c r="B736" s="1610"/>
      <c r="C736" s="1610"/>
    </row>
    <row r="737" spans="1:3" s="1512" customFormat="1" x14ac:dyDescent="0.35">
      <c r="A737" s="728"/>
      <c r="B737" s="1610"/>
      <c r="C737" s="1610"/>
    </row>
    <row r="738" spans="1:3" s="1512" customFormat="1" x14ac:dyDescent="0.35">
      <c r="A738" s="728"/>
      <c r="B738" s="1610"/>
      <c r="C738" s="1610"/>
    </row>
    <row r="739" spans="1:3" s="1512" customFormat="1" x14ac:dyDescent="0.35">
      <c r="A739" s="728"/>
      <c r="B739" s="1610"/>
      <c r="C739" s="1610"/>
    </row>
    <row r="740" spans="1:3" s="1512" customFormat="1" x14ac:dyDescent="0.35">
      <c r="A740" s="728"/>
      <c r="B740" s="1610"/>
      <c r="C740" s="1610"/>
    </row>
  </sheetData>
  <mergeCells count="20">
    <mergeCell ref="D54:BB54"/>
    <mergeCell ref="D2:BB2"/>
    <mergeCell ref="D3:BB3"/>
    <mergeCell ref="D4:BB4"/>
    <mergeCell ref="D52:BB52"/>
    <mergeCell ref="D53:BB53"/>
    <mergeCell ref="R63:V63"/>
    <mergeCell ref="W63:X63"/>
    <mergeCell ref="Y63:Z63"/>
    <mergeCell ref="AA63:AB63"/>
    <mergeCell ref="D55:BB55"/>
    <mergeCell ref="D56:BB56"/>
    <mergeCell ref="D57:BB57"/>
    <mergeCell ref="D58:BB58"/>
    <mergeCell ref="E63:F63"/>
    <mergeCell ref="G63:H63"/>
    <mergeCell ref="I63:J63"/>
    <mergeCell ref="K63:L63"/>
    <mergeCell ref="M63:N63"/>
    <mergeCell ref="O63:P63"/>
  </mergeCells>
  <pageMargins left="0.74803149606299202" right="0.74803149606299202" top="0.98425196850393704" bottom="0.98425196850393704" header="0.511811023622047" footer="0.511811023622047"/>
  <pageSetup paperSize="9" scale="1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AW50"/>
  <sheetViews>
    <sheetView showGridLines="0" view="pageBreakPreview" zoomScaleNormal="100" zoomScaleSheetLayoutView="100" workbookViewId="0">
      <selection activeCell="D43" sqref="D43:AK43"/>
    </sheetView>
  </sheetViews>
  <sheetFormatPr defaultColWidth="9.08984375" defaultRowHeight="11.5" x14ac:dyDescent="0.25"/>
  <cols>
    <col min="1" max="1" width="2.26953125" style="1659" customWidth="1"/>
    <col min="2" max="2" width="12.453125" style="1660" customWidth="1"/>
    <col min="3" max="3" width="3.7265625" style="1660" customWidth="1"/>
    <col min="4" max="4" width="31.7265625" style="1660" customWidth="1"/>
    <col min="5" max="6" width="10.90625" style="1660" bestFit="1" customWidth="1"/>
    <col min="7" max="7" width="10.453125" style="1660" customWidth="1"/>
    <col min="8" max="8" width="10.26953125" style="1660" customWidth="1"/>
    <col min="9" max="9" width="9.26953125" style="1660" customWidth="1"/>
    <col min="10" max="10" width="10.7265625" style="1660" customWidth="1"/>
    <col min="11" max="11" width="10.08984375" style="1660" customWidth="1"/>
    <col min="12" max="12" width="10" style="1660" customWidth="1"/>
    <col min="13" max="13" width="10.453125" style="1660" customWidth="1"/>
    <col min="14" max="14" width="9.7265625" style="1660" customWidth="1"/>
    <col min="15" max="15" width="9.453125" style="1660" customWidth="1"/>
    <col min="16" max="16" width="9.7265625" style="1660" customWidth="1"/>
    <col min="17" max="17" width="10.453125" style="1660" customWidth="1"/>
    <col min="18" max="18" width="9.26953125" style="1660" customWidth="1"/>
    <col min="19" max="19" width="9.7265625" style="1660" customWidth="1"/>
    <col min="20" max="20" width="8.453125" style="1660" customWidth="1"/>
    <col min="21" max="21" width="9.26953125" style="1660" customWidth="1"/>
    <col min="22" max="22" width="9.90625" style="1660" customWidth="1"/>
    <col min="23" max="23" width="9.453125" style="1660" customWidth="1"/>
    <col min="24" max="24" width="9.90625" style="1660" customWidth="1"/>
    <col min="25" max="25" width="9.08984375" style="1660"/>
    <col min="26" max="26" width="9.90625" style="1660" customWidth="1"/>
    <col min="27" max="16384" width="9.08984375" style="1660"/>
  </cols>
  <sheetData>
    <row r="1" spans="1:40" s="1644" customFormat="1" ht="14" x14ac:dyDescent="0.3">
      <c r="A1" s="1643"/>
    </row>
    <row r="2" spans="1:40" s="1644" customFormat="1" ht="15" customHeight="1" x14ac:dyDescent="0.3">
      <c r="A2" s="1645">
        <v>1</v>
      </c>
      <c r="B2" s="1645" t="s">
        <v>0</v>
      </c>
      <c r="C2" s="1645">
        <v>25</v>
      </c>
      <c r="D2" s="4776" t="s">
        <v>627</v>
      </c>
      <c r="E2" s="4777"/>
      <c r="F2" s="4777"/>
      <c r="G2" s="4777"/>
      <c r="H2" s="4777"/>
      <c r="I2" s="4777"/>
      <c r="J2" s="4777"/>
      <c r="K2" s="4777"/>
      <c r="L2" s="4777"/>
      <c r="M2" s="4777"/>
      <c r="N2" s="4777"/>
      <c r="O2" s="4777"/>
      <c r="P2" s="4777"/>
      <c r="Q2" s="4777"/>
      <c r="R2" s="4777"/>
      <c r="S2" s="4777"/>
      <c r="T2" s="4777"/>
      <c r="U2" s="4777"/>
      <c r="V2" s="4777"/>
      <c r="W2" s="4777"/>
      <c r="X2" s="4777"/>
      <c r="Y2" s="4777"/>
      <c r="Z2" s="4777"/>
      <c r="AA2" s="4777"/>
      <c r="AB2" s="4777"/>
      <c r="AC2" s="4777"/>
      <c r="AD2" s="4777"/>
      <c r="AE2" s="4777"/>
      <c r="AF2" s="4777"/>
      <c r="AG2" s="4777"/>
      <c r="AH2" s="4777"/>
      <c r="AI2" s="4777"/>
      <c r="AJ2" s="4777"/>
      <c r="AK2" s="4777"/>
      <c r="AL2" s="4777"/>
      <c r="AM2" s="4777"/>
      <c r="AN2" s="4778"/>
    </row>
    <row r="3" spans="1:40" s="1644" customFormat="1" ht="15" customHeight="1" x14ac:dyDescent="0.3">
      <c r="A3" s="1645">
        <v>2</v>
      </c>
      <c r="B3" s="1645" t="s">
        <v>2</v>
      </c>
      <c r="C3" s="1645"/>
      <c r="D3" s="4776" t="s">
        <v>628</v>
      </c>
      <c r="E3" s="4777"/>
      <c r="F3" s="4777"/>
      <c r="G3" s="4777"/>
      <c r="H3" s="4777"/>
      <c r="I3" s="4777"/>
      <c r="J3" s="4777"/>
      <c r="K3" s="4777"/>
      <c r="L3" s="4777"/>
      <c r="M3" s="4777"/>
      <c r="N3" s="4777"/>
      <c r="O3" s="4777"/>
      <c r="P3" s="4777"/>
      <c r="Q3" s="4777"/>
      <c r="R3" s="4777"/>
      <c r="S3" s="4777"/>
      <c r="T3" s="4777"/>
      <c r="U3" s="4777"/>
      <c r="V3" s="4777"/>
      <c r="W3" s="4777"/>
      <c r="X3" s="4777"/>
      <c r="Y3" s="4777"/>
      <c r="Z3" s="4777"/>
      <c r="AA3" s="4777"/>
      <c r="AB3" s="4777"/>
      <c r="AC3" s="4777"/>
      <c r="AD3" s="4777"/>
      <c r="AE3" s="4777"/>
      <c r="AF3" s="4777"/>
      <c r="AG3" s="4777"/>
      <c r="AH3" s="4777"/>
      <c r="AI3" s="4777"/>
      <c r="AJ3" s="4777"/>
      <c r="AK3" s="4777"/>
      <c r="AL3" s="4777"/>
      <c r="AM3" s="4777"/>
      <c r="AN3" s="4778"/>
    </row>
    <row r="4" spans="1:40" s="1644" customFormat="1" ht="14.25" customHeight="1" x14ac:dyDescent="0.3">
      <c r="A4" s="1645">
        <v>3</v>
      </c>
      <c r="B4" s="1645" t="s">
        <v>4</v>
      </c>
      <c r="C4" s="1645"/>
      <c r="D4" s="4776" t="s">
        <v>629</v>
      </c>
      <c r="E4" s="4777"/>
      <c r="F4" s="4777"/>
      <c r="G4" s="4777"/>
      <c r="H4" s="4777"/>
      <c r="I4" s="4777"/>
      <c r="J4" s="4777"/>
      <c r="K4" s="4777"/>
      <c r="L4" s="4777"/>
      <c r="M4" s="4777"/>
      <c r="N4" s="4777"/>
      <c r="O4" s="4777"/>
      <c r="P4" s="4777"/>
      <c r="Q4" s="4777"/>
      <c r="R4" s="4777"/>
      <c r="S4" s="4777"/>
      <c r="T4" s="4777"/>
      <c r="U4" s="4777"/>
      <c r="V4" s="4777"/>
      <c r="W4" s="4777"/>
      <c r="X4" s="4777"/>
      <c r="Y4" s="4777"/>
      <c r="Z4" s="4777"/>
      <c r="AA4" s="4777"/>
      <c r="AB4" s="4777"/>
      <c r="AC4" s="4777"/>
      <c r="AD4" s="4777"/>
      <c r="AE4" s="4777"/>
      <c r="AF4" s="4777"/>
      <c r="AG4" s="4777"/>
      <c r="AH4" s="4777"/>
      <c r="AI4" s="4777"/>
      <c r="AJ4" s="4777"/>
      <c r="AK4" s="4777"/>
      <c r="AL4" s="4777"/>
      <c r="AM4" s="4777"/>
      <c r="AN4" s="4778"/>
    </row>
    <row r="5" spans="1:40" s="1644" customFormat="1" ht="15" customHeight="1" x14ac:dyDescent="0.3">
      <c r="A5" s="1645"/>
      <c r="B5" s="1645"/>
      <c r="C5" s="1645"/>
      <c r="D5" s="4786"/>
      <c r="E5" s="4786"/>
      <c r="F5" s="4786"/>
      <c r="G5" s="4786"/>
      <c r="H5" s="4786"/>
      <c r="I5" s="4786"/>
      <c r="J5" s="4786"/>
      <c r="K5" s="4786"/>
      <c r="L5" s="4786"/>
      <c r="M5" s="4786"/>
      <c r="N5" s="4786"/>
      <c r="O5" s="4786"/>
      <c r="P5" s="4786"/>
      <c r="Q5" s="4786"/>
      <c r="R5" s="4786"/>
      <c r="S5" s="4786"/>
      <c r="T5" s="4786"/>
      <c r="U5" s="4786"/>
      <c r="V5" s="4786"/>
      <c r="W5" s="4786"/>
      <c r="X5" s="4786"/>
      <c r="Y5" s="4786"/>
      <c r="Z5" s="4786"/>
      <c r="AA5" s="4786"/>
      <c r="AB5" s="4786"/>
      <c r="AC5" s="4786"/>
      <c r="AD5" s="4786"/>
      <c r="AE5" s="4786"/>
      <c r="AF5" s="4786"/>
      <c r="AG5" s="4786"/>
      <c r="AH5" s="4786"/>
      <c r="AI5" s="4786"/>
      <c r="AJ5" s="4786"/>
      <c r="AK5" s="4786"/>
      <c r="AL5" s="4786"/>
      <c r="AM5" s="4786"/>
      <c r="AN5" s="4786"/>
    </row>
    <row r="6" spans="1:40" s="1016" customFormat="1" ht="13" x14ac:dyDescent="0.3">
      <c r="A6" s="1645">
        <v>4</v>
      </c>
      <c r="B6" s="1646" t="s">
        <v>6</v>
      </c>
      <c r="D6" s="1647" t="s">
        <v>7</v>
      </c>
      <c r="E6" s="1648" t="s">
        <v>630</v>
      </c>
      <c r="F6" s="1648"/>
      <c r="G6" s="1648"/>
      <c r="H6" s="1648"/>
      <c r="I6" s="1649"/>
      <c r="J6" s="1649"/>
      <c r="K6" s="1649"/>
      <c r="L6" s="1648"/>
      <c r="M6" s="1648"/>
      <c r="N6" s="1648"/>
      <c r="O6" s="1648"/>
      <c r="P6" s="1650"/>
      <c r="Q6" s="1650"/>
      <c r="R6" s="1650"/>
      <c r="S6" s="1650"/>
      <c r="T6" s="1650"/>
      <c r="U6" s="1650"/>
      <c r="V6" s="1650"/>
      <c r="W6" s="1650"/>
    </row>
    <row r="7" spans="1:40" s="1016" customFormat="1" ht="10.5" x14ac:dyDescent="0.25">
      <c r="A7" s="1651"/>
      <c r="D7" s="1652"/>
      <c r="E7" s="1653" t="s">
        <v>631</v>
      </c>
      <c r="F7" s="1653"/>
      <c r="G7" s="1653"/>
      <c r="H7" s="1653"/>
      <c r="I7" s="1653"/>
      <c r="J7" s="1653" t="s">
        <v>632</v>
      </c>
      <c r="K7" s="1653"/>
      <c r="L7" s="1653"/>
      <c r="M7" s="1653"/>
      <c r="N7" s="1653"/>
      <c r="O7" s="1653"/>
      <c r="P7" s="1653"/>
      <c r="Q7" s="1653" t="s">
        <v>633</v>
      </c>
      <c r="R7" s="1653"/>
      <c r="S7" s="1653" t="s">
        <v>634</v>
      </c>
      <c r="T7" s="1653"/>
      <c r="U7" s="1653"/>
      <c r="V7" s="1653"/>
      <c r="W7" s="1654"/>
      <c r="X7" s="1650"/>
      <c r="Y7" s="1655"/>
    </row>
    <row r="8" spans="1:40" s="1016" customFormat="1" ht="10.5" x14ac:dyDescent="0.25">
      <c r="A8" s="1651"/>
      <c r="D8" s="1656" t="s">
        <v>415</v>
      </c>
      <c r="E8" s="1657">
        <v>1194349</v>
      </c>
      <c r="F8" s="1657"/>
      <c r="G8" s="1657"/>
      <c r="H8" s="1657"/>
      <c r="I8" s="1657"/>
      <c r="J8" s="1657">
        <v>1082044</v>
      </c>
      <c r="K8" s="1657"/>
      <c r="L8" s="1657"/>
      <c r="M8" s="1657"/>
      <c r="N8" s="1657"/>
      <c r="O8" s="1657"/>
      <c r="P8" s="1657">
        <v>1000558</v>
      </c>
      <c r="Q8" s="1657"/>
      <c r="R8" s="1657"/>
      <c r="S8" s="1657"/>
      <c r="T8" s="1657"/>
      <c r="U8" s="1657"/>
      <c r="V8" s="1657"/>
      <c r="W8" s="1658"/>
      <c r="X8" s="1657"/>
      <c r="Y8" s="1650"/>
    </row>
    <row r="9" spans="1:40" s="1016" customFormat="1" ht="10.5" x14ac:dyDescent="0.25">
      <c r="A9" s="1651"/>
      <c r="D9" s="1656" t="s">
        <v>416</v>
      </c>
      <c r="E9" s="1657">
        <v>1463364</v>
      </c>
      <c r="F9" s="1657"/>
      <c r="G9" s="1657"/>
      <c r="H9" s="1657"/>
      <c r="I9" s="1657"/>
      <c r="J9" s="1657">
        <v>1173938</v>
      </c>
      <c r="K9" s="1657"/>
      <c r="L9" s="1657"/>
      <c r="M9" s="1657"/>
      <c r="N9" s="1657"/>
      <c r="O9" s="1657"/>
      <c r="P9" s="1657">
        <v>915661</v>
      </c>
      <c r="Q9" s="1657"/>
      <c r="R9" s="1657"/>
      <c r="S9" s="1657"/>
      <c r="T9" s="1657"/>
      <c r="U9" s="1657"/>
      <c r="V9" s="1657"/>
      <c r="W9" s="1658"/>
      <c r="X9" s="1657"/>
      <c r="Y9" s="1650"/>
    </row>
    <row r="10" spans="1:40" x14ac:dyDescent="0.25">
      <c r="D10" s="1661" t="s">
        <v>573</v>
      </c>
      <c r="E10" s="1662">
        <v>2657714</v>
      </c>
      <c r="F10" s="1662"/>
      <c r="G10" s="1662"/>
      <c r="H10" s="1662"/>
      <c r="I10" s="1662"/>
      <c r="J10" s="1662">
        <v>2255982</v>
      </c>
      <c r="K10" s="1662"/>
      <c r="L10" s="1662"/>
      <c r="M10" s="1662"/>
      <c r="N10" s="1662"/>
      <c r="O10" s="1662"/>
      <c r="P10" s="1662">
        <v>1916219</v>
      </c>
      <c r="Q10" s="1662"/>
      <c r="R10" s="1662"/>
      <c r="S10" s="1662">
        <f>+'[11]Demographic trends'!N41*3.4%</f>
        <v>1760199.074</v>
      </c>
      <c r="T10" s="1662"/>
      <c r="U10" s="1662"/>
      <c r="V10" s="1662"/>
      <c r="W10" s="1663"/>
      <c r="X10" s="1662"/>
      <c r="Y10" s="1664"/>
    </row>
    <row r="11" spans="1:40" x14ac:dyDescent="0.25">
      <c r="D11" s="1665" t="s">
        <v>635</v>
      </c>
      <c r="E11" s="1666">
        <v>6.5</v>
      </c>
      <c r="F11" s="1667"/>
      <c r="G11" s="1667"/>
      <c r="H11" s="1667"/>
      <c r="I11" s="1667"/>
      <c r="J11" s="1668">
        <v>5</v>
      </c>
      <c r="K11" s="1667"/>
      <c r="L11" s="1667"/>
      <c r="M11" s="1667"/>
      <c r="N11" s="1667"/>
      <c r="O11" s="1667"/>
      <c r="P11" s="1668">
        <v>4</v>
      </c>
      <c r="Q11" s="1667"/>
      <c r="R11" s="1667"/>
      <c r="S11" s="1666">
        <f>100-96.6</f>
        <v>3.4000000000000057</v>
      </c>
      <c r="T11" s="1666"/>
      <c r="U11" s="1666"/>
      <c r="V11" s="1666"/>
      <c r="W11" s="1669"/>
      <c r="X11" s="1670"/>
      <c r="Y11" s="1664"/>
    </row>
    <row r="12" spans="1:40" x14ac:dyDescent="0.25">
      <c r="D12" s="1671"/>
      <c r="E12" s="1657"/>
      <c r="F12" s="1657"/>
      <c r="G12" s="1657"/>
      <c r="H12" s="1657"/>
      <c r="I12" s="1657"/>
      <c r="J12" s="1657"/>
      <c r="K12" s="1657"/>
      <c r="L12" s="1657"/>
      <c r="M12" s="1657"/>
      <c r="N12" s="1657"/>
      <c r="O12" s="1657"/>
      <c r="P12" s="1657"/>
      <c r="Q12" s="1657"/>
      <c r="R12" s="1657"/>
      <c r="S12" s="1664"/>
      <c r="T12" s="1664"/>
      <c r="U12" s="1664"/>
      <c r="V12" s="1664"/>
      <c r="W12" s="1664"/>
    </row>
    <row r="13" spans="1:40" x14ac:dyDescent="0.25">
      <c r="D13" s="1672"/>
      <c r="E13" s="1657"/>
      <c r="F13" s="1657"/>
      <c r="G13" s="1657"/>
      <c r="H13" s="1657"/>
      <c r="I13" s="1657"/>
      <c r="J13" s="1657"/>
      <c r="K13" s="1657"/>
      <c r="L13" s="1657"/>
      <c r="M13" s="1657"/>
      <c r="N13" s="1657"/>
      <c r="O13" s="1657"/>
      <c r="P13" s="1657"/>
      <c r="Q13" s="1657"/>
      <c r="R13" s="1657"/>
      <c r="S13" s="1664"/>
      <c r="T13" s="1664"/>
      <c r="U13" s="1664"/>
      <c r="V13" s="1664"/>
      <c r="W13" s="1664"/>
    </row>
    <row r="14" spans="1:40" ht="13" x14ac:dyDescent="0.3">
      <c r="A14" s="1645"/>
      <c r="B14" s="1645"/>
      <c r="C14" s="1645"/>
      <c r="D14" s="1647" t="s">
        <v>35</v>
      </c>
      <c r="E14" s="1648" t="s">
        <v>636</v>
      </c>
      <c r="F14" s="1648"/>
      <c r="G14" s="1648"/>
      <c r="H14" s="1648"/>
      <c r="I14" s="1664"/>
      <c r="J14" s="1664"/>
      <c r="K14" s="1664"/>
      <c r="L14" s="1664"/>
      <c r="M14" s="1664"/>
      <c r="N14" s="1664"/>
      <c r="O14" s="1664"/>
      <c r="P14" s="1664"/>
      <c r="Q14" s="1664"/>
      <c r="R14" s="1664"/>
      <c r="S14" s="1664"/>
      <c r="T14" s="1664"/>
      <c r="U14" s="1664"/>
      <c r="V14" s="1664"/>
      <c r="W14" s="1664"/>
    </row>
    <row r="15" spans="1:40" x14ac:dyDescent="0.25">
      <c r="D15" s="1673"/>
      <c r="E15" s="1674" t="s">
        <v>637</v>
      </c>
      <c r="F15" s="1674" t="s">
        <v>638</v>
      </c>
      <c r="G15" s="1674" t="s">
        <v>639</v>
      </c>
      <c r="H15" s="1674" t="s">
        <v>107</v>
      </c>
      <c r="I15" s="1674" t="s">
        <v>108</v>
      </c>
      <c r="J15" s="1674" t="s">
        <v>109</v>
      </c>
      <c r="K15" s="1674" t="s">
        <v>110</v>
      </c>
      <c r="L15" s="1674" t="s">
        <v>111</v>
      </c>
      <c r="M15" s="1674" t="s">
        <v>112</v>
      </c>
      <c r="N15" s="1674" t="s">
        <v>113</v>
      </c>
      <c r="O15" s="1674" t="s">
        <v>114</v>
      </c>
      <c r="P15" s="1674" t="s">
        <v>640</v>
      </c>
      <c r="Q15" s="1674" t="s">
        <v>116</v>
      </c>
      <c r="R15" s="1674" t="s">
        <v>117</v>
      </c>
      <c r="S15" s="1674" t="s">
        <v>118</v>
      </c>
      <c r="T15" s="1675" t="s">
        <v>119</v>
      </c>
      <c r="U15" s="1675" t="s">
        <v>120</v>
      </c>
      <c r="V15" s="1675" t="s">
        <v>121</v>
      </c>
      <c r="W15" s="1675" t="s">
        <v>122</v>
      </c>
      <c r="X15" s="1676" t="s">
        <v>123</v>
      </c>
      <c r="Y15" s="1676" t="s">
        <v>124</v>
      </c>
      <c r="Z15" s="1676" t="s">
        <v>125</v>
      </c>
      <c r="AA15" s="1676" t="s">
        <v>126</v>
      </c>
      <c r="AB15" s="1676" t="s">
        <v>302</v>
      </c>
    </row>
    <row r="16" spans="1:40" x14ac:dyDescent="0.25">
      <c r="D16" s="1677" t="s">
        <v>641</v>
      </c>
      <c r="E16" s="1678">
        <v>3487</v>
      </c>
      <c r="F16" s="1678">
        <v>8172</v>
      </c>
      <c r="G16" s="1678">
        <v>16835</v>
      </c>
      <c r="H16" s="1678">
        <v>22789</v>
      </c>
      <c r="I16" s="1678">
        <v>33574</v>
      </c>
      <c r="J16" s="1678">
        <v>34978</v>
      </c>
      <c r="K16" s="1678">
        <v>42355</v>
      </c>
      <c r="L16" s="1678">
        <v>76494</v>
      </c>
      <c r="M16" s="1678">
        <v>86917</v>
      </c>
      <c r="N16" s="1678">
        <v>90112</v>
      </c>
      <c r="O16" s="1678">
        <v>98631</v>
      </c>
      <c r="P16" s="1678">
        <v>102292</v>
      </c>
      <c r="Q16" s="1678">
        <v>107065</v>
      </c>
      <c r="R16" s="1678">
        <v>110731</v>
      </c>
      <c r="S16" s="1678">
        <v>112185</v>
      </c>
      <c r="T16" s="1678">
        <v>114993</v>
      </c>
      <c r="U16" s="1678">
        <v>120268</v>
      </c>
      <c r="V16" s="1678">
        <v>120632</v>
      </c>
      <c r="W16" s="1679">
        <v>126777</v>
      </c>
      <c r="X16" s="1680">
        <v>131040</v>
      </c>
      <c r="Y16" s="1680">
        <v>144952</v>
      </c>
      <c r="Z16" s="1680">
        <v>147467</v>
      </c>
      <c r="AA16" s="1681">
        <v>146709</v>
      </c>
      <c r="AB16" s="1681">
        <v>154735</v>
      </c>
    </row>
    <row r="17" spans="1:28" x14ac:dyDescent="0.25">
      <c r="D17" s="1682" t="s">
        <v>642</v>
      </c>
      <c r="E17" s="1683">
        <v>711629</v>
      </c>
      <c r="F17" s="1683">
        <v>660528</v>
      </c>
      <c r="G17" s="1683">
        <v>633778</v>
      </c>
      <c r="H17" s="1683">
        <v>607537</v>
      </c>
      <c r="I17" s="1683">
        <v>655822</v>
      </c>
      <c r="J17" s="1683">
        <v>694232</v>
      </c>
      <c r="K17" s="1683">
        <v>840424</v>
      </c>
      <c r="L17" s="1683">
        <v>1228231</v>
      </c>
      <c r="M17" s="1683">
        <v>1293280</v>
      </c>
      <c r="N17" s="1683">
        <v>1315143</v>
      </c>
      <c r="O17" s="1683">
        <v>1422808</v>
      </c>
      <c r="P17" s="1683">
        <v>1408456</v>
      </c>
      <c r="Q17" s="1683">
        <v>1286883</v>
      </c>
      <c r="R17" s="1683">
        <v>1264477</v>
      </c>
      <c r="S17" s="1683">
        <v>1200898</v>
      </c>
      <c r="T17" s="1684">
        <v>1198131</v>
      </c>
      <c r="U17" s="1683">
        <v>1164192</v>
      </c>
      <c r="V17" s="1684">
        <v>1120419</v>
      </c>
      <c r="W17" s="1685">
        <v>1112663</v>
      </c>
      <c r="X17" s="1686">
        <v>1085541</v>
      </c>
      <c r="Y17" s="1687">
        <v>1067176</v>
      </c>
      <c r="Z17" s="1687">
        <v>1061866</v>
      </c>
      <c r="AA17" s="1688">
        <v>1048255</v>
      </c>
      <c r="AB17" s="1688">
        <v>1042025</v>
      </c>
    </row>
    <row r="18" spans="1:28" x14ac:dyDescent="0.25">
      <c r="D18" s="1689" t="s">
        <v>643</v>
      </c>
      <c r="E18" s="1683">
        <v>715116</v>
      </c>
      <c r="F18" s="1683">
        <v>668700</v>
      </c>
      <c r="G18" s="1683">
        <v>650613</v>
      </c>
      <c r="H18" s="1683">
        <v>630326</v>
      </c>
      <c r="I18" s="1683">
        <v>689396</v>
      </c>
      <c r="J18" s="1683">
        <v>729210</v>
      </c>
      <c r="K18" s="1683">
        <v>882779</v>
      </c>
      <c r="L18" s="1683">
        <v>1304725</v>
      </c>
      <c r="M18" s="1683">
        <v>1380197</v>
      </c>
      <c r="N18" s="1683">
        <v>1405255</v>
      </c>
      <c r="O18" s="1683">
        <v>1521439</v>
      </c>
      <c r="P18" s="1683">
        <v>1510748</v>
      </c>
      <c r="Q18" s="1683">
        <v>1393948</v>
      </c>
      <c r="R18" s="1683">
        <v>1375208</v>
      </c>
      <c r="S18" s="1683">
        <v>1313083</v>
      </c>
      <c r="T18" s="1684">
        <v>1313124</v>
      </c>
      <c r="U18" s="1683">
        <v>1284460</v>
      </c>
      <c r="V18" s="1684">
        <v>1241051</v>
      </c>
      <c r="W18" s="1690">
        <v>1239440</v>
      </c>
      <c r="X18" s="1691">
        <v>1216581</v>
      </c>
      <c r="Y18" s="1692">
        <f>SUM(Y16:Y17)</f>
        <v>1212128</v>
      </c>
      <c r="Z18" s="1692">
        <f>SUM(Z16:Z17)</f>
        <v>1209333</v>
      </c>
      <c r="AA18" s="1693">
        <f>SUM(AA16:AA17)</f>
        <v>1194964</v>
      </c>
      <c r="AB18" s="1693">
        <f>SUM(AB16:AB17)</f>
        <v>1196760</v>
      </c>
    </row>
    <row r="19" spans="1:28" ht="20.5" x14ac:dyDescent="0.25">
      <c r="D19" s="1694" t="s">
        <v>644</v>
      </c>
      <c r="E19" s="1695">
        <f t="shared" ref="E19:W19" si="0">E18/E20</f>
        <v>0.29688360148160325</v>
      </c>
      <c r="F19" s="1695">
        <f t="shared" si="0"/>
        <v>0.2762686585663115</v>
      </c>
      <c r="G19" s="1695">
        <f t="shared" si="0"/>
        <v>0.25604624639610107</v>
      </c>
      <c r="H19" s="1695">
        <f t="shared" si="0"/>
        <v>0.23456879712440862</v>
      </c>
      <c r="I19" s="1695">
        <f t="shared" si="0"/>
        <v>0.18266994312132651</v>
      </c>
      <c r="J19" s="1695">
        <f t="shared" si="0"/>
        <v>0.18308974011003815</v>
      </c>
      <c r="K19" s="1695">
        <f t="shared" si="0"/>
        <v>0.17967221456157043</v>
      </c>
      <c r="L19" s="1695">
        <f t="shared" si="0"/>
        <v>0.20145255518068389</v>
      </c>
      <c r="M19" s="1695">
        <f t="shared" si="0"/>
        <v>0.17539355937488998</v>
      </c>
      <c r="N19" s="1695">
        <f t="shared" si="0"/>
        <v>0.12836759928368349</v>
      </c>
      <c r="O19" s="1695">
        <f t="shared" si="0"/>
        <v>0.12696495851964021</v>
      </c>
      <c r="P19" s="1695">
        <f t="shared" si="0"/>
        <v>0.12196832718734328</v>
      </c>
      <c r="Q19" s="1695">
        <f t="shared" si="0"/>
        <v>0.10701188935694049</v>
      </c>
      <c r="R19" s="1695">
        <f t="shared" si="0"/>
        <v>9.8200187830331173E-2</v>
      </c>
      <c r="S19" s="1695">
        <f t="shared" si="0"/>
        <v>8.8260134368736948E-2</v>
      </c>
      <c r="T19" s="1695">
        <f t="shared" si="0"/>
        <v>8.455831500014295E-2</v>
      </c>
      <c r="U19" s="1695">
        <f t="shared" si="0"/>
        <v>8.0116559033521578E-2</v>
      </c>
      <c r="V19" s="1695">
        <f t="shared" si="0"/>
        <v>7.8302642608742506E-2</v>
      </c>
      <c r="W19" s="1695">
        <f t="shared" si="0"/>
        <v>7.4983260288419118E-2</v>
      </c>
      <c r="X19" s="1695">
        <f>X18/X20</f>
        <v>7.2184253927357042E-2</v>
      </c>
      <c r="Y19" s="1695">
        <f>Y18/Y20</f>
        <v>7.0470407153270034E-2</v>
      </c>
      <c r="Z19" s="1695">
        <f>Z18/Z20</f>
        <v>6.9065296706252624E-2</v>
      </c>
      <c r="AA19" s="1695">
        <f>AA18/AA20</f>
        <v>6.7088541858195253E-2</v>
      </c>
      <c r="AB19" s="1696">
        <f>AB18/AB20*100</f>
        <v>6.5430358951749614</v>
      </c>
    </row>
    <row r="20" spans="1:28" x14ac:dyDescent="0.25">
      <c r="D20" s="1697" t="s">
        <v>645</v>
      </c>
      <c r="E20" s="1698">
        <v>2408742</v>
      </c>
      <c r="F20" s="1698">
        <v>2420470</v>
      </c>
      <c r="G20" s="1698">
        <v>2540998</v>
      </c>
      <c r="H20" s="1698">
        <v>2687169</v>
      </c>
      <c r="I20" s="1698">
        <v>3773998</v>
      </c>
      <c r="J20" s="1698">
        <v>3982801</v>
      </c>
      <c r="K20" s="1698">
        <v>4913275</v>
      </c>
      <c r="L20" s="1698">
        <v>6476587</v>
      </c>
      <c r="M20" s="1698">
        <v>7869143</v>
      </c>
      <c r="N20" s="1698">
        <v>10947116</v>
      </c>
      <c r="O20" s="1698">
        <v>11983141</v>
      </c>
      <c r="P20" s="1698">
        <v>12386396</v>
      </c>
      <c r="Q20" s="1698">
        <v>13026104</v>
      </c>
      <c r="R20" s="1698">
        <v>14004128</v>
      </c>
      <c r="S20" s="1698">
        <v>14877419</v>
      </c>
      <c r="T20" s="1698">
        <v>15529212</v>
      </c>
      <c r="U20" s="1698">
        <v>16032391</v>
      </c>
      <c r="V20" s="1698">
        <v>15849414</v>
      </c>
      <c r="W20" s="1698">
        <v>16529556</v>
      </c>
      <c r="X20" s="1699">
        <v>16853828</v>
      </c>
      <c r="Y20" s="1699">
        <v>17200525</v>
      </c>
      <c r="Z20" s="1699">
        <v>17509995</v>
      </c>
      <c r="AA20" s="1699">
        <v>17811745</v>
      </c>
      <c r="AB20" s="1699">
        <v>18290592</v>
      </c>
    </row>
    <row r="21" spans="1:28" x14ac:dyDescent="0.25">
      <c r="D21" s="1700"/>
      <c r="E21" s="1701"/>
      <c r="F21" s="1701"/>
      <c r="G21" s="1701"/>
      <c r="H21" s="1701"/>
      <c r="I21" s="1701"/>
      <c r="J21" s="1701"/>
      <c r="K21" s="1701"/>
      <c r="L21" s="1701"/>
      <c r="M21" s="1701"/>
      <c r="N21" s="1701"/>
      <c r="O21" s="1701"/>
      <c r="P21" s="1701"/>
      <c r="Q21" s="1701"/>
      <c r="R21" s="1701"/>
      <c r="S21" s="1701"/>
      <c r="T21" s="1701"/>
      <c r="U21" s="1701"/>
      <c r="V21" s="1701"/>
      <c r="W21" s="1701"/>
    </row>
    <row r="22" spans="1:28" x14ac:dyDescent="0.25">
      <c r="D22" s="1702"/>
      <c r="E22" s="1657"/>
      <c r="F22" s="1657"/>
      <c r="G22" s="1657"/>
      <c r="H22" s="1657"/>
      <c r="I22" s="1657"/>
      <c r="J22" s="1657"/>
      <c r="K22" s="1657"/>
      <c r="L22" s="1657"/>
      <c r="M22" s="1657"/>
      <c r="N22" s="1657"/>
      <c r="O22" s="1657"/>
      <c r="P22" s="1657"/>
      <c r="Q22" s="1657"/>
      <c r="R22" s="1657"/>
      <c r="S22" s="1657"/>
      <c r="T22" s="1657"/>
      <c r="U22" s="1657"/>
      <c r="V22" s="1657"/>
    </row>
    <row r="23" spans="1:28" ht="12.75" customHeight="1" x14ac:dyDescent="0.35">
      <c r="D23" s="1703" t="s">
        <v>234</v>
      </c>
      <c r="E23" s="1704" t="s">
        <v>646</v>
      </c>
      <c r="F23" s="1704"/>
      <c r="G23" s="1704"/>
      <c r="H23" s="1704"/>
      <c r="I23" s="1705"/>
      <c r="J23" s="1705"/>
      <c r="K23" s="1705"/>
      <c r="L23" s="1706"/>
      <c r="M23" s="1706"/>
      <c r="N23" s="1706"/>
      <c r="O23" s="1706"/>
      <c r="P23" s="1707"/>
      <c r="Q23" s="1706"/>
      <c r="R23" s="1706"/>
      <c r="S23" s="1706"/>
      <c r="T23" s="1706"/>
      <c r="U23" s="1706"/>
      <c r="V23" s="1706"/>
      <c r="W23" s="137">
        <v>155</v>
      </c>
      <c r="X23" s="1708">
        <v>290</v>
      </c>
    </row>
    <row r="24" spans="1:28" x14ac:dyDescent="0.25">
      <c r="D24" s="1652" t="s">
        <v>647</v>
      </c>
      <c r="E24" s="1653"/>
      <c r="F24" s="1653"/>
      <c r="G24" s="1653"/>
      <c r="H24" s="1653"/>
      <c r="I24" s="1653"/>
      <c r="J24" s="1653"/>
      <c r="K24" s="1674">
        <v>2002</v>
      </c>
      <c r="L24" s="1674">
        <v>2003</v>
      </c>
      <c r="M24" s="1674">
        <v>2004</v>
      </c>
      <c r="N24" s="1674">
        <v>2005</v>
      </c>
      <c r="O24" s="1674">
        <v>2006</v>
      </c>
      <c r="P24" s="1674">
        <v>2007</v>
      </c>
      <c r="Q24" s="1674">
        <v>2008</v>
      </c>
      <c r="R24" s="1674">
        <v>2009</v>
      </c>
      <c r="S24" s="1674">
        <v>2010</v>
      </c>
      <c r="T24" s="1674">
        <v>2011</v>
      </c>
      <c r="U24" s="1674">
        <v>2012</v>
      </c>
      <c r="V24" s="1674">
        <v>2013</v>
      </c>
      <c r="W24" s="1674">
        <v>2014</v>
      </c>
      <c r="X24" s="1709">
        <v>2015</v>
      </c>
      <c r="Y24" s="1709">
        <v>2016</v>
      </c>
      <c r="Z24" s="1709">
        <v>2017</v>
      </c>
      <c r="AA24" s="1709">
        <v>2018</v>
      </c>
      <c r="AB24" s="1709">
        <v>2019</v>
      </c>
    </row>
    <row r="25" spans="1:28" x14ac:dyDescent="0.25">
      <c r="D25" s="1710" t="s">
        <v>648</v>
      </c>
      <c r="E25" s="1711"/>
      <c r="F25" s="1711"/>
      <c r="G25" s="1711"/>
      <c r="H25" s="1711"/>
      <c r="I25" s="1712"/>
      <c r="J25" s="1712"/>
      <c r="K25" s="1713">
        <v>562</v>
      </c>
      <c r="L25" s="1713">
        <v>519</v>
      </c>
      <c r="M25" s="1713">
        <v>777</v>
      </c>
      <c r="N25" s="1713">
        <v>754</v>
      </c>
      <c r="O25" s="1713">
        <v>692</v>
      </c>
      <c r="P25" s="1713">
        <v>727</v>
      </c>
      <c r="Q25" s="1713">
        <v>804</v>
      </c>
      <c r="R25" s="1713">
        <v>872</v>
      </c>
      <c r="S25" s="1713">
        <v>792</v>
      </c>
      <c r="T25" s="1713">
        <v>890</v>
      </c>
      <c r="U25" s="1714">
        <v>1053</v>
      </c>
      <c r="V25" s="1714">
        <v>1086</v>
      </c>
      <c r="W25" s="1714">
        <v>1320</v>
      </c>
      <c r="X25" s="1715">
        <v>1691</v>
      </c>
      <c r="Y25" s="1715">
        <v>1944</v>
      </c>
      <c r="Z25" s="1715">
        <v>1188</v>
      </c>
      <c r="AA25" s="1715">
        <v>3591</v>
      </c>
      <c r="AB25" s="1715"/>
    </row>
    <row r="26" spans="1:28" ht="12" hidden="1" customHeight="1" x14ac:dyDescent="0.25">
      <c r="D26" s="4787" t="s">
        <v>649</v>
      </c>
      <c r="E26" s="4788"/>
      <c r="F26" s="4788"/>
      <c r="G26" s="4788"/>
      <c r="H26" s="4788"/>
      <c r="I26" s="1716"/>
      <c r="J26" s="1716"/>
      <c r="K26" s="1717">
        <v>310</v>
      </c>
      <c r="L26" s="1717">
        <v>347</v>
      </c>
      <c r="M26" s="1717">
        <v>463</v>
      </c>
      <c r="N26" s="1717">
        <v>445</v>
      </c>
      <c r="O26" s="1717">
        <v>462</v>
      </c>
      <c r="P26" s="1717">
        <v>430</v>
      </c>
      <c r="Q26" s="1717"/>
      <c r="R26" s="1717"/>
      <c r="S26" s="1717"/>
      <c r="T26" s="1717"/>
      <c r="U26" s="1717"/>
      <c r="V26" s="1717"/>
      <c r="W26" s="1717"/>
      <c r="X26" s="1718"/>
      <c r="Y26" s="1718"/>
      <c r="Z26" s="1718"/>
      <c r="AA26" s="1718"/>
      <c r="AB26" s="1718"/>
    </row>
    <row r="27" spans="1:28" ht="12" hidden="1" customHeight="1" x14ac:dyDescent="0.25">
      <c r="D27" s="4784" t="s">
        <v>650</v>
      </c>
      <c r="E27" s="4785"/>
      <c r="F27" s="4785"/>
      <c r="G27" s="4785"/>
      <c r="H27" s="4785"/>
      <c r="I27" s="1719"/>
      <c r="J27" s="1719"/>
      <c r="K27" s="1720">
        <v>35</v>
      </c>
      <c r="L27" s="1720">
        <v>30</v>
      </c>
      <c r="M27" s="1720">
        <v>42</v>
      </c>
      <c r="N27" s="1720">
        <v>36</v>
      </c>
      <c r="O27" s="1720">
        <v>21</v>
      </c>
      <c r="P27" s="1720">
        <v>28</v>
      </c>
      <c r="Q27" s="1720"/>
      <c r="R27" s="1720"/>
      <c r="S27" s="1720"/>
      <c r="T27" s="1720"/>
      <c r="U27" s="1720"/>
      <c r="V27" s="1720"/>
      <c r="W27" s="1720"/>
      <c r="X27" s="1721"/>
      <c r="Y27" s="1721"/>
      <c r="Z27" s="1721"/>
      <c r="AA27" s="1721"/>
      <c r="AB27" s="1721"/>
    </row>
    <row r="28" spans="1:28" ht="12" hidden="1" customHeight="1" x14ac:dyDescent="0.25">
      <c r="D28" s="4782" t="s">
        <v>651</v>
      </c>
      <c r="E28" s="4783"/>
      <c r="F28" s="4783"/>
      <c r="G28" s="4783"/>
      <c r="H28" s="4783"/>
      <c r="I28" s="1722"/>
      <c r="J28" s="1722"/>
      <c r="K28" s="1723">
        <v>38</v>
      </c>
      <c r="L28" s="1723">
        <v>39</v>
      </c>
      <c r="M28" s="1723">
        <v>58</v>
      </c>
      <c r="N28" s="1723">
        <v>47</v>
      </c>
      <c r="O28" s="1723">
        <v>45</v>
      </c>
      <c r="P28" s="1723">
        <v>34</v>
      </c>
      <c r="Q28" s="1723"/>
      <c r="R28" s="1723"/>
      <c r="S28" s="1723"/>
      <c r="T28" s="1723"/>
      <c r="U28" s="1723"/>
      <c r="V28" s="1723"/>
      <c r="W28" s="1723"/>
      <c r="X28" s="1724"/>
      <c r="Y28" s="1724"/>
      <c r="Z28" s="1724"/>
      <c r="AA28" s="1724"/>
      <c r="AB28" s="1724"/>
    </row>
    <row r="29" spans="1:28" x14ac:dyDescent="0.25">
      <c r="D29" s="1725" t="s">
        <v>652</v>
      </c>
      <c r="E29" s="1726"/>
      <c r="F29" s="1726"/>
      <c r="G29" s="1726"/>
      <c r="H29" s="1726"/>
      <c r="I29" s="1726"/>
      <c r="J29" s="1726"/>
      <c r="K29" s="1727">
        <v>383</v>
      </c>
      <c r="L29" s="1727">
        <v>416</v>
      </c>
      <c r="M29" s="1727">
        <v>563</v>
      </c>
      <c r="N29" s="1727">
        <v>528</v>
      </c>
      <c r="O29" s="1727">
        <v>528</v>
      </c>
      <c r="P29" s="1727">
        <v>492</v>
      </c>
      <c r="Q29" s="1727">
        <v>636</v>
      </c>
      <c r="R29" s="1727">
        <v>697</v>
      </c>
      <c r="S29" s="1727">
        <v>633</v>
      </c>
      <c r="T29" s="1727">
        <v>745</v>
      </c>
      <c r="U29" s="1727">
        <v>929</v>
      </c>
      <c r="V29" s="1727">
        <v>960</v>
      </c>
      <c r="W29" s="1727">
        <f>W25-W23</f>
        <v>1165</v>
      </c>
      <c r="X29" s="1728">
        <f>X25-X23</f>
        <v>1401</v>
      </c>
      <c r="Y29" s="1729">
        <v>1516</v>
      </c>
      <c r="Z29" s="1729">
        <v>1060</v>
      </c>
      <c r="AA29" s="1729">
        <v>3051</v>
      </c>
      <c r="AB29" s="1729"/>
    </row>
    <row r="30" spans="1:28" s="1664" customFormat="1" x14ac:dyDescent="0.25">
      <c r="A30" s="1659"/>
      <c r="B30" s="1660"/>
      <c r="C30" s="1660"/>
      <c r="D30" s="1671" t="s">
        <v>653</v>
      </c>
      <c r="E30" s="1730"/>
      <c r="F30" s="1730"/>
      <c r="G30" s="1730"/>
      <c r="H30" s="1730"/>
      <c r="I30" s="1730"/>
      <c r="J30" s="1730"/>
      <c r="K30" s="1731">
        <f t="shared" ref="K30:X30" si="1">+K29/K25</f>
        <v>0.68149466192170816</v>
      </c>
      <c r="L30" s="1731">
        <f t="shared" si="1"/>
        <v>0.80154142581888244</v>
      </c>
      <c r="M30" s="1731">
        <f t="shared" si="1"/>
        <v>0.72458172458172454</v>
      </c>
      <c r="N30" s="1731">
        <f t="shared" si="1"/>
        <v>0.70026525198938994</v>
      </c>
      <c r="O30" s="1731">
        <f t="shared" si="1"/>
        <v>0.76300578034682076</v>
      </c>
      <c r="P30" s="1731">
        <f t="shared" si="1"/>
        <v>0.67675378266850073</v>
      </c>
      <c r="Q30" s="1731">
        <f t="shared" si="1"/>
        <v>0.79104477611940294</v>
      </c>
      <c r="R30" s="1731">
        <f t="shared" si="1"/>
        <v>0.79931192660550454</v>
      </c>
      <c r="S30" s="1731">
        <f t="shared" si="1"/>
        <v>0.7992424242424242</v>
      </c>
      <c r="T30" s="1731">
        <f t="shared" si="1"/>
        <v>0.8370786516853933</v>
      </c>
      <c r="U30" s="1731">
        <f t="shared" si="1"/>
        <v>0.88224121557454893</v>
      </c>
      <c r="V30" s="1731">
        <f t="shared" si="1"/>
        <v>0.88397790055248615</v>
      </c>
      <c r="W30" s="1731">
        <f t="shared" si="1"/>
        <v>0.88257575757575757</v>
      </c>
      <c r="X30" s="1732">
        <f t="shared" si="1"/>
        <v>0.82850384387936138</v>
      </c>
      <c r="Y30" s="1732">
        <f>Y29/Y25</f>
        <v>0.77983539094650201</v>
      </c>
      <c r="Z30" s="1732">
        <f t="shared" ref="Z30:AA30" si="2">Z29/Z25</f>
        <v>0.8922558922558923</v>
      </c>
      <c r="AA30" s="1732">
        <f t="shared" si="2"/>
        <v>0.84962406015037595</v>
      </c>
      <c r="AB30" s="1732"/>
    </row>
    <row r="31" spans="1:28" s="1664" customFormat="1" x14ac:dyDescent="0.25">
      <c r="A31" s="1659"/>
      <c r="B31" s="1660"/>
      <c r="C31" s="1660"/>
      <c r="D31" s="1671"/>
      <c r="E31" s="1730"/>
      <c r="F31" s="1730"/>
      <c r="G31" s="1730"/>
      <c r="H31" s="1730"/>
      <c r="I31" s="1730"/>
      <c r="J31" s="1730"/>
      <c r="K31" s="1730"/>
      <c r="L31" s="1730"/>
      <c r="M31" s="1730"/>
      <c r="N31" s="1730"/>
      <c r="O31" s="1730"/>
      <c r="P31" s="1730"/>
      <c r="Q31" s="1730"/>
      <c r="R31" s="1730"/>
      <c r="S31" s="1730"/>
      <c r="T31" s="1730"/>
      <c r="U31" s="1730"/>
      <c r="V31" s="1730"/>
      <c r="W31" s="1730"/>
    </row>
    <row r="32" spans="1:28" s="1664" customFormat="1" x14ac:dyDescent="0.25">
      <c r="A32" s="1659"/>
      <c r="B32" s="1660"/>
      <c r="C32" s="1660"/>
      <c r="D32" s="1671"/>
      <c r="E32" s="1730"/>
      <c r="F32" s="1730"/>
      <c r="G32" s="1730"/>
      <c r="H32" s="1730"/>
      <c r="I32" s="1730"/>
      <c r="J32" s="1730"/>
      <c r="K32" s="1730"/>
      <c r="L32" s="1730"/>
      <c r="M32" s="1730"/>
      <c r="N32" s="1730"/>
      <c r="O32" s="1730"/>
      <c r="P32" s="1730"/>
      <c r="Q32" s="1730"/>
      <c r="R32" s="1730"/>
      <c r="S32" s="1730"/>
      <c r="T32" s="1730"/>
      <c r="U32" s="1730"/>
      <c r="V32" s="1730"/>
      <c r="W32" s="1730"/>
    </row>
    <row r="33" spans="1:49" s="1664" customFormat="1" x14ac:dyDescent="0.25">
      <c r="A33" s="1659"/>
      <c r="B33" s="1660"/>
      <c r="C33" s="1660"/>
      <c r="D33" s="1671"/>
      <c r="E33" s="1730"/>
      <c r="F33" s="1730"/>
      <c r="G33" s="1730"/>
      <c r="H33" s="1730"/>
      <c r="I33" s="1730"/>
      <c r="J33" s="1730"/>
      <c r="K33" s="1730"/>
      <c r="L33" s="1730"/>
      <c r="M33" s="1730"/>
      <c r="N33" s="1730"/>
      <c r="O33" s="1730"/>
      <c r="P33" s="1730"/>
      <c r="Q33" s="1730"/>
      <c r="R33" s="1730"/>
      <c r="S33" s="1730"/>
      <c r="T33" s="1730"/>
      <c r="U33" s="1730"/>
      <c r="V33" s="1730"/>
      <c r="W33" s="1730"/>
    </row>
    <row r="34" spans="1:49" x14ac:dyDescent="0.25">
      <c r="D34" s="1647" t="s">
        <v>252</v>
      </c>
      <c r="E34" s="1733" t="s">
        <v>654</v>
      </c>
      <c r="F34" s="1734"/>
      <c r="G34" s="1734"/>
      <c r="H34" s="1730"/>
      <c r="I34" s="1730"/>
      <c r="J34" s="1730"/>
      <c r="K34" s="1730"/>
      <c r="L34" s="1730"/>
      <c r="M34" s="1730"/>
      <c r="N34" s="1730"/>
      <c r="O34" s="1730"/>
      <c r="P34" s="1735"/>
      <c r="Q34" s="1730"/>
    </row>
    <row r="35" spans="1:49" x14ac:dyDescent="0.25">
      <c r="D35" s="1736"/>
      <c r="E35" s="4774">
        <v>2005</v>
      </c>
      <c r="F35" s="4774"/>
      <c r="G35" s="4775"/>
      <c r="H35" s="4774">
        <v>2006</v>
      </c>
      <c r="I35" s="4774"/>
      <c r="J35" s="4775"/>
      <c r="K35" s="4774">
        <v>2007</v>
      </c>
      <c r="L35" s="4774"/>
      <c r="M35" s="4775"/>
      <c r="N35" s="4774">
        <v>2008</v>
      </c>
      <c r="O35" s="4774"/>
      <c r="P35" s="4775"/>
      <c r="Q35" s="4774">
        <v>2009</v>
      </c>
      <c r="R35" s="4774"/>
      <c r="S35" s="4775"/>
      <c r="T35" s="4774">
        <v>2010</v>
      </c>
      <c r="U35" s="4774"/>
      <c r="V35" s="4775"/>
      <c r="W35" s="4774">
        <v>2011</v>
      </c>
      <c r="X35" s="4774"/>
      <c r="Y35" s="4775"/>
      <c r="Z35" s="4774">
        <v>2012</v>
      </c>
      <c r="AA35" s="4774"/>
      <c r="AB35" s="4775"/>
      <c r="AC35" s="4773">
        <v>2013</v>
      </c>
      <c r="AD35" s="4774"/>
      <c r="AE35" s="4775"/>
      <c r="AF35" s="4773">
        <v>2014</v>
      </c>
      <c r="AG35" s="4774"/>
      <c r="AH35" s="4775"/>
      <c r="AI35" s="4773">
        <v>2015</v>
      </c>
      <c r="AJ35" s="4774"/>
      <c r="AK35" s="4775"/>
      <c r="AL35" s="4773">
        <v>2016</v>
      </c>
      <c r="AM35" s="4774"/>
      <c r="AN35" s="4775"/>
      <c r="AO35" s="4773">
        <v>2017</v>
      </c>
      <c r="AP35" s="4774"/>
      <c r="AQ35" s="4775"/>
      <c r="AR35" s="4773">
        <v>2018</v>
      </c>
      <c r="AS35" s="4774"/>
      <c r="AT35" s="4775"/>
      <c r="AU35" s="4773">
        <v>2019</v>
      </c>
      <c r="AV35" s="4774"/>
      <c r="AW35" s="4775"/>
    </row>
    <row r="36" spans="1:49" x14ac:dyDescent="0.25">
      <c r="D36" s="1737"/>
      <c r="E36" s="1738" t="s">
        <v>415</v>
      </c>
      <c r="F36" s="1738" t="s">
        <v>416</v>
      </c>
      <c r="G36" s="1739" t="s">
        <v>232</v>
      </c>
      <c r="H36" s="1738" t="s">
        <v>415</v>
      </c>
      <c r="I36" s="1738" t="s">
        <v>416</v>
      </c>
      <c r="J36" s="1739" t="s">
        <v>232</v>
      </c>
      <c r="K36" s="1738" t="s">
        <v>415</v>
      </c>
      <c r="L36" s="1738" t="s">
        <v>416</v>
      </c>
      <c r="M36" s="1739" t="s">
        <v>232</v>
      </c>
      <c r="N36" s="1738" t="s">
        <v>415</v>
      </c>
      <c r="O36" s="1738" t="s">
        <v>416</v>
      </c>
      <c r="P36" s="1739" t="s">
        <v>232</v>
      </c>
      <c r="Q36" s="1738" t="s">
        <v>415</v>
      </c>
      <c r="R36" s="1738" t="s">
        <v>416</v>
      </c>
      <c r="S36" s="1739" t="s">
        <v>232</v>
      </c>
      <c r="T36" s="1738" t="s">
        <v>415</v>
      </c>
      <c r="U36" s="1738" t="s">
        <v>416</v>
      </c>
      <c r="V36" s="1739" t="s">
        <v>232</v>
      </c>
      <c r="W36" s="1738" t="s">
        <v>415</v>
      </c>
      <c r="X36" s="1738" t="s">
        <v>416</v>
      </c>
      <c r="Y36" s="1739" t="s">
        <v>232</v>
      </c>
      <c r="Z36" s="1738" t="s">
        <v>415</v>
      </c>
      <c r="AA36" s="1738" t="s">
        <v>416</v>
      </c>
      <c r="AB36" s="1739" t="s">
        <v>232</v>
      </c>
      <c r="AC36" s="1740" t="s">
        <v>415</v>
      </c>
      <c r="AD36" s="1738" t="s">
        <v>416</v>
      </c>
      <c r="AE36" s="1739" t="s">
        <v>232</v>
      </c>
      <c r="AF36" s="1740" t="s">
        <v>415</v>
      </c>
      <c r="AG36" s="1738" t="s">
        <v>416</v>
      </c>
      <c r="AH36" s="1739" t="s">
        <v>232</v>
      </c>
      <c r="AI36" s="1740" t="s">
        <v>415</v>
      </c>
      <c r="AJ36" s="1738" t="s">
        <v>416</v>
      </c>
      <c r="AK36" s="1739" t="s">
        <v>232</v>
      </c>
      <c r="AL36" s="1740" t="s">
        <v>415</v>
      </c>
      <c r="AM36" s="1738" t="s">
        <v>416</v>
      </c>
      <c r="AN36" s="1739" t="s">
        <v>232</v>
      </c>
      <c r="AO36" s="1740" t="s">
        <v>415</v>
      </c>
      <c r="AP36" s="1738" t="s">
        <v>416</v>
      </c>
      <c r="AQ36" s="1739" t="s">
        <v>232</v>
      </c>
      <c r="AR36" s="1740" t="s">
        <v>415</v>
      </c>
      <c r="AS36" s="1738" t="s">
        <v>416</v>
      </c>
      <c r="AT36" s="1739" t="s">
        <v>232</v>
      </c>
      <c r="AU36" s="1740" t="s">
        <v>415</v>
      </c>
      <c r="AV36" s="1738" t="s">
        <v>416</v>
      </c>
      <c r="AW36" s="1739" t="s">
        <v>232</v>
      </c>
    </row>
    <row r="37" spans="1:49" x14ac:dyDescent="0.25">
      <c r="D37" s="1741" t="s">
        <v>655</v>
      </c>
      <c r="E37" s="1742">
        <v>225</v>
      </c>
      <c r="F37" s="1742">
        <v>98</v>
      </c>
      <c r="G37" s="1743">
        <v>323</v>
      </c>
      <c r="H37" s="1742">
        <v>143</v>
      </c>
      <c r="I37" s="1742">
        <v>34</v>
      </c>
      <c r="J37" s="1743">
        <v>177</v>
      </c>
      <c r="K37" s="1742">
        <v>62</v>
      </c>
      <c r="L37" s="1742">
        <v>12</v>
      </c>
      <c r="M37" s="1743">
        <v>74</v>
      </c>
      <c r="N37" s="1742">
        <v>192</v>
      </c>
      <c r="O37" s="1742">
        <v>43</v>
      </c>
      <c r="P37" s="1743">
        <v>235</v>
      </c>
      <c r="Q37" s="1742">
        <v>210</v>
      </c>
      <c r="R37" s="1742">
        <v>50</v>
      </c>
      <c r="S37" s="1743">
        <f>Q37+R37</f>
        <v>260</v>
      </c>
      <c r="T37" s="1742">
        <v>500</v>
      </c>
      <c r="U37" s="1742">
        <v>104</v>
      </c>
      <c r="V37" s="1743">
        <f>T37+U37</f>
        <v>604</v>
      </c>
      <c r="W37" s="1742">
        <v>306</v>
      </c>
      <c r="X37" s="1742">
        <f>25+6+5+32</f>
        <v>68</v>
      </c>
      <c r="Y37" s="1743">
        <f>SUM(W37:X37)</f>
        <v>374</v>
      </c>
      <c r="Z37" s="1742">
        <v>745</v>
      </c>
      <c r="AA37" s="1742">
        <v>202</v>
      </c>
      <c r="AB37" s="1743">
        <f>SUM(Z37:AA37)</f>
        <v>947</v>
      </c>
      <c r="AC37" s="1744">
        <v>258</v>
      </c>
      <c r="AD37" s="1742">
        <v>80</v>
      </c>
      <c r="AE37" s="1743">
        <f>SUM(AC37:AD37)</f>
        <v>338</v>
      </c>
      <c r="AF37" s="1744">
        <v>870</v>
      </c>
      <c r="AG37" s="1742">
        <v>277</v>
      </c>
      <c r="AH37" s="1743">
        <f>SUM(AF37:AG37)</f>
        <v>1147</v>
      </c>
      <c r="AI37" s="1744">
        <v>757</v>
      </c>
      <c r="AJ37" s="1742">
        <v>225</v>
      </c>
      <c r="AK37" s="1743">
        <f>SUM(AI37:AJ37)</f>
        <v>982</v>
      </c>
      <c r="AL37" s="1744">
        <v>757</v>
      </c>
      <c r="AM37" s="1742">
        <v>225</v>
      </c>
      <c r="AN37" s="1743">
        <f>SUM(AL37:AM37)</f>
        <v>982</v>
      </c>
      <c r="AO37" s="1744">
        <v>17</v>
      </c>
      <c r="AP37" s="1742">
        <v>7</v>
      </c>
      <c r="AQ37" s="1743">
        <v>24</v>
      </c>
      <c r="AR37" s="1744">
        <v>567</v>
      </c>
      <c r="AS37" s="1742">
        <v>186</v>
      </c>
      <c r="AT37" s="1743">
        <f>SUM(AR37:AS37)</f>
        <v>753</v>
      </c>
      <c r="AU37" s="1744"/>
      <c r="AV37" s="1742"/>
      <c r="AW37" s="1743"/>
    </row>
    <row r="38" spans="1:49" x14ac:dyDescent="0.25">
      <c r="D38" s="1745" t="s">
        <v>656</v>
      </c>
      <c r="E38" s="1746">
        <v>236</v>
      </c>
      <c r="F38" s="1746">
        <v>70</v>
      </c>
      <c r="G38" s="1747">
        <v>306</v>
      </c>
      <c r="H38" s="1746">
        <v>193</v>
      </c>
      <c r="I38" s="1746">
        <v>72</v>
      </c>
      <c r="J38" s="1747">
        <v>265</v>
      </c>
      <c r="K38" s="1746">
        <v>161</v>
      </c>
      <c r="L38" s="1746">
        <v>45</v>
      </c>
      <c r="M38" s="1747">
        <v>206</v>
      </c>
      <c r="N38" s="1746">
        <v>303</v>
      </c>
      <c r="O38" s="1746">
        <v>109</v>
      </c>
      <c r="P38" s="1747">
        <v>412</v>
      </c>
      <c r="Q38" s="1746">
        <v>530</v>
      </c>
      <c r="R38" s="1746">
        <v>174</v>
      </c>
      <c r="S38" s="1747">
        <f>Q38+R38</f>
        <v>704</v>
      </c>
      <c r="T38" s="1746">
        <v>837</v>
      </c>
      <c r="U38" s="1746">
        <v>334</v>
      </c>
      <c r="V38" s="1747">
        <f>T38+U38</f>
        <v>1171</v>
      </c>
      <c r="W38" s="1746">
        <v>601</v>
      </c>
      <c r="X38" s="1746">
        <v>336</v>
      </c>
      <c r="Y38" s="1747">
        <f>SUM(W38:X38)</f>
        <v>937</v>
      </c>
      <c r="Z38" s="1746">
        <v>1349</v>
      </c>
      <c r="AA38" s="1746">
        <v>561</v>
      </c>
      <c r="AB38" s="1747">
        <f>SUM(Z38:AA38)</f>
        <v>1910</v>
      </c>
      <c r="AC38" s="1748">
        <v>754</v>
      </c>
      <c r="AD38" s="1746">
        <v>301</v>
      </c>
      <c r="AE38" s="1747">
        <f>SUM(AC38:AD38)</f>
        <v>1055</v>
      </c>
      <c r="AF38" s="1749">
        <v>1614</v>
      </c>
      <c r="AG38" s="1746">
        <v>675</v>
      </c>
      <c r="AH38" s="1747">
        <f>SUM(AF38:AG38)</f>
        <v>2289</v>
      </c>
      <c r="AI38" s="1749">
        <v>1365</v>
      </c>
      <c r="AJ38" s="1746">
        <v>649</v>
      </c>
      <c r="AK38" s="1747">
        <f>SUM(AI38:AJ38)</f>
        <v>2014</v>
      </c>
      <c r="AL38" s="1749">
        <v>1365</v>
      </c>
      <c r="AM38" s="1746">
        <v>649</v>
      </c>
      <c r="AN38" s="1747">
        <f>SUM(AL38:AM38)</f>
        <v>2014</v>
      </c>
      <c r="AO38" s="1749">
        <v>130</v>
      </c>
      <c r="AP38" s="1746">
        <v>50</v>
      </c>
      <c r="AQ38" s="1747">
        <v>180</v>
      </c>
      <c r="AR38" s="1749">
        <v>1297</v>
      </c>
      <c r="AS38" s="1746">
        <v>575</v>
      </c>
      <c r="AT38" s="1747">
        <f>SUM(AR38:AS38)</f>
        <v>1872</v>
      </c>
      <c r="AU38" s="1749"/>
      <c r="AV38" s="1746"/>
      <c r="AW38" s="1747"/>
    </row>
    <row r="39" spans="1:49" x14ac:dyDescent="0.25">
      <c r="P39" s="1707"/>
      <c r="W39" s="1664"/>
      <c r="X39" s="1664"/>
    </row>
    <row r="40" spans="1:49" s="1644" customFormat="1" ht="14.25" customHeight="1" x14ac:dyDescent="0.3">
      <c r="A40" s="1645">
        <v>5</v>
      </c>
      <c r="B40" s="1645" t="s">
        <v>58</v>
      </c>
      <c r="C40" s="1645"/>
      <c r="D40" s="4776" t="s">
        <v>657</v>
      </c>
      <c r="E40" s="4777"/>
      <c r="F40" s="4777"/>
      <c r="G40" s="4777"/>
      <c r="H40" s="4777"/>
      <c r="I40" s="4777"/>
      <c r="J40" s="4777"/>
      <c r="K40" s="4777"/>
      <c r="L40" s="4777"/>
      <c r="M40" s="4777"/>
      <c r="N40" s="4777"/>
      <c r="O40" s="4777"/>
      <c r="P40" s="4777"/>
      <c r="Q40" s="4777"/>
      <c r="R40" s="4777"/>
      <c r="S40" s="4777"/>
      <c r="T40" s="4777"/>
      <c r="U40" s="4777"/>
      <c r="V40" s="4777"/>
      <c r="W40" s="4777"/>
      <c r="X40" s="4777"/>
      <c r="Y40" s="4777"/>
      <c r="Z40" s="4777"/>
      <c r="AA40" s="4777"/>
      <c r="AB40" s="4777"/>
      <c r="AC40" s="4777"/>
      <c r="AD40" s="4777"/>
      <c r="AE40" s="4777"/>
      <c r="AF40" s="4777"/>
      <c r="AG40" s="4777"/>
      <c r="AH40" s="4777"/>
      <c r="AI40" s="4777"/>
      <c r="AJ40" s="4777"/>
      <c r="AK40" s="4778"/>
    </row>
    <row r="41" spans="1:49" s="1644" customFormat="1" ht="25.5" customHeight="1" x14ac:dyDescent="0.3">
      <c r="A41" s="1750">
        <v>6</v>
      </c>
      <c r="B41" s="1750" t="s">
        <v>60</v>
      </c>
      <c r="C41" s="1750"/>
      <c r="D41" s="4779" t="s">
        <v>658</v>
      </c>
      <c r="E41" s="4780"/>
      <c r="F41" s="4780"/>
      <c r="G41" s="4780"/>
      <c r="H41" s="4780"/>
      <c r="I41" s="4780"/>
      <c r="J41" s="4780"/>
      <c r="K41" s="4780"/>
      <c r="L41" s="4780"/>
      <c r="M41" s="4780"/>
      <c r="N41" s="4780"/>
      <c r="O41" s="4780"/>
      <c r="P41" s="4780"/>
      <c r="Q41" s="4780"/>
      <c r="R41" s="4780"/>
      <c r="S41" s="4780"/>
      <c r="T41" s="4780"/>
      <c r="U41" s="4780"/>
      <c r="V41" s="4780"/>
      <c r="W41" s="4780"/>
      <c r="X41" s="4780"/>
      <c r="Y41" s="4780"/>
      <c r="Z41" s="4780"/>
      <c r="AA41" s="4780"/>
      <c r="AB41" s="4780"/>
      <c r="AC41" s="4780"/>
      <c r="AD41" s="4780"/>
      <c r="AE41" s="4780"/>
      <c r="AF41" s="4780"/>
      <c r="AG41" s="4780"/>
      <c r="AH41" s="4780"/>
      <c r="AI41" s="4780"/>
      <c r="AJ41" s="4780"/>
      <c r="AK41" s="4781"/>
    </row>
    <row r="42" spans="1:49" s="1644" customFormat="1" ht="56.25" customHeight="1" x14ac:dyDescent="0.3">
      <c r="A42" s="1751">
        <v>7</v>
      </c>
      <c r="B42" s="1751" t="s">
        <v>62</v>
      </c>
      <c r="C42" s="1752"/>
      <c r="D42" s="4767" t="s">
        <v>659</v>
      </c>
      <c r="E42" s="4768"/>
      <c r="F42" s="4768"/>
      <c r="G42" s="4768"/>
      <c r="H42" s="4768"/>
      <c r="I42" s="4768"/>
      <c r="J42" s="4768"/>
      <c r="K42" s="4768"/>
      <c r="L42" s="4768"/>
      <c r="M42" s="4768"/>
      <c r="N42" s="4768"/>
      <c r="O42" s="4768"/>
      <c r="P42" s="4768"/>
      <c r="Q42" s="4768"/>
      <c r="R42" s="4768"/>
      <c r="S42" s="4768"/>
      <c r="T42" s="4768"/>
      <c r="U42" s="4768"/>
      <c r="V42" s="4768"/>
      <c r="W42" s="4768"/>
      <c r="X42" s="4768"/>
      <c r="Y42" s="4768"/>
      <c r="Z42" s="4768"/>
      <c r="AA42" s="4768"/>
      <c r="AB42" s="4768"/>
      <c r="AC42" s="4768"/>
      <c r="AD42" s="4768"/>
      <c r="AE42" s="4768"/>
      <c r="AF42" s="4768"/>
      <c r="AG42" s="4768"/>
      <c r="AH42" s="4768"/>
      <c r="AI42" s="4768"/>
      <c r="AJ42" s="4768"/>
      <c r="AK42" s="4769"/>
    </row>
    <row r="43" spans="1:49" ht="54" customHeight="1" x14ac:dyDescent="0.25">
      <c r="A43" s="1751">
        <v>8</v>
      </c>
      <c r="B43" s="1751" t="s">
        <v>278</v>
      </c>
      <c r="D43" s="4770" t="s">
        <v>660</v>
      </c>
      <c r="E43" s="4771"/>
      <c r="F43" s="4771"/>
      <c r="G43" s="4771"/>
      <c r="H43" s="4771"/>
      <c r="I43" s="4771"/>
      <c r="J43" s="4771"/>
      <c r="K43" s="4771"/>
      <c r="L43" s="4771"/>
      <c r="M43" s="4771"/>
      <c r="N43" s="4771"/>
      <c r="O43" s="4771"/>
      <c r="P43" s="4771"/>
      <c r="Q43" s="4771"/>
      <c r="R43" s="4771"/>
      <c r="S43" s="4771"/>
      <c r="T43" s="4771"/>
      <c r="U43" s="4771"/>
      <c r="V43" s="4771"/>
      <c r="W43" s="4771"/>
      <c r="X43" s="4771"/>
      <c r="Y43" s="4771"/>
      <c r="Z43" s="4771"/>
      <c r="AA43" s="4771"/>
      <c r="AB43" s="4771"/>
      <c r="AC43" s="4771"/>
      <c r="AD43" s="4771"/>
      <c r="AE43" s="4771"/>
      <c r="AF43" s="4771"/>
      <c r="AG43" s="4771"/>
      <c r="AH43" s="4771"/>
      <c r="AI43" s="4771"/>
      <c r="AJ43" s="4771"/>
      <c r="AK43" s="4772"/>
    </row>
    <row r="45" spans="1:49" x14ac:dyDescent="0.25">
      <c r="B45" s="1664"/>
      <c r="C45" s="1664"/>
      <c r="D45" s="1753"/>
      <c r="E45" s="1753"/>
      <c r="F45" s="1753"/>
      <c r="G45" s="1753"/>
      <c r="H45" s="1753"/>
      <c r="I45" s="1754"/>
      <c r="J45" s="1754"/>
      <c r="K45" s="1753"/>
      <c r="L45" s="1753"/>
      <c r="M45" s="1753"/>
      <c r="N45" s="1753"/>
      <c r="O45" s="1753"/>
      <c r="P45" s="1753"/>
      <c r="Q45" s="1753"/>
    </row>
    <row r="46" spans="1:49" x14ac:dyDescent="0.25">
      <c r="B46" s="1664"/>
      <c r="C46" s="1664"/>
      <c r="D46" s="1753"/>
      <c r="E46" s="1753"/>
      <c r="F46" s="1753"/>
      <c r="G46" s="1753"/>
      <c r="H46" s="1753"/>
      <c r="I46" s="1754"/>
      <c r="J46" s="1754"/>
      <c r="K46" s="1753"/>
      <c r="L46" s="1753"/>
      <c r="M46" s="1753"/>
      <c r="N46" s="1753"/>
      <c r="O46" s="1753"/>
      <c r="P46" s="1753"/>
      <c r="Q46" s="1753"/>
    </row>
    <row r="47" spans="1:49" x14ac:dyDescent="0.25">
      <c r="B47" s="1664"/>
      <c r="C47" s="1664"/>
      <c r="D47" s="1753"/>
      <c r="E47" s="1753"/>
      <c r="F47" s="1753"/>
      <c r="G47" s="1753"/>
      <c r="H47" s="1753"/>
      <c r="I47" s="1754"/>
      <c r="J47" s="1754"/>
      <c r="K47" s="1753"/>
      <c r="L47" s="1753"/>
      <c r="M47" s="1753"/>
      <c r="N47" s="1753"/>
      <c r="O47" s="1753"/>
      <c r="P47" s="1753"/>
      <c r="Q47" s="1753"/>
    </row>
    <row r="48" spans="1:49" x14ac:dyDescent="0.25">
      <c r="B48" s="1664"/>
      <c r="C48" s="1664"/>
      <c r="D48" s="1755"/>
      <c r="E48" s="1755"/>
      <c r="F48" s="1755"/>
      <c r="G48" s="1755"/>
      <c r="H48" s="1755"/>
      <c r="I48" s="1755"/>
      <c r="J48" s="1755"/>
      <c r="K48" s="1755"/>
      <c r="L48" s="1755"/>
      <c r="M48" s="1755"/>
      <c r="N48" s="1755"/>
      <c r="O48" s="1755"/>
      <c r="P48" s="1755"/>
      <c r="Q48" s="1755"/>
      <c r="W48" s="1664"/>
    </row>
    <row r="49" spans="2:23" x14ac:dyDescent="0.25">
      <c r="B49" s="1756"/>
      <c r="C49" s="1756"/>
      <c r="D49" s="1757"/>
      <c r="E49" s="1757"/>
      <c r="F49" s="1757"/>
      <c r="G49" s="1757"/>
      <c r="H49" s="1757"/>
      <c r="I49" s="1757"/>
      <c r="J49" s="1757"/>
      <c r="K49" s="1757"/>
      <c r="L49" s="1757"/>
      <c r="M49" s="1757"/>
      <c r="N49" s="1757"/>
      <c r="O49" s="1757"/>
      <c r="P49" s="1757"/>
      <c r="Q49" s="1757"/>
      <c r="W49" s="1664"/>
    </row>
    <row r="50" spans="2:23" x14ac:dyDescent="0.25">
      <c r="B50" s="1664"/>
      <c r="C50" s="1664"/>
      <c r="D50" s="1758"/>
      <c r="E50" s="1758"/>
      <c r="F50" s="1664"/>
      <c r="G50" s="1664"/>
      <c r="H50" s="1758"/>
      <c r="I50" s="1758"/>
      <c r="J50" s="1758"/>
      <c r="K50" s="1758"/>
      <c r="L50" s="1758"/>
      <c r="M50" s="1758"/>
      <c r="N50" s="1758"/>
      <c r="O50" s="1758"/>
      <c r="P50" s="1758"/>
      <c r="Q50" s="1758"/>
      <c r="W50" s="1664"/>
    </row>
  </sheetData>
  <mergeCells count="26">
    <mergeCell ref="D27:H27"/>
    <mergeCell ref="D2:AN2"/>
    <mergeCell ref="D3:AN3"/>
    <mergeCell ref="D4:AN4"/>
    <mergeCell ref="D5:AN5"/>
    <mergeCell ref="D26:H26"/>
    <mergeCell ref="D28:H28"/>
    <mergeCell ref="E35:G35"/>
    <mergeCell ref="H35:J35"/>
    <mergeCell ref="K35:M35"/>
    <mergeCell ref="N35:P35"/>
    <mergeCell ref="AU35:AW35"/>
    <mergeCell ref="D40:AK40"/>
    <mergeCell ref="D41:AK41"/>
    <mergeCell ref="T35:V35"/>
    <mergeCell ref="W35:Y35"/>
    <mergeCell ref="Z35:AB35"/>
    <mergeCell ref="AC35:AE35"/>
    <mergeCell ref="AF35:AH35"/>
    <mergeCell ref="AI35:AK35"/>
    <mergeCell ref="Q35:S35"/>
    <mergeCell ref="D42:AK42"/>
    <mergeCell ref="D43:AK43"/>
    <mergeCell ref="AL35:AN35"/>
    <mergeCell ref="AO35:AQ35"/>
    <mergeCell ref="AR35:AT35"/>
  </mergeCells>
  <pageMargins left="0.74803149606299202" right="0.74803149606299202" top="0.98425196850393704" bottom="0.98425196850393704" header="0.511811023622047" footer="0.511811023622047"/>
  <pageSetup paperSize="9" scale="24" orientation="landscape" r:id="rId1"/>
  <headerFooter alignWithMargins="0">
    <oddHeader>&amp;C&amp;"-,Bold"DEVELOPMENT INDICATORS 2017</oddHeader>
    <oddFooter>&amp;LDepartment of Planning, Monitoring and Evaluation (DPME). &amp;CPage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4E50-1602-4BBF-8940-A2907D98C585}">
  <sheetPr>
    <tabColor rgb="FF00B050"/>
    <pageSetUpPr fitToPage="1"/>
  </sheetPr>
  <dimension ref="A2:AH48"/>
  <sheetViews>
    <sheetView showGridLines="0" view="pageBreakPreview" topLeftCell="D1" zoomScaleNormal="100" zoomScaleSheetLayoutView="100" workbookViewId="0">
      <selection activeCell="T33" sqref="T33"/>
    </sheetView>
  </sheetViews>
  <sheetFormatPr defaultColWidth="9.1796875" defaultRowHeight="14" x14ac:dyDescent="0.3"/>
  <cols>
    <col min="1" max="1" width="3.7265625" style="1860" customWidth="1"/>
    <col min="2" max="2" width="12.7265625" style="1768" customWidth="1"/>
    <col min="3" max="3" width="3.7265625" style="1768" customWidth="1"/>
    <col min="4" max="4" width="24.54296875" style="1764" customWidth="1"/>
    <col min="5" max="6" width="8.54296875" style="1764" customWidth="1"/>
    <col min="7" max="7" width="9" style="1764" customWidth="1"/>
    <col min="8" max="9" width="8.54296875" style="1764" customWidth="1"/>
    <col min="10" max="10" width="9" style="1764" customWidth="1"/>
    <col min="11" max="12" width="8.54296875" style="1764" customWidth="1"/>
    <col min="13" max="13" width="9" style="1764" customWidth="1"/>
    <col min="14" max="15" width="8.54296875" style="1764" customWidth="1"/>
    <col min="16" max="16" width="9" style="1764" customWidth="1"/>
    <col min="17" max="18" width="8.54296875" style="1764" customWidth="1"/>
    <col min="19" max="19" width="9" style="1764" customWidth="1"/>
    <col min="20" max="21" width="8.54296875" style="1764" customWidth="1"/>
    <col min="22" max="25" width="9" style="1764" customWidth="1"/>
    <col min="26" max="26" width="8.54296875" style="1764" customWidth="1"/>
    <col min="27" max="27" width="8.81640625" style="1764" customWidth="1"/>
    <col min="28" max="31" width="9" style="1764" customWidth="1"/>
    <col min="32" max="32" width="11" style="1764" bestFit="1" customWidth="1"/>
    <col min="33" max="255" width="9.1796875" style="1764"/>
    <col min="256" max="256" width="3.7265625" style="1764" customWidth="1"/>
    <col min="257" max="257" width="12.7265625" style="1764" customWidth="1"/>
    <col min="258" max="258" width="3.7265625" style="1764" customWidth="1"/>
    <col min="259" max="259" width="20.7265625" style="1764" customWidth="1"/>
    <col min="260" max="261" width="8.54296875" style="1764" customWidth="1"/>
    <col min="262" max="262" width="9" style="1764" customWidth="1"/>
    <col min="263" max="264" width="8.54296875" style="1764" customWidth="1"/>
    <col min="265" max="265" width="9" style="1764" customWidth="1"/>
    <col min="266" max="267" width="8.54296875" style="1764" customWidth="1"/>
    <col min="268" max="268" width="9" style="1764" customWidth="1"/>
    <col min="269" max="270" width="8.54296875" style="1764" customWidth="1"/>
    <col min="271" max="271" width="9" style="1764" customWidth="1"/>
    <col min="272" max="273" width="8.54296875" style="1764" customWidth="1"/>
    <col min="274" max="274" width="9" style="1764" customWidth="1"/>
    <col min="275" max="276" width="8.54296875" style="1764" customWidth="1"/>
    <col min="277" max="277" width="9" style="1764" customWidth="1"/>
    <col min="278" max="279" width="8.54296875" style="1764" customWidth="1"/>
    <col min="280" max="280" width="9" style="1764" customWidth="1"/>
    <col min="281" max="511" width="9.1796875" style="1764"/>
    <col min="512" max="512" width="3.7265625" style="1764" customWidth="1"/>
    <col min="513" max="513" width="12.7265625" style="1764" customWidth="1"/>
    <col min="514" max="514" width="3.7265625" style="1764" customWidth="1"/>
    <col min="515" max="515" width="20.7265625" style="1764" customWidth="1"/>
    <col min="516" max="517" width="8.54296875" style="1764" customWidth="1"/>
    <col min="518" max="518" width="9" style="1764" customWidth="1"/>
    <col min="519" max="520" width="8.54296875" style="1764" customWidth="1"/>
    <col min="521" max="521" width="9" style="1764" customWidth="1"/>
    <col min="522" max="523" width="8.54296875" style="1764" customWidth="1"/>
    <col min="524" max="524" width="9" style="1764" customWidth="1"/>
    <col min="525" max="526" width="8.54296875" style="1764" customWidth="1"/>
    <col min="527" max="527" width="9" style="1764" customWidth="1"/>
    <col min="528" max="529" width="8.54296875" style="1764" customWidth="1"/>
    <col min="530" max="530" width="9" style="1764" customWidth="1"/>
    <col min="531" max="532" width="8.54296875" style="1764" customWidth="1"/>
    <col min="533" max="533" width="9" style="1764" customWidth="1"/>
    <col min="534" max="535" width="8.54296875" style="1764" customWidth="1"/>
    <col min="536" max="536" width="9" style="1764" customWidth="1"/>
    <col min="537" max="767" width="9.1796875" style="1764"/>
    <col min="768" max="768" width="3.7265625" style="1764" customWidth="1"/>
    <col min="769" max="769" width="12.7265625" style="1764" customWidth="1"/>
    <col min="770" max="770" width="3.7265625" style="1764" customWidth="1"/>
    <col min="771" max="771" width="20.7265625" style="1764" customWidth="1"/>
    <col min="772" max="773" width="8.54296875" style="1764" customWidth="1"/>
    <col min="774" max="774" width="9" style="1764" customWidth="1"/>
    <col min="775" max="776" width="8.54296875" style="1764" customWidth="1"/>
    <col min="777" max="777" width="9" style="1764" customWidth="1"/>
    <col min="778" max="779" width="8.54296875" style="1764" customWidth="1"/>
    <col min="780" max="780" width="9" style="1764" customWidth="1"/>
    <col min="781" max="782" width="8.54296875" style="1764" customWidth="1"/>
    <col min="783" max="783" width="9" style="1764" customWidth="1"/>
    <col min="784" max="785" width="8.54296875" style="1764" customWidth="1"/>
    <col min="786" max="786" width="9" style="1764" customWidth="1"/>
    <col min="787" max="788" width="8.54296875" style="1764" customWidth="1"/>
    <col min="789" max="789" width="9" style="1764" customWidth="1"/>
    <col min="790" max="791" width="8.54296875" style="1764" customWidth="1"/>
    <col min="792" max="792" width="9" style="1764" customWidth="1"/>
    <col min="793" max="1023" width="9.1796875" style="1764"/>
    <col min="1024" max="1024" width="3.7265625" style="1764" customWidth="1"/>
    <col min="1025" max="1025" width="12.7265625" style="1764" customWidth="1"/>
    <col min="1026" max="1026" width="3.7265625" style="1764" customWidth="1"/>
    <col min="1027" max="1027" width="20.7265625" style="1764" customWidth="1"/>
    <col min="1028" max="1029" width="8.54296875" style="1764" customWidth="1"/>
    <col min="1030" max="1030" width="9" style="1764" customWidth="1"/>
    <col min="1031" max="1032" width="8.54296875" style="1764" customWidth="1"/>
    <col min="1033" max="1033" width="9" style="1764" customWidth="1"/>
    <col min="1034" max="1035" width="8.54296875" style="1764" customWidth="1"/>
    <col min="1036" max="1036" width="9" style="1764" customWidth="1"/>
    <col min="1037" max="1038" width="8.54296875" style="1764" customWidth="1"/>
    <col min="1039" max="1039" width="9" style="1764" customWidth="1"/>
    <col min="1040" max="1041" width="8.54296875" style="1764" customWidth="1"/>
    <col min="1042" max="1042" width="9" style="1764" customWidth="1"/>
    <col min="1043" max="1044" width="8.54296875" style="1764" customWidth="1"/>
    <col min="1045" max="1045" width="9" style="1764" customWidth="1"/>
    <col min="1046" max="1047" width="8.54296875" style="1764" customWidth="1"/>
    <col min="1048" max="1048" width="9" style="1764" customWidth="1"/>
    <col min="1049" max="1279" width="9.1796875" style="1764"/>
    <col min="1280" max="1280" width="3.7265625" style="1764" customWidth="1"/>
    <col min="1281" max="1281" width="12.7265625" style="1764" customWidth="1"/>
    <col min="1282" max="1282" width="3.7265625" style="1764" customWidth="1"/>
    <col min="1283" max="1283" width="20.7265625" style="1764" customWidth="1"/>
    <col min="1284" max="1285" width="8.54296875" style="1764" customWidth="1"/>
    <col min="1286" max="1286" width="9" style="1764" customWidth="1"/>
    <col min="1287" max="1288" width="8.54296875" style="1764" customWidth="1"/>
    <col min="1289" max="1289" width="9" style="1764" customWidth="1"/>
    <col min="1290" max="1291" width="8.54296875" style="1764" customWidth="1"/>
    <col min="1292" max="1292" width="9" style="1764" customWidth="1"/>
    <col min="1293" max="1294" width="8.54296875" style="1764" customWidth="1"/>
    <col min="1295" max="1295" width="9" style="1764" customWidth="1"/>
    <col min="1296" max="1297" width="8.54296875" style="1764" customWidth="1"/>
    <col min="1298" max="1298" width="9" style="1764" customWidth="1"/>
    <col min="1299" max="1300" width="8.54296875" style="1764" customWidth="1"/>
    <col min="1301" max="1301" width="9" style="1764" customWidth="1"/>
    <col min="1302" max="1303" width="8.54296875" style="1764" customWidth="1"/>
    <col min="1304" max="1304" width="9" style="1764" customWidth="1"/>
    <col min="1305" max="1535" width="9.1796875" style="1764"/>
    <col min="1536" max="1536" width="3.7265625" style="1764" customWidth="1"/>
    <col min="1537" max="1537" width="12.7265625" style="1764" customWidth="1"/>
    <col min="1538" max="1538" width="3.7265625" style="1764" customWidth="1"/>
    <col min="1539" max="1539" width="20.7265625" style="1764" customWidth="1"/>
    <col min="1540" max="1541" width="8.54296875" style="1764" customWidth="1"/>
    <col min="1542" max="1542" width="9" style="1764" customWidth="1"/>
    <col min="1543" max="1544" width="8.54296875" style="1764" customWidth="1"/>
    <col min="1545" max="1545" width="9" style="1764" customWidth="1"/>
    <col min="1546" max="1547" width="8.54296875" style="1764" customWidth="1"/>
    <col min="1548" max="1548" width="9" style="1764" customWidth="1"/>
    <col min="1549" max="1550" width="8.54296875" style="1764" customWidth="1"/>
    <col min="1551" max="1551" width="9" style="1764" customWidth="1"/>
    <col min="1552" max="1553" width="8.54296875" style="1764" customWidth="1"/>
    <col min="1554" max="1554" width="9" style="1764" customWidth="1"/>
    <col min="1555" max="1556" width="8.54296875" style="1764" customWidth="1"/>
    <col min="1557" max="1557" width="9" style="1764" customWidth="1"/>
    <col min="1558" max="1559" width="8.54296875" style="1764" customWidth="1"/>
    <col min="1560" max="1560" width="9" style="1764" customWidth="1"/>
    <col min="1561" max="1791" width="9.1796875" style="1764"/>
    <col min="1792" max="1792" width="3.7265625" style="1764" customWidth="1"/>
    <col min="1793" max="1793" width="12.7265625" style="1764" customWidth="1"/>
    <col min="1794" max="1794" width="3.7265625" style="1764" customWidth="1"/>
    <col min="1795" max="1795" width="20.7265625" style="1764" customWidth="1"/>
    <col min="1796" max="1797" width="8.54296875" style="1764" customWidth="1"/>
    <col min="1798" max="1798" width="9" style="1764" customWidth="1"/>
    <col min="1799" max="1800" width="8.54296875" style="1764" customWidth="1"/>
    <col min="1801" max="1801" width="9" style="1764" customWidth="1"/>
    <col min="1802" max="1803" width="8.54296875" style="1764" customWidth="1"/>
    <col min="1804" max="1804" width="9" style="1764" customWidth="1"/>
    <col min="1805" max="1806" width="8.54296875" style="1764" customWidth="1"/>
    <col min="1807" max="1807" width="9" style="1764" customWidth="1"/>
    <col min="1808" max="1809" width="8.54296875" style="1764" customWidth="1"/>
    <col min="1810" max="1810" width="9" style="1764" customWidth="1"/>
    <col min="1811" max="1812" width="8.54296875" style="1764" customWidth="1"/>
    <col min="1813" max="1813" width="9" style="1764" customWidth="1"/>
    <col min="1814" max="1815" width="8.54296875" style="1764" customWidth="1"/>
    <col min="1816" max="1816" width="9" style="1764" customWidth="1"/>
    <col min="1817" max="2047" width="9.1796875" style="1764"/>
    <col min="2048" max="2048" width="3.7265625" style="1764" customWidth="1"/>
    <col min="2049" max="2049" width="12.7265625" style="1764" customWidth="1"/>
    <col min="2050" max="2050" width="3.7265625" style="1764" customWidth="1"/>
    <col min="2051" max="2051" width="20.7265625" style="1764" customWidth="1"/>
    <col min="2052" max="2053" width="8.54296875" style="1764" customWidth="1"/>
    <col min="2054" max="2054" width="9" style="1764" customWidth="1"/>
    <col min="2055" max="2056" width="8.54296875" style="1764" customWidth="1"/>
    <col min="2057" max="2057" width="9" style="1764" customWidth="1"/>
    <col min="2058" max="2059" width="8.54296875" style="1764" customWidth="1"/>
    <col min="2060" max="2060" width="9" style="1764" customWidth="1"/>
    <col min="2061" max="2062" width="8.54296875" style="1764" customWidth="1"/>
    <col min="2063" max="2063" width="9" style="1764" customWidth="1"/>
    <col min="2064" max="2065" width="8.54296875" style="1764" customWidth="1"/>
    <col min="2066" max="2066" width="9" style="1764" customWidth="1"/>
    <col min="2067" max="2068" width="8.54296875" style="1764" customWidth="1"/>
    <col min="2069" max="2069" width="9" style="1764" customWidth="1"/>
    <col min="2070" max="2071" width="8.54296875" style="1764" customWidth="1"/>
    <col min="2072" max="2072" width="9" style="1764" customWidth="1"/>
    <col min="2073" max="2303" width="9.1796875" style="1764"/>
    <col min="2304" max="2304" width="3.7265625" style="1764" customWidth="1"/>
    <col min="2305" max="2305" width="12.7265625" style="1764" customWidth="1"/>
    <col min="2306" max="2306" width="3.7265625" style="1764" customWidth="1"/>
    <col min="2307" max="2307" width="20.7265625" style="1764" customWidth="1"/>
    <col min="2308" max="2309" width="8.54296875" style="1764" customWidth="1"/>
    <col min="2310" max="2310" width="9" style="1764" customWidth="1"/>
    <col min="2311" max="2312" width="8.54296875" style="1764" customWidth="1"/>
    <col min="2313" max="2313" width="9" style="1764" customWidth="1"/>
    <col min="2314" max="2315" width="8.54296875" style="1764" customWidth="1"/>
    <col min="2316" max="2316" width="9" style="1764" customWidth="1"/>
    <col min="2317" max="2318" width="8.54296875" style="1764" customWidth="1"/>
    <col min="2319" max="2319" width="9" style="1764" customWidth="1"/>
    <col min="2320" max="2321" width="8.54296875" style="1764" customWidth="1"/>
    <col min="2322" max="2322" width="9" style="1764" customWidth="1"/>
    <col min="2323" max="2324" width="8.54296875" style="1764" customWidth="1"/>
    <col min="2325" max="2325" width="9" style="1764" customWidth="1"/>
    <col min="2326" max="2327" width="8.54296875" style="1764" customWidth="1"/>
    <col min="2328" max="2328" width="9" style="1764" customWidth="1"/>
    <col min="2329" max="2559" width="9.1796875" style="1764"/>
    <col min="2560" max="2560" width="3.7265625" style="1764" customWidth="1"/>
    <col min="2561" max="2561" width="12.7265625" style="1764" customWidth="1"/>
    <col min="2562" max="2562" width="3.7265625" style="1764" customWidth="1"/>
    <col min="2563" max="2563" width="20.7265625" style="1764" customWidth="1"/>
    <col min="2564" max="2565" width="8.54296875" style="1764" customWidth="1"/>
    <col min="2566" max="2566" width="9" style="1764" customWidth="1"/>
    <col min="2567" max="2568" width="8.54296875" style="1764" customWidth="1"/>
    <col min="2569" max="2569" width="9" style="1764" customWidth="1"/>
    <col min="2570" max="2571" width="8.54296875" style="1764" customWidth="1"/>
    <col min="2572" max="2572" width="9" style="1764" customWidth="1"/>
    <col min="2573" max="2574" width="8.54296875" style="1764" customWidth="1"/>
    <col min="2575" max="2575" width="9" style="1764" customWidth="1"/>
    <col min="2576" max="2577" width="8.54296875" style="1764" customWidth="1"/>
    <col min="2578" max="2578" width="9" style="1764" customWidth="1"/>
    <col min="2579" max="2580" width="8.54296875" style="1764" customWidth="1"/>
    <col min="2581" max="2581" width="9" style="1764" customWidth="1"/>
    <col min="2582" max="2583" width="8.54296875" style="1764" customWidth="1"/>
    <col min="2584" max="2584" width="9" style="1764" customWidth="1"/>
    <col min="2585" max="2815" width="9.1796875" style="1764"/>
    <col min="2816" max="2816" width="3.7265625" style="1764" customWidth="1"/>
    <col min="2817" max="2817" width="12.7265625" style="1764" customWidth="1"/>
    <col min="2818" max="2818" width="3.7265625" style="1764" customWidth="1"/>
    <col min="2819" max="2819" width="20.7265625" style="1764" customWidth="1"/>
    <col min="2820" max="2821" width="8.54296875" style="1764" customWidth="1"/>
    <col min="2822" max="2822" width="9" style="1764" customWidth="1"/>
    <col min="2823" max="2824" width="8.54296875" style="1764" customWidth="1"/>
    <col min="2825" max="2825" width="9" style="1764" customWidth="1"/>
    <col min="2826" max="2827" width="8.54296875" style="1764" customWidth="1"/>
    <col min="2828" max="2828" width="9" style="1764" customWidth="1"/>
    <col min="2829" max="2830" width="8.54296875" style="1764" customWidth="1"/>
    <col min="2831" max="2831" width="9" style="1764" customWidth="1"/>
    <col min="2832" max="2833" width="8.54296875" style="1764" customWidth="1"/>
    <col min="2834" max="2834" width="9" style="1764" customWidth="1"/>
    <col min="2835" max="2836" width="8.54296875" style="1764" customWidth="1"/>
    <col min="2837" max="2837" width="9" style="1764" customWidth="1"/>
    <col min="2838" max="2839" width="8.54296875" style="1764" customWidth="1"/>
    <col min="2840" max="2840" width="9" style="1764" customWidth="1"/>
    <col min="2841" max="3071" width="9.1796875" style="1764"/>
    <col min="3072" max="3072" width="3.7265625" style="1764" customWidth="1"/>
    <col min="3073" max="3073" width="12.7265625" style="1764" customWidth="1"/>
    <col min="3074" max="3074" width="3.7265625" style="1764" customWidth="1"/>
    <col min="3075" max="3075" width="20.7265625" style="1764" customWidth="1"/>
    <col min="3076" max="3077" width="8.54296875" style="1764" customWidth="1"/>
    <col min="3078" max="3078" width="9" style="1764" customWidth="1"/>
    <col min="3079" max="3080" width="8.54296875" style="1764" customWidth="1"/>
    <col min="3081" max="3081" width="9" style="1764" customWidth="1"/>
    <col min="3082" max="3083" width="8.54296875" style="1764" customWidth="1"/>
    <col min="3084" max="3084" width="9" style="1764" customWidth="1"/>
    <col min="3085" max="3086" width="8.54296875" style="1764" customWidth="1"/>
    <col min="3087" max="3087" width="9" style="1764" customWidth="1"/>
    <col min="3088" max="3089" width="8.54296875" style="1764" customWidth="1"/>
    <col min="3090" max="3090" width="9" style="1764" customWidth="1"/>
    <col min="3091" max="3092" width="8.54296875" style="1764" customWidth="1"/>
    <col min="3093" max="3093" width="9" style="1764" customWidth="1"/>
    <col min="3094" max="3095" width="8.54296875" style="1764" customWidth="1"/>
    <col min="3096" max="3096" width="9" style="1764" customWidth="1"/>
    <col min="3097" max="3327" width="9.1796875" style="1764"/>
    <col min="3328" max="3328" width="3.7265625" style="1764" customWidth="1"/>
    <col min="3329" max="3329" width="12.7265625" style="1764" customWidth="1"/>
    <col min="3330" max="3330" width="3.7265625" style="1764" customWidth="1"/>
    <col min="3331" max="3331" width="20.7265625" style="1764" customWidth="1"/>
    <col min="3332" max="3333" width="8.54296875" style="1764" customWidth="1"/>
    <col min="3334" max="3334" width="9" style="1764" customWidth="1"/>
    <col min="3335" max="3336" width="8.54296875" style="1764" customWidth="1"/>
    <col min="3337" max="3337" width="9" style="1764" customWidth="1"/>
    <col min="3338" max="3339" width="8.54296875" style="1764" customWidth="1"/>
    <col min="3340" max="3340" width="9" style="1764" customWidth="1"/>
    <col min="3341" max="3342" width="8.54296875" style="1764" customWidth="1"/>
    <col min="3343" max="3343" width="9" style="1764" customWidth="1"/>
    <col min="3344" max="3345" width="8.54296875" style="1764" customWidth="1"/>
    <col min="3346" max="3346" width="9" style="1764" customWidth="1"/>
    <col min="3347" max="3348" width="8.54296875" style="1764" customWidth="1"/>
    <col min="3349" max="3349" width="9" style="1764" customWidth="1"/>
    <col min="3350" max="3351" width="8.54296875" style="1764" customWidth="1"/>
    <col min="3352" max="3352" width="9" style="1764" customWidth="1"/>
    <col min="3353" max="3583" width="9.1796875" style="1764"/>
    <col min="3584" max="3584" width="3.7265625" style="1764" customWidth="1"/>
    <col min="3585" max="3585" width="12.7265625" style="1764" customWidth="1"/>
    <col min="3586" max="3586" width="3.7265625" style="1764" customWidth="1"/>
    <col min="3587" max="3587" width="20.7265625" style="1764" customWidth="1"/>
    <col min="3588" max="3589" width="8.54296875" style="1764" customWidth="1"/>
    <col min="3590" max="3590" width="9" style="1764" customWidth="1"/>
    <col min="3591" max="3592" width="8.54296875" style="1764" customWidth="1"/>
    <col min="3593" max="3593" width="9" style="1764" customWidth="1"/>
    <col min="3594" max="3595" width="8.54296875" style="1764" customWidth="1"/>
    <col min="3596" max="3596" width="9" style="1764" customWidth="1"/>
    <col min="3597" max="3598" width="8.54296875" style="1764" customWidth="1"/>
    <col min="3599" max="3599" width="9" style="1764" customWidth="1"/>
    <col min="3600" max="3601" width="8.54296875" style="1764" customWidth="1"/>
    <col min="3602" max="3602" width="9" style="1764" customWidth="1"/>
    <col min="3603" max="3604" width="8.54296875" style="1764" customWidth="1"/>
    <col min="3605" max="3605" width="9" style="1764" customWidth="1"/>
    <col min="3606" max="3607" width="8.54296875" style="1764" customWidth="1"/>
    <col min="3608" max="3608" width="9" style="1764" customWidth="1"/>
    <col min="3609" max="3839" width="9.1796875" style="1764"/>
    <col min="3840" max="3840" width="3.7265625" style="1764" customWidth="1"/>
    <col min="3841" max="3841" width="12.7265625" style="1764" customWidth="1"/>
    <col min="3842" max="3842" width="3.7265625" style="1764" customWidth="1"/>
    <col min="3843" max="3843" width="20.7265625" style="1764" customWidth="1"/>
    <col min="3844" max="3845" width="8.54296875" style="1764" customWidth="1"/>
    <col min="3846" max="3846" width="9" style="1764" customWidth="1"/>
    <col min="3847" max="3848" width="8.54296875" style="1764" customWidth="1"/>
    <col min="3849" max="3849" width="9" style="1764" customWidth="1"/>
    <col min="3850" max="3851" width="8.54296875" style="1764" customWidth="1"/>
    <col min="3852" max="3852" width="9" style="1764" customWidth="1"/>
    <col min="3853" max="3854" width="8.54296875" style="1764" customWidth="1"/>
    <col min="3855" max="3855" width="9" style="1764" customWidth="1"/>
    <col min="3856" max="3857" width="8.54296875" style="1764" customWidth="1"/>
    <col min="3858" max="3858" width="9" style="1764" customWidth="1"/>
    <col min="3859" max="3860" width="8.54296875" style="1764" customWidth="1"/>
    <col min="3861" max="3861" width="9" style="1764" customWidth="1"/>
    <col min="3862" max="3863" width="8.54296875" style="1764" customWidth="1"/>
    <col min="3864" max="3864" width="9" style="1764" customWidth="1"/>
    <col min="3865" max="4095" width="9.1796875" style="1764"/>
    <col min="4096" max="4096" width="3.7265625" style="1764" customWidth="1"/>
    <col min="4097" max="4097" width="12.7265625" style="1764" customWidth="1"/>
    <col min="4098" max="4098" width="3.7265625" style="1764" customWidth="1"/>
    <col min="4099" max="4099" width="20.7265625" style="1764" customWidth="1"/>
    <col min="4100" max="4101" width="8.54296875" style="1764" customWidth="1"/>
    <col min="4102" max="4102" width="9" style="1764" customWidth="1"/>
    <col min="4103" max="4104" width="8.54296875" style="1764" customWidth="1"/>
    <col min="4105" max="4105" width="9" style="1764" customWidth="1"/>
    <col min="4106" max="4107" width="8.54296875" style="1764" customWidth="1"/>
    <col min="4108" max="4108" width="9" style="1764" customWidth="1"/>
    <col min="4109" max="4110" width="8.54296875" style="1764" customWidth="1"/>
    <col min="4111" max="4111" width="9" style="1764" customWidth="1"/>
    <col min="4112" max="4113" width="8.54296875" style="1764" customWidth="1"/>
    <col min="4114" max="4114" width="9" style="1764" customWidth="1"/>
    <col min="4115" max="4116" width="8.54296875" style="1764" customWidth="1"/>
    <col min="4117" max="4117" width="9" style="1764" customWidth="1"/>
    <col min="4118" max="4119" width="8.54296875" style="1764" customWidth="1"/>
    <col min="4120" max="4120" width="9" style="1764" customWidth="1"/>
    <col min="4121" max="4351" width="9.1796875" style="1764"/>
    <col min="4352" max="4352" width="3.7265625" style="1764" customWidth="1"/>
    <col min="4353" max="4353" width="12.7265625" style="1764" customWidth="1"/>
    <col min="4354" max="4354" width="3.7265625" style="1764" customWidth="1"/>
    <col min="4355" max="4355" width="20.7265625" style="1764" customWidth="1"/>
    <col min="4356" max="4357" width="8.54296875" style="1764" customWidth="1"/>
    <col min="4358" max="4358" width="9" style="1764" customWidth="1"/>
    <col min="4359" max="4360" width="8.54296875" style="1764" customWidth="1"/>
    <col min="4361" max="4361" width="9" style="1764" customWidth="1"/>
    <col min="4362" max="4363" width="8.54296875" style="1764" customWidth="1"/>
    <col min="4364" max="4364" width="9" style="1764" customWidth="1"/>
    <col min="4365" max="4366" width="8.54296875" style="1764" customWidth="1"/>
    <col min="4367" max="4367" width="9" style="1764" customWidth="1"/>
    <col min="4368" max="4369" width="8.54296875" style="1764" customWidth="1"/>
    <col min="4370" max="4370" width="9" style="1764" customWidth="1"/>
    <col min="4371" max="4372" width="8.54296875" style="1764" customWidth="1"/>
    <col min="4373" max="4373" width="9" style="1764" customWidth="1"/>
    <col min="4374" max="4375" width="8.54296875" style="1764" customWidth="1"/>
    <col min="4376" max="4376" width="9" style="1764" customWidth="1"/>
    <col min="4377" max="4607" width="9.1796875" style="1764"/>
    <col min="4608" max="4608" width="3.7265625" style="1764" customWidth="1"/>
    <col min="4609" max="4609" width="12.7265625" style="1764" customWidth="1"/>
    <col min="4610" max="4610" width="3.7265625" style="1764" customWidth="1"/>
    <col min="4611" max="4611" width="20.7265625" style="1764" customWidth="1"/>
    <col min="4612" max="4613" width="8.54296875" style="1764" customWidth="1"/>
    <col min="4614" max="4614" width="9" style="1764" customWidth="1"/>
    <col min="4615" max="4616" width="8.54296875" style="1764" customWidth="1"/>
    <col min="4617" max="4617" width="9" style="1764" customWidth="1"/>
    <col min="4618" max="4619" width="8.54296875" style="1764" customWidth="1"/>
    <col min="4620" max="4620" width="9" style="1764" customWidth="1"/>
    <col min="4621" max="4622" width="8.54296875" style="1764" customWidth="1"/>
    <col min="4623" max="4623" width="9" style="1764" customWidth="1"/>
    <col min="4624" max="4625" width="8.54296875" style="1764" customWidth="1"/>
    <col min="4626" max="4626" width="9" style="1764" customWidth="1"/>
    <col min="4627" max="4628" width="8.54296875" style="1764" customWidth="1"/>
    <col min="4629" max="4629" width="9" style="1764" customWidth="1"/>
    <col min="4630" max="4631" width="8.54296875" style="1764" customWidth="1"/>
    <col min="4632" max="4632" width="9" style="1764" customWidth="1"/>
    <col min="4633" max="4863" width="9.1796875" style="1764"/>
    <col min="4864" max="4864" width="3.7265625" style="1764" customWidth="1"/>
    <col min="4865" max="4865" width="12.7265625" style="1764" customWidth="1"/>
    <col min="4866" max="4866" width="3.7265625" style="1764" customWidth="1"/>
    <col min="4867" max="4867" width="20.7265625" style="1764" customWidth="1"/>
    <col min="4868" max="4869" width="8.54296875" style="1764" customWidth="1"/>
    <col min="4870" max="4870" width="9" style="1764" customWidth="1"/>
    <col min="4871" max="4872" width="8.54296875" style="1764" customWidth="1"/>
    <col min="4873" max="4873" width="9" style="1764" customWidth="1"/>
    <col min="4874" max="4875" width="8.54296875" style="1764" customWidth="1"/>
    <col min="4876" max="4876" width="9" style="1764" customWidth="1"/>
    <col min="4877" max="4878" width="8.54296875" style="1764" customWidth="1"/>
    <col min="4879" max="4879" width="9" style="1764" customWidth="1"/>
    <col min="4880" max="4881" width="8.54296875" style="1764" customWidth="1"/>
    <col min="4882" max="4882" width="9" style="1764" customWidth="1"/>
    <col min="4883" max="4884" width="8.54296875" style="1764" customWidth="1"/>
    <col min="4885" max="4885" width="9" style="1764" customWidth="1"/>
    <col min="4886" max="4887" width="8.54296875" style="1764" customWidth="1"/>
    <col min="4888" max="4888" width="9" style="1764" customWidth="1"/>
    <col min="4889" max="5119" width="9.1796875" style="1764"/>
    <col min="5120" max="5120" width="3.7265625" style="1764" customWidth="1"/>
    <col min="5121" max="5121" width="12.7265625" style="1764" customWidth="1"/>
    <col min="5122" max="5122" width="3.7265625" style="1764" customWidth="1"/>
    <col min="5123" max="5123" width="20.7265625" style="1764" customWidth="1"/>
    <col min="5124" max="5125" width="8.54296875" style="1764" customWidth="1"/>
    <col min="5126" max="5126" width="9" style="1764" customWidth="1"/>
    <col min="5127" max="5128" width="8.54296875" style="1764" customWidth="1"/>
    <col min="5129" max="5129" width="9" style="1764" customWidth="1"/>
    <col min="5130" max="5131" width="8.54296875" style="1764" customWidth="1"/>
    <col min="5132" max="5132" width="9" style="1764" customWidth="1"/>
    <col min="5133" max="5134" width="8.54296875" style="1764" customWidth="1"/>
    <col min="5135" max="5135" width="9" style="1764" customWidth="1"/>
    <col min="5136" max="5137" width="8.54296875" style="1764" customWidth="1"/>
    <col min="5138" max="5138" width="9" style="1764" customWidth="1"/>
    <col min="5139" max="5140" width="8.54296875" style="1764" customWidth="1"/>
    <col min="5141" max="5141" width="9" style="1764" customWidth="1"/>
    <col min="5142" max="5143" width="8.54296875" style="1764" customWidth="1"/>
    <col min="5144" max="5144" width="9" style="1764" customWidth="1"/>
    <col min="5145" max="5375" width="9.1796875" style="1764"/>
    <col min="5376" max="5376" width="3.7265625" style="1764" customWidth="1"/>
    <col min="5377" max="5377" width="12.7265625" style="1764" customWidth="1"/>
    <col min="5378" max="5378" width="3.7265625" style="1764" customWidth="1"/>
    <col min="5379" max="5379" width="20.7265625" style="1764" customWidth="1"/>
    <col min="5380" max="5381" width="8.54296875" style="1764" customWidth="1"/>
    <col min="5382" max="5382" width="9" style="1764" customWidth="1"/>
    <col min="5383" max="5384" width="8.54296875" style="1764" customWidth="1"/>
    <col min="5385" max="5385" width="9" style="1764" customWidth="1"/>
    <col min="5386" max="5387" width="8.54296875" style="1764" customWidth="1"/>
    <col min="5388" max="5388" width="9" style="1764" customWidth="1"/>
    <col min="5389" max="5390" width="8.54296875" style="1764" customWidth="1"/>
    <col min="5391" max="5391" width="9" style="1764" customWidth="1"/>
    <col min="5392" max="5393" width="8.54296875" style="1764" customWidth="1"/>
    <col min="5394" max="5394" width="9" style="1764" customWidth="1"/>
    <col min="5395" max="5396" width="8.54296875" style="1764" customWidth="1"/>
    <col min="5397" max="5397" width="9" style="1764" customWidth="1"/>
    <col min="5398" max="5399" width="8.54296875" style="1764" customWidth="1"/>
    <col min="5400" max="5400" width="9" style="1764" customWidth="1"/>
    <col min="5401" max="5631" width="9.1796875" style="1764"/>
    <col min="5632" max="5632" width="3.7265625" style="1764" customWidth="1"/>
    <col min="5633" max="5633" width="12.7265625" style="1764" customWidth="1"/>
    <col min="5634" max="5634" width="3.7265625" style="1764" customWidth="1"/>
    <col min="5635" max="5635" width="20.7265625" style="1764" customWidth="1"/>
    <col min="5636" max="5637" width="8.54296875" style="1764" customWidth="1"/>
    <col min="5638" max="5638" width="9" style="1764" customWidth="1"/>
    <col min="5639" max="5640" width="8.54296875" style="1764" customWidth="1"/>
    <col min="5641" max="5641" width="9" style="1764" customWidth="1"/>
    <col min="5642" max="5643" width="8.54296875" style="1764" customWidth="1"/>
    <col min="5644" max="5644" width="9" style="1764" customWidth="1"/>
    <col min="5645" max="5646" width="8.54296875" style="1764" customWidth="1"/>
    <col min="5647" max="5647" width="9" style="1764" customWidth="1"/>
    <col min="5648" max="5649" width="8.54296875" style="1764" customWidth="1"/>
    <col min="5650" max="5650" width="9" style="1764" customWidth="1"/>
    <col min="5651" max="5652" width="8.54296875" style="1764" customWidth="1"/>
    <col min="5653" max="5653" width="9" style="1764" customWidth="1"/>
    <col min="5654" max="5655" width="8.54296875" style="1764" customWidth="1"/>
    <col min="5656" max="5656" width="9" style="1764" customWidth="1"/>
    <col min="5657" max="5887" width="9.1796875" style="1764"/>
    <col min="5888" max="5888" width="3.7265625" style="1764" customWidth="1"/>
    <col min="5889" max="5889" width="12.7265625" style="1764" customWidth="1"/>
    <col min="5890" max="5890" width="3.7265625" style="1764" customWidth="1"/>
    <col min="5891" max="5891" width="20.7265625" style="1764" customWidth="1"/>
    <col min="5892" max="5893" width="8.54296875" style="1764" customWidth="1"/>
    <col min="5894" max="5894" width="9" style="1764" customWidth="1"/>
    <col min="5895" max="5896" width="8.54296875" style="1764" customWidth="1"/>
    <col min="5897" max="5897" width="9" style="1764" customWidth="1"/>
    <col min="5898" max="5899" width="8.54296875" style="1764" customWidth="1"/>
    <col min="5900" max="5900" width="9" style="1764" customWidth="1"/>
    <col min="5901" max="5902" width="8.54296875" style="1764" customWidth="1"/>
    <col min="5903" max="5903" width="9" style="1764" customWidth="1"/>
    <col min="5904" max="5905" width="8.54296875" style="1764" customWidth="1"/>
    <col min="5906" max="5906" width="9" style="1764" customWidth="1"/>
    <col min="5907" max="5908" width="8.54296875" style="1764" customWidth="1"/>
    <col min="5909" max="5909" width="9" style="1764" customWidth="1"/>
    <col min="5910" max="5911" width="8.54296875" style="1764" customWidth="1"/>
    <col min="5912" max="5912" width="9" style="1764" customWidth="1"/>
    <col min="5913" max="6143" width="9.1796875" style="1764"/>
    <col min="6144" max="6144" width="3.7265625" style="1764" customWidth="1"/>
    <col min="6145" max="6145" width="12.7265625" style="1764" customWidth="1"/>
    <col min="6146" max="6146" width="3.7265625" style="1764" customWidth="1"/>
    <col min="6147" max="6147" width="20.7265625" style="1764" customWidth="1"/>
    <col min="6148" max="6149" width="8.54296875" style="1764" customWidth="1"/>
    <col min="6150" max="6150" width="9" style="1764" customWidth="1"/>
    <col min="6151" max="6152" width="8.54296875" style="1764" customWidth="1"/>
    <col min="6153" max="6153" width="9" style="1764" customWidth="1"/>
    <col min="6154" max="6155" width="8.54296875" style="1764" customWidth="1"/>
    <col min="6156" max="6156" width="9" style="1764" customWidth="1"/>
    <col min="6157" max="6158" width="8.54296875" style="1764" customWidth="1"/>
    <col min="6159" max="6159" width="9" style="1764" customWidth="1"/>
    <col min="6160" max="6161" width="8.54296875" style="1764" customWidth="1"/>
    <col min="6162" max="6162" width="9" style="1764" customWidth="1"/>
    <col min="6163" max="6164" width="8.54296875" style="1764" customWidth="1"/>
    <col min="6165" max="6165" width="9" style="1764" customWidth="1"/>
    <col min="6166" max="6167" width="8.54296875" style="1764" customWidth="1"/>
    <col min="6168" max="6168" width="9" style="1764" customWidth="1"/>
    <col min="6169" max="6399" width="9.1796875" style="1764"/>
    <col min="6400" max="6400" width="3.7265625" style="1764" customWidth="1"/>
    <col min="6401" max="6401" width="12.7265625" style="1764" customWidth="1"/>
    <col min="6402" max="6402" width="3.7265625" style="1764" customWidth="1"/>
    <col min="6403" max="6403" width="20.7265625" style="1764" customWidth="1"/>
    <col min="6404" max="6405" width="8.54296875" style="1764" customWidth="1"/>
    <col min="6406" max="6406" width="9" style="1764" customWidth="1"/>
    <col min="6407" max="6408" width="8.54296875" style="1764" customWidth="1"/>
    <col min="6409" max="6409" width="9" style="1764" customWidth="1"/>
    <col min="6410" max="6411" width="8.54296875" style="1764" customWidth="1"/>
    <col min="6412" max="6412" width="9" style="1764" customWidth="1"/>
    <col min="6413" max="6414" width="8.54296875" style="1764" customWidth="1"/>
    <col min="6415" max="6415" width="9" style="1764" customWidth="1"/>
    <col min="6416" max="6417" width="8.54296875" style="1764" customWidth="1"/>
    <col min="6418" max="6418" width="9" style="1764" customWidth="1"/>
    <col min="6419" max="6420" width="8.54296875" style="1764" customWidth="1"/>
    <col min="6421" max="6421" width="9" style="1764" customWidth="1"/>
    <col min="6422" max="6423" width="8.54296875" style="1764" customWidth="1"/>
    <col min="6424" max="6424" width="9" style="1764" customWidth="1"/>
    <col min="6425" max="6655" width="9.1796875" style="1764"/>
    <col min="6656" max="6656" width="3.7265625" style="1764" customWidth="1"/>
    <col min="6657" max="6657" width="12.7265625" style="1764" customWidth="1"/>
    <col min="6658" max="6658" width="3.7265625" style="1764" customWidth="1"/>
    <col min="6659" max="6659" width="20.7265625" style="1764" customWidth="1"/>
    <col min="6660" max="6661" width="8.54296875" style="1764" customWidth="1"/>
    <col min="6662" max="6662" width="9" style="1764" customWidth="1"/>
    <col min="6663" max="6664" width="8.54296875" style="1764" customWidth="1"/>
    <col min="6665" max="6665" width="9" style="1764" customWidth="1"/>
    <col min="6666" max="6667" width="8.54296875" style="1764" customWidth="1"/>
    <col min="6668" max="6668" width="9" style="1764" customWidth="1"/>
    <col min="6669" max="6670" width="8.54296875" style="1764" customWidth="1"/>
    <col min="6671" max="6671" width="9" style="1764" customWidth="1"/>
    <col min="6672" max="6673" width="8.54296875" style="1764" customWidth="1"/>
    <col min="6674" max="6674" width="9" style="1764" customWidth="1"/>
    <col min="6675" max="6676" width="8.54296875" style="1764" customWidth="1"/>
    <col min="6677" max="6677" width="9" style="1764" customWidth="1"/>
    <col min="6678" max="6679" width="8.54296875" style="1764" customWidth="1"/>
    <col min="6680" max="6680" width="9" style="1764" customWidth="1"/>
    <col min="6681" max="6911" width="9.1796875" style="1764"/>
    <col min="6912" max="6912" width="3.7265625" style="1764" customWidth="1"/>
    <col min="6913" max="6913" width="12.7265625" style="1764" customWidth="1"/>
    <col min="6914" max="6914" width="3.7265625" style="1764" customWidth="1"/>
    <col min="6915" max="6915" width="20.7265625" style="1764" customWidth="1"/>
    <col min="6916" max="6917" width="8.54296875" style="1764" customWidth="1"/>
    <col min="6918" max="6918" width="9" style="1764" customWidth="1"/>
    <col min="6919" max="6920" width="8.54296875" style="1764" customWidth="1"/>
    <col min="6921" max="6921" width="9" style="1764" customWidth="1"/>
    <col min="6922" max="6923" width="8.54296875" style="1764" customWidth="1"/>
    <col min="6924" max="6924" width="9" style="1764" customWidth="1"/>
    <col min="6925" max="6926" width="8.54296875" style="1764" customWidth="1"/>
    <col min="6927" max="6927" width="9" style="1764" customWidth="1"/>
    <col min="6928" max="6929" width="8.54296875" style="1764" customWidth="1"/>
    <col min="6930" max="6930" width="9" style="1764" customWidth="1"/>
    <col min="6931" max="6932" width="8.54296875" style="1764" customWidth="1"/>
    <col min="6933" max="6933" width="9" style="1764" customWidth="1"/>
    <col min="6934" max="6935" width="8.54296875" style="1764" customWidth="1"/>
    <col min="6936" max="6936" width="9" style="1764" customWidth="1"/>
    <col min="6937" max="7167" width="9.1796875" style="1764"/>
    <col min="7168" max="7168" width="3.7265625" style="1764" customWidth="1"/>
    <col min="7169" max="7169" width="12.7265625" style="1764" customWidth="1"/>
    <col min="7170" max="7170" width="3.7265625" style="1764" customWidth="1"/>
    <col min="7171" max="7171" width="20.7265625" style="1764" customWidth="1"/>
    <col min="7172" max="7173" width="8.54296875" style="1764" customWidth="1"/>
    <col min="7174" max="7174" width="9" style="1764" customWidth="1"/>
    <col min="7175" max="7176" width="8.54296875" style="1764" customWidth="1"/>
    <col min="7177" max="7177" width="9" style="1764" customWidth="1"/>
    <col min="7178" max="7179" width="8.54296875" style="1764" customWidth="1"/>
    <col min="7180" max="7180" width="9" style="1764" customWidth="1"/>
    <col min="7181" max="7182" width="8.54296875" style="1764" customWidth="1"/>
    <col min="7183" max="7183" width="9" style="1764" customWidth="1"/>
    <col min="7184" max="7185" width="8.54296875" style="1764" customWidth="1"/>
    <col min="7186" max="7186" width="9" style="1764" customWidth="1"/>
    <col min="7187" max="7188" width="8.54296875" style="1764" customWidth="1"/>
    <col min="7189" max="7189" width="9" style="1764" customWidth="1"/>
    <col min="7190" max="7191" width="8.54296875" style="1764" customWidth="1"/>
    <col min="7192" max="7192" width="9" style="1764" customWidth="1"/>
    <col min="7193" max="7423" width="9.1796875" style="1764"/>
    <col min="7424" max="7424" width="3.7265625" style="1764" customWidth="1"/>
    <col min="7425" max="7425" width="12.7265625" style="1764" customWidth="1"/>
    <col min="7426" max="7426" width="3.7265625" style="1764" customWidth="1"/>
    <col min="7427" max="7427" width="20.7265625" style="1764" customWidth="1"/>
    <col min="7428" max="7429" width="8.54296875" style="1764" customWidth="1"/>
    <col min="7430" max="7430" width="9" style="1764" customWidth="1"/>
    <col min="7431" max="7432" width="8.54296875" style="1764" customWidth="1"/>
    <col min="7433" max="7433" width="9" style="1764" customWidth="1"/>
    <col min="7434" max="7435" width="8.54296875" style="1764" customWidth="1"/>
    <col min="7436" max="7436" width="9" style="1764" customWidth="1"/>
    <col min="7437" max="7438" width="8.54296875" style="1764" customWidth="1"/>
    <col min="7439" max="7439" width="9" style="1764" customWidth="1"/>
    <col min="7440" max="7441" width="8.54296875" style="1764" customWidth="1"/>
    <col min="7442" max="7442" width="9" style="1764" customWidth="1"/>
    <col min="7443" max="7444" width="8.54296875" style="1764" customWidth="1"/>
    <col min="7445" max="7445" width="9" style="1764" customWidth="1"/>
    <col min="7446" max="7447" width="8.54296875" style="1764" customWidth="1"/>
    <col min="7448" max="7448" width="9" style="1764" customWidth="1"/>
    <col min="7449" max="7679" width="9.1796875" style="1764"/>
    <col min="7680" max="7680" width="3.7265625" style="1764" customWidth="1"/>
    <col min="7681" max="7681" width="12.7265625" style="1764" customWidth="1"/>
    <col min="7682" max="7682" width="3.7265625" style="1764" customWidth="1"/>
    <col min="7683" max="7683" width="20.7265625" style="1764" customWidth="1"/>
    <col min="7684" max="7685" width="8.54296875" style="1764" customWidth="1"/>
    <col min="7686" max="7686" width="9" style="1764" customWidth="1"/>
    <col min="7687" max="7688" width="8.54296875" style="1764" customWidth="1"/>
    <col min="7689" max="7689" width="9" style="1764" customWidth="1"/>
    <col min="7690" max="7691" width="8.54296875" style="1764" customWidth="1"/>
    <col min="7692" max="7692" width="9" style="1764" customWidth="1"/>
    <col min="7693" max="7694" width="8.54296875" style="1764" customWidth="1"/>
    <col min="7695" max="7695" width="9" style="1764" customWidth="1"/>
    <col min="7696" max="7697" width="8.54296875" style="1764" customWidth="1"/>
    <col min="7698" max="7698" width="9" style="1764" customWidth="1"/>
    <col min="7699" max="7700" width="8.54296875" style="1764" customWidth="1"/>
    <col min="7701" max="7701" width="9" style="1764" customWidth="1"/>
    <col min="7702" max="7703" width="8.54296875" style="1764" customWidth="1"/>
    <col min="7704" max="7704" width="9" style="1764" customWidth="1"/>
    <col min="7705" max="7935" width="9.1796875" style="1764"/>
    <col min="7936" max="7936" width="3.7265625" style="1764" customWidth="1"/>
    <col min="7937" max="7937" width="12.7265625" style="1764" customWidth="1"/>
    <col min="7938" max="7938" width="3.7265625" style="1764" customWidth="1"/>
    <col min="7939" max="7939" width="20.7265625" style="1764" customWidth="1"/>
    <col min="7940" max="7941" width="8.54296875" style="1764" customWidth="1"/>
    <col min="7942" max="7942" width="9" style="1764" customWidth="1"/>
    <col min="7943" max="7944" width="8.54296875" style="1764" customWidth="1"/>
    <col min="7945" max="7945" width="9" style="1764" customWidth="1"/>
    <col min="7946" max="7947" width="8.54296875" style="1764" customWidth="1"/>
    <col min="7948" max="7948" width="9" style="1764" customWidth="1"/>
    <col min="7949" max="7950" width="8.54296875" style="1764" customWidth="1"/>
    <col min="7951" max="7951" width="9" style="1764" customWidth="1"/>
    <col min="7952" max="7953" width="8.54296875" style="1764" customWidth="1"/>
    <col min="7954" max="7954" width="9" style="1764" customWidth="1"/>
    <col min="7955" max="7956" width="8.54296875" style="1764" customWidth="1"/>
    <col min="7957" max="7957" width="9" style="1764" customWidth="1"/>
    <col min="7958" max="7959" width="8.54296875" style="1764" customWidth="1"/>
    <col min="7960" max="7960" width="9" style="1764" customWidth="1"/>
    <col min="7961" max="8191" width="9.1796875" style="1764"/>
    <col min="8192" max="8192" width="3.7265625" style="1764" customWidth="1"/>
    <col min="8193" max="8193" width="12.7265625" style="1764" customWidth="1"/>
    <col min="8194" max="8194" width="3.7265625" style="1764" customWidth="1"/>
    <col min="8195" max="8195" width="20.7265625" style="1764" customWidth="1"/>
    <col min="8196" max="8197" width="8.54296875" style="1764" customWidth="1"/>
    <col min="8198" max="8198" width="9" style="1764" customWidth="1"/>
    <col min="8199" max="8200" width="8.54296875" style="1764" customWidth="1"/>
    <col min="8201" max="8201" width="9" style="1764" customWidth="1"/>
    <col min="8202" max="8203" width="8.54296875" style="1764" customWidth="1"/>
    <col min="8204" max="8204" width="9" style="1764" customWidth="1"/>
    <col min="8205" max="8206" width="8.54296875" style="1764" customWidth="1"/>
    <col min="8207" max="8207" width="9" style="1764" customWidth="1"/>
    <col min="8208" max="8209" width="8.54296875" style="1764" customWidth="1"/>
    <col min="8210" max="8210" width="9" style="1764" customWidth="1"/>
    <col min="8211" max="8212" width="8.54296875" style="1764" customWidth="1"/>
    <col min="8213" max="8213" width="9" style="1764" customWidth="1"/>
    <col min="8214" max="8215" width="8.54296875" style="1764" customWidth="1"/>
    <col min="8216" max="8216" width="9" style="1764" customWidth="1"/>
    <col min="8217" max="8447" width="9.1796875" style="1764"/>
    <col min="8448" max="8448" width="3.7265625" style="1764" customWidth="1"/>
    <col min="8449" max="8449" width="12.7265625" style="1764" customWidth="1"/>
    <col min="8450" max="8450" width="3.7265625" style="1764" customWidth="1"/>
    <col min="8451" max="8451" width="20.7265625" style="1764" customWidth="1"/>
    <col min="8452" max="8453" width="8.54296875" style="1764" customWidth="1"/>
    <col min="8454" max="8454" width="9" style="1764" customWidth="1"/>
    <col min="8455" max="8456" width="8.54296875" style="1764" customWidth="1"/>
    <col min="8457" max="8457" width="9" style="1764" customWidth="1"/>
    <col min="8458" max="8459" width="8.54296875" style="1764" customWidth="1"/>
    <col min="8460" max="8460" width="9" style="1764" customWidth="1"/>
    <col min="8461" max="8462" width="8.54296875" style="1764" customWidth="1"/>
    <col min="8463" max="8463" width="9" style="1764" customWidth="1"/>
    <col min="8464" max="8465" width="8.54296875" style="1764" customWidth="1"/>
    <col min="8466" max="8466" width="9" style="1764" customWidth="1"/>
    <col min="8467" max="8468" width="8.54296875" style="1764" customWidth="1"/>
    <col min="8469" max="8469" width="9" style="1764" customWidth="1"/>
    <col min="8470" max="8471" width="8.54296875" style="1764" customWidth="1"/>
    <col min="8472" max="8472" width="9" style="1764" customWidth="1"/>
    <col min="8473" max="8703" width="9.1796875" style="1764"/>
    <col min="8704" max="8704" width="3.7265625" style="1764" customWidth="1"/>
    <col min="8705" max="8705" width="12.7265625" style="1764" customWidth="1"/>
    <col min="8706" max="8706" width="3.7265625" style="1764" customWidth="1"/>
    <col min="8707" max="8707" width="20.7265625" style="1764" customWidth="1"/>
    <col min="8708" max="8709" width="8.54296875" style="1764" customWidth="1"/>
    <col min="8710" max="8710" width="9" style="1764" customWidth="1"/>
    <col min="8711" max="8712" width="8.54296875" style="1764" customWidth="1"/>
    <col min="8713" max="8713" width="9" style="1764" customWidth="1"/>
    <col min="8714" max="8715" width="8.54296875" style="1764" customWidth="1"/>
    <col min="8716" max="8716" width="9" style="1764" customWidth="1"/>
    <col min="8717" max="8718" width="8.54296875" style="1764" customWidth="1"/>
    <col min="8719" max="8719" width="9" style="1764" customWidth="1"/>
    <col min="8720" max="8721" width="8.54296875" style="1764" customWidth="1"/>
    <col min="8722" max="8722" width="9" style="1764" customWidth="1"/>
    <col min="8723" max="8724" width="8.54296875" style="1764" customWidth="1"/>
    <col min="8725" max="8725" width="9" style="1764" customWidth="1"/>
    <col min="8726" max="8727" width="8.54296875" style="1764" customWidth="1"/>
    <col min="8728" max="8728" width="9" style="1764" customWidth="1"/>
    <col min="8729" max="8959" width="9.1796875" style="1764"/>
    <col min="8960" max="8960" width="3.7265625" style="1764" customWidth="1"/>
    <col min="8961" max="8961" width="12.7265625" style="1764" customWidth="1"/>
    <col min="8962" max="8962" width="3.7265625" style="1764" customWidth="1"/>
    <col min="8963" max="8963" width="20.7265625" style="1764" customWidth="1"/>
    <col min="8964" max="8965" width="8.54296875" style="1764" customWidth="1"/>
    <col min="8966" max="8966" width="9" style="1764" customWidth="1"/>
    <col min="8967" max="8968" width="8.54296875" style="1764" customWidth="1"/>
    <col min="8969" max="8969" width="9" style="1764" customWidth="1"/>
    <col min="8970" max="8971" width="8.54296875" style="1764" customWidth="1"/>
    <col min="8972" max="8972" width="9" style="1764" customWidth="1"/>
    <col min="8973" max="8974" width="8.54296875" style="1764" customWidth="1"/>
    <col min="8975" max="8975" width="9" style="1764" customWidth="1"/>
    <col min="8976" max="8977" width="8.54296875" style="1764" customWidth="1"/>
    <col min="8978" max="8978" width="9" style="1764" customWidth="1"/>
    <col min="8979" max="8980" width="8.54296875" style="1764" customWidth="1"/>
    <col min="8981" max="8981" width="9" style="1764" customWidth="1"/>
    <col min="8982" max="8983" width="8.54296875" style="1764" customWidth="1"/>
    <col min="8984" max="8984" width="9" style="1764" customWidth="1"/>
    <col min="8985" max="9215" width="9.1796875" style="1764"/>
    <col min="9216" max="9216" width="3.7265625" style="1764" customWidth="1"/>
    <col min="9217" max="9217" width="12.7265625" style="1764" customWidth="1"/>
    <col min="9218" max="9218" width="3.7265625" style="1764" customWidth="1"/>
    <col min="9219" max="9219" width="20.7265625" style="1764" customWidth="1"/>
    <col min="9220" max="9221" width="8.54296875" style="1764" customWidth="1"/>
    <col min="9222" max="9222" width="9" style="1764" customWidth="1"/>
    <col min="9223" max="9224" width="8.54296875" style="1764" customWidth="1"/>
    <col min="9225" max="9225" width="9" style="1764" customWidth="1"/>
    <col min="9226" max="9227" width="8.54296875" style="1764" customWidth="1"/>
    <col min="9228" max="9228" width="9" style="1764" customWidth="1"/>
    <col min="9229" max="9230" width="8.54296875" style="1764" customWidth="1"/>
    <col min="9231" max="9231" width="9" style="1764" customWidth="1"/>
    <col min="9232" max="9233" width="8.54296875" style="1764" customWidth="1"/>
    <col min="9234" max="9234" width="9" style="1764" customWidth="1"/>
    <col min="9235" max="9236" width="8.54296875" style="1764" customWidth="1"/>
    <col min="9237" max="9237" width="9" style="1764" customWidth="1"/>
    <col min="9238" max="9239" width="8.54296875" style="1764" customWidth="1"/>
    <col min="9240" max="9240" width="9" style="1764" customWidth="1"/>
    <col min="9241" max="9471" width="9.1796875" style="1764"/>
    <col min="9472" max="9472" width="3.7265625" style="1764" customWidth="1"/>
    <col min="9473" max="9473" width="12.7265625" style="1764" customWidth="1"/>
    <col min="9474" max="9474" width="3.7265625" style="1764" customWidth="1"/>
    <col min="9475" max="9475" width="20.7265625" style="1764" customWidth="1"/>
    <col min="9476" max="9477" width="8.54296875" style="1764" customWidth="1"/>
    <col min="9478" max="9478" width="9" style="1764" customWidth="1"/>
    <col min="9479" max="9480" width="8.54296875" style="1764" customWidth="1"/>
    <col min="9481" max="9481" width="9" style="1764" customWidth="1"/>
    <col min="9482" max="9483" width="8.54296875" style="1764" customWidth="1"/>
    <col min="9484" max="9484" width="9" style="1764" customWidth="1"/>
    <col min="9485" max="9486" width="8.54296875" style="1764" customWidth="1"/>
    <col min="9487" max="9487" width="9" style="1764" customWidth="1"/>
    <col min="9488" max="9489" width="8.54296875" style="1764" customWidth="1"/>
    <col min="9490" max="9490" width="9" style="1764" customWidth="1"/>
    <col min="9491" max="9492" width="8.54296875" style="1764" customWidth="1"/>
    <col min="9493" max="9493" width="9" style="1764" customWidth="1"/>
    <col min="9494" max="9495" width="8.54296875" style="1764" customWidth="1"/>
    <col min="9496" max="9496" width="9" style="1764" customWidth="1"/>
    <col min="9497" max="9727" width="9.1796875" style="1764"/>
    <col min="9728" max="9728" width="3.7265625" style="1764" customWidth="1"/>
    <col min="9729" max="9729" width="12.7265625" style="1764" customWidth="1"/>
    <col min="9730" max="9730" width="3.7265625" style="1764" customWidth="1"/>
    <col min="9731" max="9731" width="20.7265625" style="1764" customWidth="1"/>
    <col min="9732" max="9733" width="8.54296875" style="1764" customWidth="1"/>
    <col min="9734" max="9734" width="9" style="1764" customWidth="1"/>
    <col min="9735" max="9736" width="8.54296875" style="1764" customWidth="1"/>
    <col min="9737" max="9737" width="9" style="1764" customWidth="1"/>
    <col min="9738" max="9739" width="8.54296875" style="1764" customWidth="1"/>
    <col min="9740" max="9740" width="9" style="1764" customWidth="1"/>
    <col min="9741" max="9742" width="8.54296875" style="1764" customWidth="1"/>
    <col min="9743" max="9743" width="9" style="1764" customWidth="1"/>
    <col min="9744" max="9745" width="8.54296875" style="1764" customWidth="1"/>
    <col min="9746" max="9746" width="9" style="1764" customWidth="1"/>
    <col min="9747" max="9748" width="8.54296875" style="1764" customWidth="1"/>
    <col min="9749" max="9749" width="9" style="1764" customWidth="1"/>
    <col min="9750" max="9751" width="8.54296875" style="1764" customWidth="1"/>
    <col min="9752" max="9752" width="9" style="1764" customWidth="1"/>
    <col min="9753" max="9983" width="9.1796875" style="1764"/>
    <col min="9984" max="9984" width="3.7265625" style="1764" customWidth="1"/>
    <col min="9985" max="9985" width="12.7265625" style="1764" customWidth="1"/>
    <col min="9986" max="9986" width="3.7265625" style="1764" customWidth="1"/>
    <col min="9987" max="9987" width="20.7265625" style="1764" customWidth="1"/>
    <col min="9988" max="9989" width="8.54296875" style="1764" customWidth="1"/>
    <col min="9990" max="9990" width="9" style="1764" customWidth="1"/>
    <col min="9991" max="9992" width="8.54296875" style="1764" customWidth="1"/>
    <col min="9993" max="9993" width="9" style="1764" customWidth="1"/>
    <col min="9994" max="9995" width="8.54296875" style="1764" customWidth="1"/>
    <col min="9996" max="9996" width="9" style="1764" customWidth="1"/>
    <col min="9997" max="9998" width="8.54296875" style="1764" customWidth="1"/>
    <col min="9999" max="9999" width="9" style="1764" customWidth="1"/>
    <col min="10000" max="10001" width="8.54296875" style="1764" customWidth="1"/>
    <col min="10002" max="10002" width="9" style="1764" customWidth="1"/>
    <col min="10003" max="10004" width="8.54296875" style="1764" customWidth="1"/>
    <col min="10005" max="10005" width="9" style="1764" customWidth="1"/>
    <col min="10006" max="10007" width="8.54296875" style="1764" customWidth="1"/>
    <col min="10008" max="10008" width="9" style="1764" customWidth="1"/>
    <col min="10009" max="10239" width="9.1796875" style="1764"/>
    <col min="10240" max="10240" width="3.7265625" style="1764" customWidth="1"/>
    <col min="10241" max="10241" width="12.7265625" style="1764" customWidth="1"/>
    <col min="10242" max="10242" width="3.7265625" style="1764" customWidth="1"/>
    <col min="10243" max="10243" width="20.7265625" style="1764" customWidth="1"/>
    <col min="10244" max="10245" width="8.54296875" style="1764" customWidth="1"/>
    <col min="10246" max="10246" width="9" style="1764" customWidth="1"/>
    <col min="10247" max="10248" width="8.54296875" style="1764" customWidth="1"/>
    <col min="10249" max="10249" width="9" style="1764" customWidth="1"/>
    <col min="10250" max="10251" width="8.54296875" style="1764" customWidth="1"/>
    <col min="10252" max="10252" width="9" style="1764" customWidth="1"/>
    <col min="10253" max="10254" width="8.54296875" style="1764" customWidth="1"/>
    <col min="10255" max="10255" width="9" style="1764" customWidth="1"/>
    <col min="10256" max="10257" width="8.54296875" style="1764" customWidth="1"/>
    <col min="10258" max="10258" width="9" style="1764" customWidth="1"/>
    <col min="10259" max="10260" width="8.54296875" style="1764" customWidth="1"/>
    <col min="10261" max="10261" width="9" style="1764" customWidth="1"/>
    <col min="10262" max="10263" width="8.54296875" style="1764" customWidth="1"/>
    <col min="10264" max="10264" width="9" style="1764" customWidth="1"/>
    <col min="10265" max="10495" width="9.1796875" style="1764"/>
    <col min="10496" max="10496" width="3.7265625" style="1764" customWidth="1"/>
    <col min="10497" max="10497" width="12.7265625" style="1764" customWidth="1"/>
    <col min="10498" max="10498" width="3.7265625" style="1764" customWidth="1"/>
    <col min="10499" max="10499" width="20.7265625" style="1764" customWidth="1"/>
    <col min="10500" max="10501" width="8.54296875" style="1764" customWidth="1"/>
    <col min="10502" max="10502" width="9" style="1764" customWidth="1"/>
    <col min="10503" max="10504" width="8.54296875" style="1764" customWidth="1"/>
    <col min="10505" max="10505" width="9" style="1764" customWidth="1"/>
    <col min="10506" max="10507" width="8.54296875" style="1764" customWidth="1"/>
    <col min="10508" max="10508" width="9" style="1764" customWidth="1"/>
    <col min="10509" max="10510" width="8.54296875" style="1764" customWidth="1"/>
    <col min="10511" max="10511" width="9" style="1764" customWidth="1"/>
    <col min="10512" max="10513" width="8.54296875" style="1764" customWidth="1"/>
    <col min="10514" max="10514" width="9" style="1764" customWidth="1"/>
    <col min="10515" max="10516" width="8.54296875" style="1764" customWidth="1"/>
    <col min="10517" max="10517" width="9" style="1764" customWidth="1"/>
    <col min="10518" max="10519" width="8.54296875" style="1764" customWidth="1"/>
    <col min="10520" max="10520" width="9" style="1764" customWidth="1"/>
    <col min="10521" max="10751" width="9.1796875" style="1764"/>
    <col min="10752" max="10752" width="3.7265625" style="1764" customWidth="1"/>
    <col min="10753" max="10753" width="12.7265625" style="1764" customWidth="1"/>
    <col min="10754" max="10754" width="3.7265625" style="1764" customWidth="1"/>
    <col min="10755" max="10755" width="20.7265625" style="1764" customWidth="1"/>
    <col min="10756" max="10757" width="8.54296875" style="1764" customWidth="1"/>
    <col min="10758" max="10758" width="9" style="1764" customWidth="1"/>
    <col min="10759" max="10760" width="8.54296875" style="1764" customWidth="1"/>
    <col min="10761" max="10761" width="9" style="1764" customWidth="1"/>
    <col min="10762" max="10763" width="8.54296875" style="1764" customWidth="1"/>
    <col min="10764" max="10764" width="9" style="1764" customWidth="1"/>
    <col min="10765" max="10766" width="8.54296875" style="1764" customWidth="1"/>
    <col min="10767" max="10767" width="9" style="1764" customWidth="1"/>
    <col min="10768" max="10769" width="8.54296875" style="1764" customWidth="1"/>
    <col min="10770" max="10770" width="9" style="1764" customWidth="1"/>
    <col min="10771" max="10772" width="8.54296875" style="1764" customWidth="1"/>
    <col min="10773" max="10773" width="9" style="1764" customWidth="1"/>
    <col min="10774" max="10775" width="8.54296875" style="1764" customWidth="1"/>
    <col min="10776" max="10776" width="9" style="1764" customWidth="1"/>
    <col min="10777" max="11007" width="9.1796875" style="1764"/>
    <col min="11008" max="11008" width="3.7265625" style="1764" customWidth="1"/>
    <col min="11009" max="11009" width="12.7265625" style="1764" customWidth="1"/>
    <col min="11010" max="11010" width="3.7265625" style="1764" customWidth="1"/>
    <col min="11011" max="11011" width="20.7265625" style="1764" customWidth="1"/>
    <col min="11012" max="11013" width="8.54296875" style="1764" customWidth="1"/>
    <col min="11014" max="11014" width="9" style="1764" customWidth="1"/>
    <col min="11015" max="11016" width="8.54296875" style="1764" customWidth="1"/>
    <col min="11017" max="11017" width="9" style="1764" customWidth="1"/>
    <col min="11018" max="11019" width="8.54296875" style="1764" customWidth="1"/>
    <col min="11020" max="11020" width="9" style="1764" customWidth="1"/>
    <col min="11021" max="11022" width="8.54296875" style="1764" customWidth="1"/>
    <col min="11023" max="11023" width="9" style="1764" customWidth="1"/>
    <col min="11024" max="11025" width="8.54296875" style="1764" customWidth="1"/>
    <col min="11026" max="11026" width="9" style="1764" customWidth="1"/>
    <col min="11027" max="11028" width="8.54296875" style="1764" customWidth="1"/>
    <col min="11029" max="11029" width="9" style="1764" customWidth="1"/>
    <col min="11030" max="11031" width="8.54296875" style="1764" customWidth="1"/>
    <col min="11032" max="11032" width="9" style="1764" customWidth="1"/>
    <col min="11033" max="11263" width="9.1796875" style="1764"/>
    <col min="11264" max="11264" width="3.7265625" style="1764" customWidth="1"/>
    <col min="11265" max="11265" width="12.7265625" style="1764" customWidth="1"/>
    <col min="11266" max="11266" width="3.7265625" style="1764" customWidth="1"/>
    <col min="11267" max="11267" width="20.7265625" style="1764" customWidth="1"/>
    <col min="11268" max="11269" width="8.54296875" style="1764" customWidth="1"/>
    <col min="11270" max="11270" width="9" style="1764" customWidth="1"/>
    <col min="11271" max="11272" width="8.54296875" style="1764" customWidth="1"/>
    <col min="11273" max="11273" width="9" style="1764" customWidth="1"/>
    <col min="11274" max="11275" width="8.54296875" style="1764" customWidth="1"/>
    <col min="11276" max="11276" width="9" style="1764" customWidth="1"/>
    <col min="11277" max="11278" width="8.54296875" style="1764" customWidth="1"/>
    <col min="11279" max="11279" width="9" style="1764" customWidth="1"/>
    <col min="11280" max="11281" width="8.54296875" style="1764" customWidth="1"/>
    <col min="11282" max="11282" width="9" style="1764" customWidth="1"/>
    <col min="11283" max="11284" width="8.54296875" style="1764" customWidth="1"/>
    <col min="11285" max="11285" width="9" style="1764" customWidth="1"/>
    <col min="11286" max="11287" width="8.54296875" style="1764" customWidth="1"/>
    <col min="11288" max="11288" width="9" style="1764" customWidth="1"/>
    <col min="11289" max="11519" width="9.1796875" style="1764"/>
    <col min="11520" max="11520" width="3.7265625" style="1764" customWidth="1"/>
    <col min="11521" max="11521" width="12.7265625" style="1764" customWidth="1"/>
    <col min="11522" max="11522" width="3.7265625" style="1764" customWidth="1"/>
    <col min="11523" max="11523" width="20.7265625" style="1764" customWidth="1"/>
    <col min="11524" max="11525" width="8.54296875" style="1764" customWidth="1"/>
    <col min="11526" max="11526" width="9" style="1764" customWidth="1"/>
    <col min="11527" max="11528" width="8.54296875" style="1764" customWidth="1"/>
    <col min="11529" max="11529" width="9" style="1764" customWidth="1"/>
    <col min="11530" max="11531" width="8.54296875" style="1764" customWidth="1"/>
    <col min="11532" max="11532" width="9" style="1764" customWidth="1"/>
    <col min="11533" max="11534" width="8.54296875" style="1764" customWidth="1"/>
    <col min="11535" max="11535" width="9" style="1764" customWidth="1"/>
    <col min="11536" max="11537" width="8.54296875" style="1764" customWidth="1"/>
    <col min="11538" max="11538" width="9" style="1764" customWidth="1"/>
    <col min="11539" max="11540" width="8.54296875" style="1764" customWidth="1"/>
    <col min="11541" max="11541" width="9" style="1764" customWidth="1"/>
    <col min="11542" max="11543" width="8.54296875" style="1764" customWidth="1"/>
    <col min="11544" max="11544" width="9" style="1764" customWidth="1"/>
    <col min="11545" max="11775" width="9.1796875" style="1764"/>
    <col min="11776" max="11776" width="3.7265625" style="1764" customWidth="1"/>
    <col min="11777" max="11777" width="12.7265625" style="1764" customWidth="1"/>
    <col min="11778" max="11778" width="3.7265625" style="1764" customWidth="1"/>
    <col min="11779" max="11779" width="20.7265625" style="1764" customWidth="1"/>
    <col min="11780" max="11781" width="8.54296875" style="1764" customWidth="1"/>
    <col min="11782" max="11782" width="9" style="1764" customWidth="1"/>
    <col min="11783" max="11784" width="8.54296875" style="1764" customWidth="1"/>
    <col min="11785" max="11785" width="9" style="1764" customWidth="1"/>
    <col min="11786" max="11787" width="8.54296875" style="1764" customWidth="1"/>
    <col min="11788" max="11788" width="9" style="1764" customWidth="1"/>
    <col min="11789" max="11790" width="8.54296875" style="1764" customWidth="1"/>
    <col min="11791" max="11791" width="9" style="1764" customWidth="1"/>
    <col min="11792" max="11793" width="8.54296875" style="1764" customWidth="1"/>
    <col min="11794" max="11794" width="9" style="1764" customWidth="1"/>
    <col min="11795" max="11796" width="8.54296875" style="1764" customWidth="1"/>
    <col min="11797" max="11797" width="9" style="1764" customWidth="1"/>
    <col min="11798" max="11799" width="8.54296875" style="1764" customWidth="1"/>
    <col min="11800" max="11800" width="9" style="1764" customWidth="1"/>
    <col min="11801" max="12031" width="9.1796875" style="1764"/>
    <col min="12032" max="12032" width="3.7265625" style="1764" customWidth="1"/>
    <col min="12033" max="12033" width="12.7265625" style="1764" customWidth="1"/>
    <col min="12034" max="12034" width="3.7265625" style="1764" customWidth="1"/>
    <col min="12035" max="12035" width="20.7265625" style="1764" customWidth="1"/>
    <col min="12036" max="12037" width="8.54296875" style="1764" customWidth="1"/>
    <col min="12038" max="12038" width="9" style="1764" customWidth="1"/>
    <col min="12039" max="12040" width="8.54296875" style="1764" customWidth="1"/>
    <col min="12041" max="12041" width="9" style="1764" customWidth="1"/>
    <col min="12042" max="12043" width="8.54296875" style="1764" customWidth="1"/>
    <col min="12044" max="12044" width="9" style="1764" customWidth="1"/>
    <col min="12045" max="12046" width="8.54296875" style="1764" customWidth="1"/>
    <col min="12047" max="12047" width="9" style="1764" customWidth="1"/>
    <col min="12048" max="12049" width="8.54296875" style="1764" customWidth="1"/>
    <col min="12050" max="12050" width="9" style="1764" customWidth="1"/>
    <col min="12051" max="12052" width="8.54296875" style="1764" customWidth="1"/>
    <col min="12053" max="12053" width="9" style="1764" customWidth="1"/>
    <col min="12054" max="12055" width="8.54296875" style="1764" customWidth="1"/>
    <col min="12056" max="12056" width="9" style="1764" customWidth="1"/>
    <col min="12057" max="12287" width="9.1796875" style="1764"/>
    <col min="12288" max="12288" width="3.7265625" style="1764" customWidth="1"/>
    <col min="12289" max="12289" width="12.7265625" style="1764" customWidth="1"/>
    <col min="12290" max="12290" width="3.7265625" style="1764" customWidth="1"/>
    <col min="12291" max="12291" width="20.7265625" style="1764" customWidth="1"/>
    <col min="12292" max="12293" width="8.54296875" style="1764" customWidth="1"/>
    <col min="12294" max="12294" width="9" style="1764" customWidth="1"/>
    <col min="12295" max="12296" width="8.54296875" style="1764" customWidth="1"/>
    <col min="12297" max="12297" width="9" style="1764" customWidth="1"/>
    <col min="12298" max="12299" width="8.54296875" style="1764" customWidth="1"/>
    <col min="12300" max="12300" width="9" style="1764" customWidth="1"/>
    <col min="12301" max="12302" width="8.54296875" style="1764" customWidth="1"/>
    <col min="12303" max="12303" width="9" style="1764" customWidth="1"/>
    <col min="12304" max="12305" width="8.54296875" style="1764" customWidth="1"/>
    <col min="12306" max="12306" width="9" style="1764" customWidth="1"/>
    <col min="12307" max="12308" width="8.54296875" style="1764" customWidth="1"/>
    <col min="12309" max="12309" width="9" style="1764" customWidth="1"/>
    <col min="12310" max="12311" width="8.54296875" style="1764" customWidth="1"/>
    <col min="12312" max="12312" width="9" style="1764" customWidth="1"/>
    <col min="12313" max="12543" width="9.1796875" style="1764"/>
    <col min="12544" max="12544" width="3.7265625" style="1764" customWidth="1"/>
    <col min="12545" max="12545" width="12.7265625" style="1764" customWidth="1"/>
    <col min="12546" max="12546" width="3.7265625" style="1764" customWidth="1"/>
    <col min="12547" max="12547" width="20.7265625" style="1764" customWidth="1"/>
    <col min="12548" max="12549" width="8.54296875" style="1764" customWidth="1"/>
    <col min="12550" max="12550" width="9" style="1764" customWidth="1"/>
    <col min="12551" max="12552" width="8.54296875" style="1764" customWidth="1"/>
    <col min="12553" max="12553" width="9" style="1764" customWidth="1"/>
    <col min="12554" max="12555" width="8.54296875" style="1764" customWidth="1"/>
    <col min="12556" max="12556" width="9" style="1764" customWidth="1"/>
    <col min="12557" max="12558" width="8.54296875" style="1764" customWidth="1"/>
    <col min="12559" max="12559" width="9" style="1764" customWidth="1"/>
    <col min="12560" max="12561" width="8.54296875" style="1764" customWidth="1"/>
    <col min="12562" max="12562" width="9" style="1764" customWidth="1"/>
    <col min="12563" max="12564" width="8.54296875" style="1764" customWidth="1"/>
    <col min="12565" max="12565" width="9" style="1764" customWidth="1"/>
    <col min="12566" max="12567" width="8.54296875" style="1764" customWidth="1"/>
    <col min="12568" max="12568" width="9" style="1764" customWidth="1"/>
    <col min="12569" max="12799" width="9.1796875" style="1764"/>
    <col min="12800" max="12800" width="3.7265625" style="1764" customWidth="1"/>
    <col min="12801" max="12801" width="12.7265625" style="1764" customWidth="1"/>
    <col min="12802" max="12802" width="3.7265625" style="1764" customWidth="1"/>
    <col min="12803" max="12803" width="20.7265625" style="1764" customWidth="1"/>
    <col min="12804" max="12805" width="8.54296875" style="1764" customWidth="1"/>
    <col min="12806" max="12806" width="9" style="1764" customWidth="1"/>
    <col min="12807" max="12808" width="8.54296875" style="1764" customWidth="1"/>
    <col min="12809" max="12809" width="9" style="1764" customWidth="1"/>
    <col min="12810" max="12811" width="8.54296875" style="1764" customWidth="1"/>
    <col min="12812" max="12812" width="9" style="1764" customWidth="1"/>
    <col min="12813" max="12814" width="8.54296875" style="1764" customWidth="1"/>
    <col min="12815" max="12815" width="9" style="1764" customWidth="1"/>
    <col min="12816" max="12817" width="8.54296875" style="1764" customWidth="1"/>
    <col min="12818" max="12818" width="9" style="1764" customWidth="1"/>
    <col min="12819" max="12820" width="8.54296875" style="1764" customWidth="1"/>
    <col min="12821" max="12821" width="9" style="1764" customWidth="1"/>
    <col min="12822" max="12823" width="8.54296875" style="1764" customWidth="1"/>
    <col min="12824" max="12824" width="9" style="1764" customWidth="1"/>
    <col min="12825" max="13055" width="9.1796875" style="1764"/>
    <col min="13056" max="13056" width="3.7265625" style="1764" customWidth="1"/>
    <col min="13057" max="13057" width="12.7265625" style="1764" customWidth="1"/>
    <col min="13058" max="13058" width="3.7265625" style="1764" customWidth="1"/>
    <col min="13059" max="13059" width="20.7265625" style="1764" customWidth="1"/>
    <col min="13060" max="13061" width="8.54296875" style="1764" customWidth="1"/>
    <col min="13062" max="13062" width="9" style="1764" customWidth="1"/>
    <col min="13063" max="13064" width="8.54296875" style="1764" customWidth="1"/>
    <col min="13065" max="13065" width="9" style="1764" customWidth="1"/>
    <col min="13066" max="13067" width="8.54296875" style="1764" customWidth="1"/>
    <col min="13068" max="13068" width="9" style="1764" customWidth="1"/>
    <col min="13069" max="13070" width="8.54296875" style="1764" customWidth="1"/>
    <col min="13071" max="13071" width="9" style="1764" customWidth="1"/>
    <col min="13072" max="13073" width="8.54296875" style="1764" customWidth="1"/>
    <col min="13074" max="13074" width="9" style="1764" customWidth="1"/>
    <col min="13075" max="13076" width="8.54296875" style="1764" customWidth="1"/>
    <col min="13077" max="13077" width="9" style="1764" customWidth="1"/>
    <col min="13078" max="13079" width="8.54296875" style="1764" customWidth="1"/>
    <col min="13080" max="13080" width="9" style="1764" customWidth="1"/>
    <col min="13081" max="13311" width="9.1796875" style="1764"/>
    <col min="13312" max="13312" width="3.7265625" style="1764" customWidth="1"/>
    <col min="13313" max="13313" width="12.7265625" style="1764" customWidth="1"/>
    <col min="13314" max="13314" width="3.7265625" style="1764" customWidth="1"/>
    <col min="13315" max="13315" width="20.7265625" style="1764" customWidth="1"/>
    <col min="13316" max="13317" width="8.54296875" style="1764" customWidth="1"/>
    <col min="13318" max="13318" width="9" style="1764" customWidth="1"/>
    <col min="13319" max="13320" width="8.54296875" style="1764" customWidth="1"/>
    <col min="13321" max="13321" width="9" style="1764" customWidth="1"/>
    <col min="13322" max="13323" width="8.54296875" style="1764" customWidth="1"/>
    <col min="13324" max="13324" width="9" style="1764" customWidth="1"/>
    <col min="13325" max="13326" width="8.54296875" style="1764" customWidth="1"/>
    <col min="13327" max="13327" width="9" style="1764" customWidth="1"/>
    <col min="13328" max="13329" width="8.54296875" style="1764" customWidth="1"/>
    <col min="13330" max="13330" width="9" style="1764" customWidth="1"/>
    <col min="13331" max="13332" width="8.54296875" style="1764" customWidth="1"/>
    <col min="13333" max="13333" width="9" style="1764" customWidth="1"/>
    <col min="13334" max="13335" width="8.54296875" style="1764" customWidth="1"/>
    <col min="13336" max="13336" width="9" style="1764" customWidth="1"/>
    <col min="13337" max="13567" width="9.1796875" style="1764"/>
    <col min="13568" max="13568" width="3.7265625" style="1764" customWidth="1"/>
    <col min="13569" max="13569" width="12.7265625" style="1764" customWidth="1"/>
    <col min="13570" max="13570" width="3.7265625" style="1764" customWidth="1"/>
    <col min="13571" max="13571" width="20.7265625" style="1764" customWidth="1"/>
    <col min="13572" max="13573" width="8.54296875" style="1764" customWidth="1"/>
    <col min="13574" max="13574" width="9" style="1764" customWidth="1"/>
    <col min="13575" max="13576" width="8.54296875" style="1764" customWidth="1"/>
    <col min="13577" max="13577" width="9" style="1764" customWidth="1"/>
    <col min="13578" max="13579" width="8.54296875" style="1764" customWidth="1"/>
    <col min="13580" max="13580" width="9" style="1764" customWidth="1"/>
    <col min="13581" max="13582" width="8.54296875" style="1764" customWidth="1"/>
    <col min="13583" max="13583" width="9" style="1764" customWidth="1"/>
    <col min="13584" max="13585" width="8.54296875" style="1764" customWidth="1"/>
    <col min="13586" max="13586" width="9" style="1764" customWidth="1"/>
    <col min="13587" max="13588" width="8.54296875" style="1764" customWidth="1"/>
    <col min="13589" max="13589" width="9" style="1764" customWidth="1"/>
    <col min="13590" max="13591" width="8.54296875" style="1764" customWidth="1"/>
    <col min="13592" max="13592" width="9" style="1764" customWidth="1"/>
    <col min="13593" max="13823" width="9.1796875" style="1764"/>
    <col min="13824" max="13824" width="3.7265625" style="1764" customWidth="1"/>
    <col min="13825" max="13825" width="12.7265625" style="1764" customWidth="1"/>
    <col min="13826" max="13826" width="3.7265625" style="1764" customWidth="1"/>
    <col min="13827" max="13827" width="20.7265625" style="1764" customWidth="1"/>
    <col min="13828" max="13829" width="8.54296875" style="1764" customWidth="1"/>
    <col min="13830" max="13830" width="9" style="1764" customWidth="1"/>
    <col min="13831" max="13832" width="8.54296875" style="1764" customWidth="1"/>
    <col min="13833" max="13833" width="9" style="1764" customWidth="1"/>
    <col min="13834" max="13835" width="8.54296875" style="1764" customWidth="1"/>
    <col min="13836" max="13836" width="9" style="1764" customWidth="1"/>
    <col min="13837" max="13838" width="8.54296875" style="1764" customWidth="1"/>
    <col min="13839" max="13839" width="9" style="1764" customWidth="1"/>
    <col min="13840" max="13841" width="8.54296875" style="1764" customWidth="1"/>
    <col min="13842" max="13842" width="9" style="1764" customWidth="1"/>
    <col min="13843" max="13844" width="8.54296875" style="1764" customWidth="1"/>
    <col min="13845" max="13845" width="9" style="1764" customWidth="1"/>
    <col min="13846" max="13847" width="8.54296875" style="1764" customWidth="1"/>
    <col min="13848" max="13848" width="9" style="1764" customWidth="1"/>
    <col min="13849" max="14079" width="9.1796875" style="1764"/>
    <col min="14080" max="14080" width="3.7265625" style="1764" customWidth="1"/>
    <col min="14081" max="14081" width="12.7265625" style="1764" customWidth="1"/>
    <col min="14082" max="14082" width="3.7265625" style="1764" customWidth="1"/>
    <col min="14083" max="14083" width="20.7265625" style="1764" customWidth="1"/>
    <col min="14084" max="14085" width="8.54296875" style="1764" customWidth="1"/>
    <col min="14086" max="14086" width="9" style="1764" customWidth="1"/>
    <col min="14087" max="14088" width="8.54296875" style="1764" customWidth="1"/>
    <col min="14089" max="14089" width="9" style="1764" customWidth="1"/>
    <col min="14090" max="14091" width="8.54296875" style="1764" customWidth="1"/>
    <col min="14092" max="14092" width="9" style="1764" customWidth="1"/>
    <col min="14093" max="14094" width="8.54296875" style="1764" customWidth="1"/>
    <col min="14095" max="14095" width="9" style="1764" customWidth="1"/>
    <col min="14096" max="14097" width="8.54296875" style="1764" customWidth="1"/>
    <col min="14098" max="14098" width="9" style="1764" customWidth="1"/>
    <col min="14099" max="14100" width="8.54296875" style="1764" customWidth="1"/>
    <col min="14101" max="14101" width="9" style="1764" customWidth="1"/>
    <col min="14102" max="14103" width="8.54296875" style="1764" customWidth="1"/>
    <col min="14104" max="14104" width="9" style="1764" customWidth="1"/>
    <col min="14105" max="14335" width="9.1796875" style="1764"/>
    <col min="14336" max="14336" width="3.7265625" style="1764" customWidth="1"/>
    <col min="14337" max="14337" width="12.7265625" style="1764" customWidth="1"/>
    <col min="14338" max="14338" width="3.7265625" style="1764" customWidth="1"/>
    <col min="14339" max="14339" width="20.7265625" style="1764" customWidth="1"/>
    <col min="14340" max="14341" width="8.54296875" style="1764" customWidth="1"/>
    <col min="14342" max="14342" width="9" style="1764" customWidth="1"/>
    <col min="14343" max="14344" width="8.54296875" style="1764" customWidth="1"/>
    <col min="14345" max="14345" width="9" style="1764" customWidth="1"/>
    <col min="14346" max="14347" width="8.54296875" style="1764" customWidth="1"/>
    <col min="14348" max="14348" width="9" style="1764" customWidth="1"/>
    <col min="14349" max="14350" width="8.54296875" style="1764" customWidth="1"/>
    <col min="14351" max="14351" width="9" style="1764" customWidth="1"/>
    <col min="14352" max="14353" width="8.54296875" style="1764" customWidth="1"/>
    <col min="14354" max="14354" width="9" style="1764" customWidth="1"/>
    <col min="14355" max="14356" width="8.54296875" style="1764" customWidth="1"/>
    <col min="14357" max="14357" width="9" style="1764" customWidth="1"/>
    <col min="14358" max="14359" width="8.54296875" style="1764" customWidth="1"/>
    <col min="14360" max="14360" width="9" style="1764" customWidth="1"/>
    <col min="14361" max="14591" width="9.1796875" style="1764"/>
    <col min="14592" max="14592" width="3.7265625" style="1764" customWidth="1"/>
    <col min="14593" max="14593" width="12.7265625" style="1764" customWidth="1"/>
    <col min="14594" max="14594" width="3.7265625" style="1764" customWidth="1"/>
    <col min="14595" max="14595" width="20.7265625" style="1764" customWidth="1"/>
    <col min="14596" max="14597" width="8.54296875" style="1764" customWidth="1"/>
    <col min="14598" max="14598" width="9" style="1764" customWidth="1"/>
    <col min="14599" max="14600" width="8.54296875" style="1764" customWidth="1"/>
    <col min="14601" max="14601" width="9" style="1764" customWidth="1"/>
    <col min="14602" max="14603" width="8.54296875" style="1764" customWidth="1"/>
    <col min="14604" max="14604" width="9" style="1764" customWidth="1"/>
    <col min="14605" max="14606" width="8.54296875" style="1764" customWidth="1"/>
    <col min="14607" max="14607" width="9" style="1764" customWidth="1"/>
    <col min="14608" max="14609" width="8.54296875" style="1764" customWidth="1"/>
    <col min="14610" max="14610" width="9" style="1764" customWidth="1"/>
    <col min="14611" max="14612" width="8.54296875" style="1764" customWidth="1"/>
    <col min="14613" max="14613" width="9" style="1764" customWidth="1"/>
    <col min="14614" max="14615" width="8.54296875" style="1764" customWidth="1"/>
    <col min="14616" max="14616" width="9" style="1764" customWidth="1"/>
    <col min="14617" max="14847" width="9.1796875" style="1764"/>
    <col min="14848" max="14848" width="3.7265625" style="1764" customWidth="1"/>
    <col min="14849" max="14849" width="12.7265625" style="1764" customWidth="1"/>
    <col min="14850" max="14850" width="3.7265625" style="1764" customWidth="1"/>
    <col min="14851" max="14851" width="20.7265625" style="1764" customWidth="1"/>
    <col min="14852" max="14853" width="8.54296875" style="1764" customWidth="1"/>
    <col min="14854" max="14854" width="9" style="1764" customWidth="1"/>
    <col min="14855" max="14856" width="8.54296875" style="1764" customWidth="1"/>
    <col min="14857" max="14857" width="9" style="1764" customWidth="1"/>
    <col min="14858" max="14859" width="8.54296875" style="1764" customWidth="1"/>
    <col min="14860" max="14860" width="9" style="1764" customWidth="1"/>
    <col min="14861" max="14862" width="8.54296875" style="1764" customWidth="1"/>
    <col min="14863" max="14863" width="9" style="1764" customWidth="1"/>
    <col min="14864" max="14865" width="8.54296875" style="1764" customWidth="1"/>
    <col min="14866" max="14866" width="9" style="1764" customWidth="1"/>
    <col min="14867" max="14868" width="8.54296875" style="1764" customWidth="1"/>
    <col min="14869" max="14869" width="9" style="1764" customWidth="1"/>
    <col min="14870" max="14871" width="8.54296875" style="1764" customWidth="1"/>
    <col min="14872" max="14872" width="9" style="1764" customWidth="1"/>
    <col min="14873" max="15103" width="9.1796875" style="1764"/>
    <col min="15104" max="15104" width="3.7265625" style="1764" customWidth="1"/>
    <col min="15105" max="15105" width="12.7265625" style="1764" customWidth="1"/>
    <col min="15106" max="15106" width="3.7265625" style="1764" customWidth="1"/>
    <col min="15107" max="15107" width="20.7265625" style="1764" customWidth="1"/>
    <col min="15108" max="15109" width="8.54296875" style="1764" customWidth="1"/>
    <col min="15110" max="15110" width="9" style="1764" customWidth="1"/>
    <col min="15111" max="15112" width="8.54296875" style="1764" customWidth="1"/>
    <col min="15113" max="15113" width="9" style="1764" customWidth="1"/>
    <col min="15114" max="15115" width="8.54296875" style="1764" customWidth="1"/>
    <col min="15116" max="15116" width="9" style="1764" customWidth="1"/>
    <col min="15117" max="15118" width="8.54296875" style="1764" customWidth="1"/>
    <col min="15119" max="15119" width="9" style="1764" customWidth="1"/>
    <col min="15120" max="15121" width="8.54296875" style="1764" customWidth="1"/>
    <col min="15122" max="15122" width="9" style="1764" customWidth="1"/>
    <col min="15123" max="15124" width="8.54296875" style="1764" customWidth="1"/>
    <col min="15125" max="15125" width="9" style="1764" customWidth="1"/>
    <col min="15126" max="15127" width="8.54296875" style="1764" customWidth="1"/>
    <col min="15128" max="15128" width="9" style="1764" customWidth="1"/>
    <col min="15129" max="15359" width="9.1796875" style="1764"/>
    <col min="15360" max="15360" width="3.7265625" style="1764" customWidth="1"/>
    <col min="15361" max="15361" width="12.7265625" style="1764" customWidth="1"/>
    <col min="15362" max="15362" width="3.7265625" style="1764" customWidth="1"/>
    <col min="15363" max="15363" width="20.7265625" style="1764" customWidth="1"/>
    <col min="15364" max="15365" width="8.54296875" style="1764" customWidth="1"/>
    <col min="15366" max="15366" width="9" style="1764" customWidth="1"/>
    <col min="15367" max="15368" width="8.54296875" style="1764" customWidth="1"/>
    <col min="15369" max="15369" width="9" style="1764" customWidth="1"/>
    <col min="15370" max="15371" width="8.54296875" style="1764" customWidth="1"/>
    <col min="15372" max="15372" width="9" style="1764" customWidth="1"/>
    <col min="15373" max="15374" width="8.54296875" style="1764" customWidth="1"/>
    <col min="15375" max="15375" width="9" style="1764" customWidth="1"/>
    <col min="15376" max="15377" width="8.54296875" style="1764" customWidth="1"/>
    <col min="15378" max="15378" width="9" style="1764" customWidth="1"/>
    <col min="15379" max="15380" width="8.54296875" style="1764" customWidth="1"/>
    <col min="15381" max="15381" width="9" style="1764" customWidth="1"/>
    <col min="15382" max="15383" width="8.54296875" style="1764" customWidth="1"/>
    <col min="15384" max="15384" width="9" style="1764" customWidth="1"/>
    <col min="15385" max="15615" width="9.1796875" style="1764"/>
    <col min="15616" max="15616" width="3.7265625" style="1764" customWidth="1"/>
    <col min="15617" max="15617" width="12.7265625" style="1764" customWidth="1"/>
    <col min="15618" max="15618" width="3.7265625" style="1764" customWidth="1"/>
    <col min="15619" max="15619" width="20.7265625" style="1764" customWidth="1"/>
    <col min="15620" max="15621" width="8.54296875" style="1764" customWidth="1"/>
    <col min="15622" max="15622" width="9" style="1764" customWidth="1"/>
    <col min="15623" max="15624" width="8.54296875" style="1764" customWidth="1"/>
    <col min="15625" max="15625" width="9" style="1764" customWidth="1"/>
    <col min="15626" max="15627" width="8.54296875" style="1764" customWidth="1"/>
    <col min="15628" max="15628" width="9" style="1764" customWidth="1"/>
    <col min="15629" max="15630" width="8.54296875" style="1764" customWidth="1"/>
    <col min="15631" max="15631" width="9" style="1764" customWidth="1"/>
    <col min="15632" max="15633" width="8.54296875" style="1764" customWidth="1"/>
    <col min="15634" max="15634" width="9" style="1764" customWidth="1"/>
    <col min="15635" max="15636" width="8.54296875" style="1764" customWidth="1"/>
    <col min="15637" max="15637" width="9" style="1764" customWidth="1"/>
    <col min="15638" max="15639" width="8.54296875" style="1764" customWidth="1"/>
    <col min="15640" max="15640" width="9" style="1764" customWidth="1"/>
    <col min="15641" max="15871" width="9.1796875" style="1764"/>
    <col min="15872" max="15872" width="3.7265625" style="1764" customWidth="1"/>
    <col min="15873" max="15873" width="12.7265625" style="1764" customWidth="1"/>
    <col min="15874" max="15874" width="3.7265625" style="1764" customWidth="1"/>
    <col min="15875" max="15875" width="20.7265625" style="1764" customWidth="1"/>
    <col min="15876" max="15877" width="8.54296875" style="1764" customWidth="1"/>
    <col min="15878" max="15878" width="9" style="1764" customWidth="1"/>
    <col min="15879" max="15880" width="8.54296875" style="1764" customWidth="1"/>
    <col min="15881" max="15881" width="9" style="1764" customWidth="1"/>
    <col min="15882" max="15883" width="8.54296875" style="1764" customWidth="1"/>
    <col min="15884" max="15884" width="9" style="1764" customWidth="1"/>
    <col min="15885" max="15886" width="8.54296875" style="1764" customWidth="1"/>
    <col min="15887" max="15887" width="9" style="1764" customWidth="1"/>
    <col min="15888" max="15889" width="8.54296875" style="1764" customWidth="1"/>
    <col min="15890" max="15890" width="9" style="1764" customWidth="1"/>
    <col min="15891" max="15892" width="8.54296875" style="1764" customWidth="1"/>
    <col min="15893" max="15893" width="9" style="1764" customWidth="1"/>
    <col min="15894" max="15895" width="8.54296875" style="1764" customWidth="1"/>
    <col min="15896" max="15896" width="9" style="1764" customWidth="1"/>
    <col min="15897" max="16127" width="9.1796875" style="1764"/>
    <col min="16128" max="16128" width="3.7265625" style="1764" customWidth="1"/>
    <col min="16129" max="16129" width="12.7265625" style="1764" customWidth="1"/>
    <col min="16130" max="16130" width="3.7265625" style="1764" customWidth="1"/>
    <col min="16131" max="16131" width="20.7265625" style="1764" customWidth="1"/>
    <col min="16132" max="16133" width="8.54296875" style="1764" customWidth="1"/>
    <col min="16134" max="16134" width="9" style="1764" customWidth="1"/>
    <col min="16135" max="16136" width="8.54296875" style="1764" customWidth="1"/>
    <col min="16137" max="16137" width="9" style="1764" customWidth="1"/>
    <col min="16138" max="16139" width="8.54296875" style="1764" customWidth="1"/>
    <col min="16140" max="16140" width="9" style="1764" customWidth="1"/>
    <col min="16141" max="16142" width="8.54296875" style="1764" customWidth="1"/>
    <col min="16143" max="16143" width="9" style="1764" customWidth="1"/>
    <col min="16144" max="16145" width="8.54296875" style="1764" customWidth="1"/>
    <col min="16146" max="16146" width="9" style="1764" customWidth="1"/>
    <col min="16147" max="16148" width="8.54296875" style="1764" customWidth="1"/>
    <col min="16149" max="16149" width="9" style="1764" customWidth="1"/>
    <col min="16150" max="16151" width="8.54296875" style="1764" customWidth="1"/>
    <col min="16152" max="16152" width="9" style="1764" customWidth="1"/>
    <col min="16153" max="16384" width="9.1796875" style="1764"/>
  </cols>
  <sheetData>
    <row r="2" spans="1:34" ht="15" customHeight="1" x14ac:dyDescent="0.3">
      <c r="A2" s="1763">
        <v>1</v>
      </c>
      <c r="B2" s="728" t="s">
        <v>661</v>
      </c>
      <c r="C2" s="728">
        <v>26</v>
      </c>
      <c r="D2" s="4789" t="s">
        <v>662</v>
      </c>
      <c r="E2" s="4790"/>
      <c r="F2" s="4790"/>
      <c r="G2" s="4790"/>
      <c r="H2" s="4790"/>
      <c r="I2" s="4790"/>
      <c r="J2" s="4790"/>
      <c r="K2" s="4790"/>
      <c r="L2" s="4790"/>
      <c r="M2" s="4790"/>
      <c r="N2" s="4790"/>
      <c r="O2" s="4790"/>
      <c r="P2" s="4790"/>
      <c r="Q2" s="4790"/>
      <c r="R2" s="4790"/>
      <c r="S2" s="4790"/>
      <c r="T2" s="4790"/>
      <c r="U2" s="4790"/>
      <c r="V2" s="4790"/>
      <c r="W2" s="4790"/>
      <c r="X2" s="4790"/>
      <c r="Y2" s="4790"/>
      <c r="Z2" s="4790"/>
      <c r="AA2" s="4790"/>
      <c r="AB2" s="4790"/>
      <c r="AC2" s="4791"/>
    </row>
    <row r="3" spans="1:34" ht="15" customHeight="1" x14ac:dyDescent="0.3">
      <c r="A3" s="1763">
        <v>2</v>
      </c>
      <c r="B3" s="728" t="s">
        <v>663</v>
      </c>
      <c r="C3" s="728"/>
      <c r="D3" s="4789" t="s">
        <v>664</v>
      </c>
      <c r="E3" s="4790"/>
      <c r="F3" s="4790"/>
      <c r="G3" s="4790"/>
      <c r="H3" s="4790"/>
      <c r="I3" s="4790"/>
      <c r="J3" s="4790"/>
      <c r="K3" s="4790"/>
      <c r="L3" s="4790"/>
      <c r="M3" s="4790"/>
      <c r="N3" s="4790"/>
      <c r="O3" s="4790"/>
      <c r="P3" s="4790"/>
      <c r="Q3" s="4790"/>
      <c r="R3" s="4790"/>
      <c r="S3" s="4790"/>
      <c r="T3" s="4790"/>
      <c r="U3" s="4790"/>
      <c r="V3" s="4790"/>
      <c r="W3" s="4790"/>
      <c r="X3" s="4790"/>
      <c r="Y3" s="4790"/>
      <c r="Z3" s="4790"/>
      <c r="AA3" s="4790"/>
      <c r="AB3" s="4790"/>
      <c r="AC3" s="4791"/>
      <c r="AD3" s="1765"/>
      <c r="AE3" s="1765"/>
      <c r="AF3" s="1765"/>
    </row>
    <row r="4" spans="1:34" ht="15" customHeight="1" x14ac:dyDescent="0.3">
      <c r="A4" s="1763">
        <v>3</v>
      </c>
      <c r="B4" s="728" t="s">
        <v>4</v>
      </c>
      <c r="C4" s="728"/>
      <c r="D4" s="4789" t="s">
        <v>665</v>
      </c>
      <c r="E4" s="4790"/>
      <c r="F4" s="4790"/>
      <c r="G4" s="4790"/>
      <c r="H4" s="4790"/>
      <c r="I4" s="4790"/>
      <c r="J4" s="4790"/>
      <c r="K4" s="4790"/>
      <c r="L4" s="4790"/>
      <c r="M4" s="4790"/>
      <c r="N4" s="4790"/>
      <c r="O4" s="4790"/>
      <c r="P4" s="4790"/>
      <c r="Q4" s="4790"/>
      <c r="R4" s="4790"/>
      <c r="S4" s="4790"/>
      <c r="T4" s="4790"/>
      <c r="U4" s="4790"/>
      <c r="V4" s="4790"/>
      <c r="W4" s="4790"/>
      <c r="X4" s="4790"/>
      <c r="Y4" s="4790"/>
      <c r="Z4" s="4790"/>
      <c r="AA4" s="4790"/>
      <c r="AB4" s="4790"/>
      <c r="AC4" s="4791"/>
      <c r="AD4" s="1765"/>
      <c r="AE4" s="1765"/>
      <c r="AF4" s="1765"/>
    </row>
    <row r="5" spans="1:34" hidden="1" x14ac:dyDescent="0.3">
      <c r="A5" s="1763">
        <v>4</v>
      </c>
      <c r="B5" s="728" t="s">
        <v>174</v>
      </c>
      <c r="C5" s="728"/>
      <c r="D5" s="4792"/>
      <c r="E5" s="4793"/>
      <c r="F5" s="4793"/>
      <c r="G5" s="4793"/>
      <c r="H5" s="4793"/>
      <c r="I5" s="4793"/>
      <c r="J5" s="4793"/>
      <c r="K5" s="4793"/>
      <c r="L5" s="4793"/>
      <c r="M5" s="4793"/>
      <c r="N5" s="4793"/>
      <c r="O5" s="4793"/>
      <c r="P5" s="4793"/>
      <c r="Q5" s="4793"/>
      <c r="R5" s="4793"/>
      <c r="S5" s="4793"/>
      <c r="T5" s="4793"/>
      <c r="U5" s="4793"/>
      <c r="V5" s="4793"/>
      <c r="W5" s="4793"/>
      <c r="X5" s="4793"/>
      <c r="Y5" s="4793"/>
      <c r="Z5" s="4793"/>
      <c r="AA5" s="4793"/>
      <c r="AB5" s="4793"/>
      <c r="AC5" s="4794"/>
      <c r="AD5" s="1765"/>
      <c r="AE5" s="1765"/>
      <c r="AF5" s="1765"/>
    </row>
    <row r="6" spans="1:34" ht="15" hidden="1" customHeight="1" x14ac:dyDescent="0.3">
      <c r="A6" s="1763"/>
      <c r="B6" s="728"/>
      <c r="C6" s="728"/>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5"/>
      <c r="AC6" s="1765"/>
      <c r="AD6" s="1765"/>
      <c r="AE6" s="1765"/>
      <c r="AF6" s="1765"/>
    </row>
    <row r="7" spans="1:34" s="1765" customFormat="1" ht="18.75" customHeight="1" x14ac:dyDescent="0.3">
      <c r="A7" s="1767">
        <v>5</v>
      </c>
      <c r="B7" s="728" t="s">
        <v>6</v>
      </c>
      <c r="C7" s="728"/>
      <c r="D7" s="4795"/>
      <c r="E7" s="4795"/>
      <c r="F7" s="4795"/>
      <c r="G7" s="4795"/>
      <c r="H7" s="4795"/>
      <c r="I7" s="4795"/>
      <c r="J7" s="4795"/>
      <c r="K7" s="4795"/>
      <c r="L7" s="4795"/>
      <c r="M7" s="4795"/>
      <c r="N7" s="4795"/>
      <c r="O7" s="4795"/>
      <c r="P7" s="4795"/>
      <c r="Q7" s="4795"/>
      <c r="R7" s="4795"/>
      <c r="S7" s="4795"/>
      <c r="T7" s="4795"/>
      <c r="U7" s="4795"/>
      <c r="V7" s="4795"/>
      <c r="W7" s="4795"/>
      <c r="X7" s="4795"/>
      <c r="Y7" s="4795"/>
      <c r="Z7" s="4795"/>
      <c r="AA7" s="4795"/>
    </row>
    <row r="8" spans="1:34" ht="16.5" customHeight="1" x14ac:dyDescent="0.3">
      <c r="A8" s="1768"/>
      <c r="B8" s="1769"/>
      <c r="C8" s="1769"/>
      <c r="D8" s="1770" t="s">
        <v>7</v>
      </c>
      <c r="E8" s="1770" t="s">
        <v>666</v>
      </c>
      <c r="F8" s="1771"/>
      <c r="G8" s="1771"/>
      <c r="H8" s="1771"/>
      <c r="I8" s="1771"/>
      <c r="J8" s="1771"/>
      <c r="K8" s="1771"/>
      <c r="L8" s="1771"/>
      <c r="M8" s="1771"/>
      <c r="N8" s="1771"/>
      <c r="O8" s="1771"/>
      <c r="P8" s="1771"/>
      <c r="Q8" s="1771"/>
      <c r="R8" s="1771"/>
      <c r="S8" s="1771"/>
      <c r="T8" s="1771"/>
      <c r="U8" s="1772"/>
      <c r="V8" s="1773"/>
      <c r="W8" s="1773"/>
      <c r="X8" s="1773"/>
      <c r="Y8" s="1632"/>
      <c r="Z8" s="1632"/>
      <c r="AA8" s="1632"/>
      <c r="AB8" s="1270"/>
      <c r="AC8" s="1270"/>
      <c r="AD8" s="1270"/>
      <c r="AE8" s="1270"/>
      <c r="AF8" s="1270"/>
      <c r="AG8" s="1270"/>
    </row>
    <row r="9" spans="1:34" ht="12.75" customHeight="1" x14ac:dyDescent="0.3">
      <c r="A9" s="1768"/>
      <c r="B9" s="1769"/>
      <c r="C9" s="1769"/>
      <c r="D9" s="1774"/>
      <c r="E9" s="1775">
        <v>1994</v>
      </c>
      <c r="F9" s="1776">
        <v>1995</v>
      </c>
      <c r="G9" s="1776">
        <v>1996</v>
      </c>
      <c r="H9" s="1776">
        <v>1997</v>
      </c>
      <c r="I9" s="1776">
        <v>1998</v>
      </c>
      <c r="J9" s="1776">
        <v>1999</v>
      </c>
      <c r="K9" s="1776">
        <v>2000</v>
      </c>
      <c r="L9" s="1776">
        <v>2001</v>
      </c>
      <c r="M9" s="1777">
        <v>2002</v>
      </c>
      <c r="N9" s="1777">
        <v>2003</v>
      </c>
      <c r="O9" s="1777">
        <v>2004</v>
      </c>
      <c r="P9" s="1777">
        <v>2005</v>
      </c>
      <c r="Q9" s="1777">
        <v>2006</v>
      </c>
      <c r="R9" s="1777">
        <v>2007</v>
      </c>
      <c r="S9" s="1777">
        <v>2008</v>
      </c>
      <c r="T9" s="1777">
        <v>2009</v>
      </c>
      <c r="U9" s="1778">
        <v>2010</v>
      </c>
      <c r="V9" s="1778">
        <v>2011</v>
      </c>
      <c r="W9" s="1779">
        <v>2012</v>
      </c>
      <c r="X9" s="1779">
        <v>2013</v>
      </c>
      <c r="Y9" s="1779">
        <v>2014</v>
      </c>
      <c r="Z9" s="1779">
        <v>2015</v>
      </c>
      <c r="AA9" s="1779">
        <v>2016</v>
      </c>
      <c r="AB9" s="1779">
        <v>2017</v>
      </c>
      <c r="AC9" s="1779">
        <v>2018</v>
      </c>
      <c r="AD9" s="1780">
        <v>2019</v>
      </c>
      <c r="AE9" s="1632"/>
      <c r="AF9" s="1632"/>
      <c r="AG9" s="1632"/>
      <c r="AH9" s="1632"/>
    </row>
    <row r="10" spans="1:34" ht="12" customHeight="1" x14ac:dyDescent="0.3">
      <c r="A10" s="1768"/>
      <c r="B10" s="1781"/>
      <c r="C10" s="1782"/>
      <c r="D10" s="1783" t="s">
        <v>667</v>
      </c>
      <c r="E10" s="1591"/>
      <c r="F10" s="1642"/>
      <c r="G10" s="1592"/>
      <c r="H10" s="1592"/>
      <c r="I10" s="1592"/>
      <c r="J10" s="1592"/>
      <c r="K10" s="1642"/>
      <c r="L10" s="1784"/>
      <c r="M10" s="1785">
        <v>11194350</v>
      </c>
      <c r="N10" s="1785">
        <v>11459337</v>
      </c>
      <c r="O10" s="1785">
        <v>11718329</v>
      </c>
      <c r="P10" s="1785">
        <v>11976990</v>
      </c>
      <c r="Q10" s="1785">
        <v>12243215</v>
      </c>
      <c r="R10" s="1785">
        <v>12522491</v>
      </c>
      <c r="S10" s="1785">
        <v>12819285</v>
      </c>
      <c r="T10" s="1785">
        <v>13128396</v>
      </c>
      <c r="U10" s="1785">
        <v>13455659</v>
      </c>
      <c r="V10" s="1785">
        <v>13797320</v>
      </c>
      <c r="W10" s="1785">
        <v>14151736</v>
      </c>
      <c r="X10" s="1785">
        <v>14521185</v>
      </c>
      <c r="Y10" s="1785">
        <v>14903733</v>
      </c>
      <c r="Z10" s="1785">
        <v>15307483</v>
      </c>
      <c r="AA10" s="1786">
        <v>15743677</v>
      </c>
      <c r="AB10" s="1786">
        <v>16199107</v>
      </c>
      <c r="AC10" s="1787">
        <v>16670853.6913475</v>
      </c>
      <c r="AD10" s="1788">
        <v>17162983.263316602</v>
      </c>
      <c r="AE10" s="1789"/>
      <c r="AF10" s="1789"/>
      <c r="AG10" s="1789"/>
      <c r="AH10" s="1789"/>
    </row>
    <row r="11" spans="1:34" ht="13.5" customHeight="1" x14ac:dyDescent="0.3">
      <c r="A11" s="1768"/>
      <c r="B11" s="1790"/>
      <c r="C11" s="1782"/>
      <c r="D11" s="1783" t="s">
        <v>668</v>
      </c>
      <c r="E11" s="1791"/>
      <c r="F11" s="1642"/>
      <c r="G11" s="1642"/>
      <c r="H11" s="1592"/>
      <c r="I11" s="1592"/>
      <c r="J11" s="1592"/>
      <c r="K11" s="1642"/>
      <c r="L11" s="1792"/>
      <c r="M11" s="1785">
        <v>8271581</v>
      </c>
      <c r="N11" s="1785">
        <v>8367247</v>
      </c>
      <c r="O11" s="1785">
        <v>8584241</v>
      </c>
      <c r="P11" s="1785">
        <v>8516089</v>
      </c>
      <c r="Q11" s="1785">
        <v>9403036</v>
      </c>
      <c r="R11" s="1785">
        <v>9453226</v>
      </c>
      <c r="S11" s="1785">
        <v>10119091</v>
      </c>
      <c r="T11" s="1785">
        <v>9903887</v>
      </c>
      <c r="U11" s="1785">
        <v>10400960</v>
      </c>
      <c r="V11" s="1785">
        <v>10703012</v>
      </c>
      <c r="W11" s="1785">
        <v>10751995</v>
      </c>
      <c r="X11" s="1785">
        <v>11275787</v>
      </c>
      <c r="Y11" s="1785">
        <v>11817439</v>
      </c>
      <c r="Z11" s="1785">
        <v>11946882</v>
      </c>
      <c r="AA11" s="1785">
        <v>12470883</v>
      </c>
      <c r="AB11" s="1785">
        <v>12968417</v>
      </c>
      <c r="AC11" s="1785">
        <v>13521738.5028941</v>
      </c>
      <c r="AD11" s="1793">
        <v>14064081.953474902</v>
      </c>
      <c r="AE11" s="1789"/>
      <c r="AF11" s="1789"/>
      <c r="AG11" s="1789"/>
      <c r="AH11" s="1789"/>
    </row>
    <row r="12" spans="1:34" ht="27.65" customHeight="1" x14ac:dyDescent="0.3">
      <c r="A12" s="1768"/>
      <c r="B12" s="1794"/>
      <c r="C12" s="1782"/>
      <c r="D12" s="1795" t="s">
        <v>669</v>
      </c>
      <c r="E12" s="1796"/>
      <c r="F12" s="1797"/>
      <c r="G12" s="1798"/>
      <c r="H12" s="1798"/>
      <c r="I12" s="1798"/>
      <c r="J12" s="1798"/>
      <c r="K12" s="1797"/>
      <c r="L12" s="1799"/>
      <c r="M12" s="1800">
        <v>73.959999999999994</v>
      </c>
      <c r="N12" s="1800">
        <v>73.05</v>
      </c>
      <c r="O12" s="1800">
        <v>73.290000000000006</v>
      </c>
      <c r="P12" s="1800">
        <v>71.180000000000007</v>
      </c>
      <c r="Q12" s="1800">
        <v>76.959999999999994</v>
      </c>
      <c r="R12" s="1800">
        <v>76.05</v>
      </c>
      <c r="S12" s="1800">
        <v>79.180000000000007</v>
      </c>
      <c r="T12" s="1800">
        <v>75.44</v>
      </c>
      <c r="U12" s="1800">
        <v>77.3</v>
      </c>
      <c r="V12" s="1800">
        <v>78.349999999999994</v>
      </c>
      <c r="W12" s="1800">
        <v>76.760000000000005</v>
      </c>
      <c r="X12" s="1800">
        <v>77.650000000000006</v>
      </c>
      <c r="Y12" s="1800">
        <v>79.290000000000006</v>
      </c>
      <c r="Z12" s="1800">
        <v>78.05</v>
      </c>
      <c r="AA12" s="1800">
        <v>79.209999999999994</v>
      </c>
      <c r="AB12" s="1800">
        <v>80.06</v>
      </c>
      <c r="AC12" s="1801">
        <v>81.099999999999994</v>
      </c>
      <c r="AD12" s="1802">
        <v>81.900000000000006</v>
      </c>
      <c r="AE12" s="1789"/>
      <c r="AF12" s="1789"/>
      <c r="AG12" s="1789"/>
      <c r="AH12" s="1789"/>
    </row>
    <row r="13" spans="1:34" ht="24.65" customHeight="1" x14ac:dyDescent="0.3">
      <c r="A13" s="1768"/>
      <c r="B13" s="1794"/>
      <c r="C13" s="1782"/>
      <c r="D13" s="1615" t="s">
        <v>670</v>
      </c>
      <c r="E13" s="1803"/>
      <c r="F13" s="1804"/>
      <c r="G13" s="1805"/>
      <c r="H13" s="1805"/>
      <c r="I13" s="1805"/>
      <c r="J13" s="1805"/>
      <c r="K13" s="1642"/>
      <c r="L13" s="1805"/>
      <c r="M13" s="1806"/>
      <c r="N13" s="1806"/>
      <c r="O13" s="1806"/>
      <c r="P13" s="1806"/>
      <c r="Q13" s="1806"/>
      <c r="R13" s="1806"/>
      <c r="S13" s="1806"/>
      <c r="T13" s="1806"/>
      <c r="U13" s="1806"/>
      <c r="V13" s="1806"/>
      <c r="W13" s="1806"/>
      <c r="X13" s="1806"/>
      <c r="Y13" s="1806"/>
      <c r="Z13" s="1806"/>
      <c r="AA13" s="1806"/>
      <c r="AB13" s="1806"/>
      <c r="AC13" s="1807"/>
      <c r="AD13" s="1808"/>
      <c r="AE13" s="1789"/>
      <c r="AF13" s="1789"/>
      <c r="AG13" s="1789"/>
      <c r="AH13" s="1789"/>
    </row>
    <row r="14" spans="1:34" ht="13.5" customHeight="1" x14ac:dyDescent="0.3">
      <c r="A14" s="1768"/>
      <c r="B14" s="1794"/>
      <c r="C14" s="1782"/>
      <c r="D14" s="1809" t="s">
        <v>671</v>
      </c>
      <c r="E14" s="1591"/>
      <c r="F14" s="1636"/>
      <c r="G14" s="1636"/>
      <c r="H14" s="1636"/>
      <c r="I14" s="1636"/>
      <c r="J14" s="1636"/>
      <c r="K14" s="1636"/>
      <c r="L14" s="1636"/>
      <c r="M14" s="1810">
        <v>53.55</v>
      </c>
      <c r="N14" s="1810">
        <v>56.96</v>
      </c>
      <c r="O14" s="1810">
        <v>55.06</v>
      </c>
      <c r="P14" s="1810">
        <v>56.98</v>
      </c>
      <c r="Q14" s="1810">
        <v>59.35</v>
      </c>
      <c r="R14" s="1810">
        <v>57.36</v>
      </c>
      <c r="S14" s="1810">
        <v>61.02</v>
      </c>
      <c r="T14" s="1810">
        <v>54.91</v>
      </c>
      <c r="U14" s="1810">
        <v>56.89</v>
      </c>
      <c r="V14" s="1810">
        <v>52.82</v>
      </c>
      <c r="W14" s="1810">
        <v>53.92</v>
      </c>
      <c r="X14" s="1810">
        <v>54.16</v>
      </c>
      <c r="Y14" s="1810">
        <v>54.54</v>
      </c>
      <c r="Z14" s="1810">
        <v>53.03</v>
      </c>
      <c r="AA14" s="1810">
        <v>53.34</v>
      </c>
      <c r="AB14" s="1810">
        <v>53.47</v>
      </c>
      <c r="AC14" s="1811">
        <v>54.2</v>
      </c>
      <c r="AD14" s="512">
        <v>57.8</v>
      </c>
      <c r="AE14" s="1789"/>
      <c r="AF14" s="1789"/>
      <c r="AG14" s="1789"/>
      <c r="AH14" s="1789"/>
    </row>
    <row r="15" spans="1:34" ht="13.5" customHeight="1" x14ac:dyDescent="0.35">
      <c r="A15" s="1768"/>
      <c r="B15" s="1794"/>
      <c r="C15" s="1782"/>
      <c r="D15" s="1809" t="s">
        <v>672</v>
      </c>
      <c r="E15" s="1812"/>
      <c r="F15" s="1592"/>
      <c r="G15" s="1592"/>
      <c r="H15" s="1813"/>
      <c r="I15" s="1813"/>
      <c r="J15" s="1813"/>
      <c r="K15" s="1592"/>
      <c r="L15" s="1592"/>
      <c r="M15" s="1810">
        <v>15.26</v>
      </c>
      <c r="N15" s="1810">
        <v>13.23</v>
      </c>
      <c r="O15" s="1810">
        <v>11.55</v>
      </c>
      <c r="P15" s="1810">
        <v>11.95</v>
      </c>
      <c r="Q15" s="1810">
        <v>10.3</v>
      </c>
      <c r="R15" s="1810">
        <v>9.7100000000000009</v>
      </c>
      <c r="S15" s="1810">
        <v>12.28</v>
      </c>
      <c r="T15" s="1810">
        <v>11.05</v>
      </c>
      <c r="U15" s="1810">
        <v>11.48</v>
      </c>
      <c r="V15" s="1810">
        <v>10.46</v>
      </c>
      <c r="W15" s="1810">
        <v>11.12</v>
      </c>
      <c r="X15" s="1810">
        <v>11.51</v>
      </c>
      <c r="Y15" s="1810">
        <v>10.66</v>
      </c>
      <c r="Z15" s="1810">
        <v>9.83</v>
      </c>
      <c r="AA15" s="1810">
        <v>8.9499999999999993</v>
      </c>
      <c r="AB15" s="1810">
        <v>8.76</v>
      </c>
      <c r="AC15" s="1811">
        <v>8.1999999999999993</v>
      </c>
      <c r="AD15" s="512">
        <v>3</v>
      </c>
      <c r="AE15" s="1789"/>
      <c r="AF15" s="1789"/>
      <c r="AG15" s="1789"/>
      <c r="AH15" s="1789"/>
    </row>
    <row r="16" spans="1:34" ht="13.5" customHeight="1" x14ac:dyDescent="0.3">
      <c r="A16" s="1768"/>
      <c r="B16" s="1794"/>
      <c r="C16" s="1782"/>
      <c r="D16" s="1809" t="s">
        <v>673</v>
      </c>
      <c r="E16" s="1814"/>
      <c r="F16" s="1642"/>
      <c r="G16" s="1642"/>
      <c r="H16" s="1592"/>
      <c r="I16" s="1592"/>
      <c r="J16" s="1592"/>
      <c r="K16" s="1642"/>
      <c r="L16" s="1636"/>
      <c r="M16" s="1810">
        <v>19.61</v>
      </c>
      <c r="N16" s="1810">
        <v>19.559999999999999</v>
      </c>
      <c r="O16" s="1810">
        <v>21.19</v>
      </c>
      <c r="P16" s="1810">
        <v>20.81</v>
      </c>
      <c r="Q16" s="1810">
        <v>20.260000000000002</v>
      </c>
      <c r="R16" s="1810">
        <v>22.97</v>
      </c>
      <c r="S16" s="1810">
        <v>18.97</v>
      </c>
      <c r="T16" s="1810">
        <v>21.77</v>
      </c>
      <c r="U16" s="1810">
        <v>21.35</v>
      </c>
      <c r="V16" s="1810">
        <v>21.73</v>
      </c>
      <c r="W16" s="1810">
        <v>22.1</v>
      </c>
      <c r="X16" s="1810">
        <v>22.53</v>
      </c>
      <c r="Y16" s="1810">
        <v>22.52</v>
      </c>
      <c r="Z16" s="1810">
        <v>23.73</v>
      </c>
      <c r="AA16" s="1810">
        <v>24.33</v>
      </c>
      <c r="AB16" s="1810">
        <v>24.69</v>
      </c>
      <c r="AC16" s="1811">
        <v>25.3</v>
      </c>
      <c r="AD16" s="512">
        <v>27.1</v>
      </c>
      <c r="AE16" s="1789"/>
      <c r="AF16" s="1789"/>
      <c r="AG16" s="1789"/>
      <c r="AH16" s="1789"/>
    </row>
    <row r="17" spans="1:34" ht="13.5" customHeight="1" x14ac:dyDescent="0.3">
      <c r="A17" s="1768"/>
      <c r="B17" s="1794"/>
      <c r="C17" s="1782"/>
      <c r="D17" s="1815" t="s">
        <v>674</v>
      </c>
      <c r="E17" s="1816"/>
      <c r="F17" s="1797"/>
      <c r="G17" s="1817"/>
      <c r="H17" s="1817"/>
      <c r="I17" s="1817"/>
      <c r="J17" s="1817"/>
      <c r="K17" s="1797"/>
      <c r="L17" s="1817"/>
      <c r="M17" s="1800">
        <v>11.57</v>
      </c>
      <c r="N17" s="1800">
        <v>10.25</v>
      </c>
      <c r="O17" s="1800">
        <v>12.21</v>
      </c>
      <c r="P17" s="1800">
        <v>10.27</v>
      </c>
      <c r="Q17" s="1800">
        <v>10.09</v>
      </c>
      <c r="R17" s="1800">
        <v>9.9600000000000009</v>
      </c>
      <c r="S17" s="1800">
        <v>7.73</v>
      </c>
      <c r="T17" s="1800">
        <v>12.27</v>
      </c>
      <c r="U17" s="1800">
        <v>10.28</v>
      </c>
      <c r="V17" s="1800">
        <v>15</v>
      </c>
      <c r="W17" s="1800">
        <v>12.85</v>
      </c>
      <c r="X17" s="1800">
        <v>11.81</v>
      </c>
      <c r="Y17" s="1800">
        <v>12.28</v>
      </c>
      <c r="Z17" s="1800">
        <v>13.41</v>
      </c>
      <c r="AA17" s="1800">
        <v>13.39</v>
      </c>
      <c r="AB17" s="1800">
        <v>13.08</v>
      </c>
      <c r="AC17" s="1801">
        <v>12.3</v>
      </c>
      <c r="AD17" s="1802">
        <v>12.1</v>
      </c>
      <c r="AE17" s="1789"/>
      <c r="AF17" s="1789"/>
      <c r="AG17" s="1789"/>
      <c r="AH17" s="1789"/>
    </row>
    <row r="18" spans="1:34" ht="13.5" customHeight="1" x14ac:dyDescent="0.35">
      <c r="A18" s="1768"/>
      <c r="B18" s="1781"/>
      <c r="C18" s="1782"/>
      <c r="D18" s="1818" t="s">
        <v>675</v>
      </c>
      <c r="E18" s="1819"/>
      <c r="F18" s="1592"/>
      <c r="G18" s="1592"/>
      <c r="H18" s="1820"/>
      <c r="I18" s="1820"/>
      <c r="J18" s="1820"/>
      <c r="K18" s="1592"/>
      <c r="L18" s="1784"/>
      <c r="M18" s="1821">
        <v>1417442</v>
      </c>
      <c r="N18" s="1821">
        <v>1610046</v>
      </c>
      <c r="O18" s="1821">
        <v>1525319</v>
      </c>
      <c r="P18" s="1821">
        <v>1877222</v>
      </c>
      <c r="Q18" s="1821">
        <v>1409779</v>
      </c>
      <c r="R18" s="1821">
        <v>1577606</v>
      </c>
      <c r="S18" s="1821">
        <v>1277042</v>
      </c>
      <c r="T18" s="1821">
        <v>1818271</v>
      </c>
      <c r="U18" s="1821">
        <v>1771349</v>
      </c>
      <c r="V18" s="1821">
        <v>1652115</v>
      </c>
      <c r="W18" s="1821">
        <v>1985250</v>
      </c>
      <c r="X18" s="1821">
        <v>1988504</v>
      </c>
      <c r="Y18" s="1821">
        <v>1937964</v>
      </c>
      <c r="Z18" s="1821">
        <v>2198138</v>
      </c>
      <c r="AA18" s="1821">
        <v>2222021</v>
      </c>
      <c r="AB18" s="1821">
        <v>2203827</v>
      </c>
      <c r="AC18" s="1822">
        <v>2183620.6206445</v>
      </c>
      <c r="AD18" s="1823">
        <v>2170292.6675626002</v>
      </c>
      <c r="AE18" s="1789"/>
      <c r="AF18" s="1789"/>
      <c r="AG18" s="1789"/>
      <c r="AH18" s="1789"/>
    </row>
    <row r="19" spans="1:34" ht="13.5" customHeight="1" x14ac:dyDescent="0.3">
      <c r="A19" s="1768"/>
      <c r="B19" s="1781"/>
      <c r="C19" s="1782"/>
      <c r="D19" s="1824"/>
      <c r="E19" s="1591"/>
      <c r="F19" s="1592"/>
      <c r="G19" s="1825"/>
      <c r="H19" s="1825"/>
      <c r="I19" s="1825"/>
      <c r="J19" s="1825"/>
      <c r="K19" s="1826"/>
      <c r="L19" s="1827"/>
      <c r="M19" s="1810">
        <v>12.67</v>
      </c>
      <c r="N19" s="1810">
        <v>14.06</v>
      </c>
      <c r="O19" s="1810">
        <v>13.02</v>
      </c>
      <c r="P19" s="1810">
        <v>15.69</v>
      </c>
      <c r="Q19" s="1810">
        <v>11.54</v>
      </c>
      <c r="R19" s="1810">
        <v>12.69</v>
      </c>
      <c r="S19" s="1810">
        <v>9.99</v>
      </c>
      <c r="T19" s="1810">
        <v>13.85</v>
      </c>
      <c r="U19" s="1810">
        <v>13.16</v>
      </c>
      <c r="V19" s="1810">
        <v>12.09</v>
      </c>
      <c r="W19" s="1810">
        <v>14.17</v>
      </c>
      <c r="X19" s="1810">
        <v>13.69</v>
      </c>
      <c r="Y19" s="1810">
        <v>13</v>
      </c>
      <c r="Z19" s="1810">
        <v>14.36</v>
      </c>
      <c r="AA19" s="1810">
        <v>14.11</v>
      </c>
      <c r="AB19" s="1810">
        <v>13.6</v>
      </c>
      <c r="AC19" s="1811">
        <v>13.1</v>
      </c>
      <c r="AD19" s="512">
        <v>12.6</v>
      </c>
      <c r="AE19" s="1789"/>
      <c r="AF19" s="1789"/>
      <c r="AG19" s="1789"/>
      <c r="AH19" s="1789"/>
    </row>
    <row r="20" spans="1:34" ht="11.25" customHeight="1" x14ac:dyDescent="0.35">
      <c r="A20" s="1768"/>
      <c r="B20" s="1781"/>
      <c r="C20" s="1782"/>
      <c r="D20" s="1828" t="s">
        <v>676</v>
      </c>
      <c r="E20" s="1829"/>
      <c r="F20" s="1592"/>
      <c r="G20" s="1592"/>
      <c r="H20" s="1820"/>
      <c r="I20" s="1820"/>
      <c r="J20" s="1820"/>
      <c r="K20" s="1765"/>
      <c r="L20" s="1784"/>
      <c r="M20" s="1785">
        <v>1213515</v>
      </c>
      <c r="N20" s="1785">
        <v>1231503</v>
      </c>
      <c r="O20" s="1785">
        <v>1362968</v>
      </c>
      <c r="P20" s="1785">
        <v>1299656</v>
      </c>
      <c r="Q20" s="1785">
        <v>1171200</v>
      </c>
      <c r="R20" s="1785">
        <v>1169556</v>
      </c>
      <c r="S20" s="1785">
        <v>1278422</v>
      </c>
      <c r="T20" s="1785">
        <v>1288884</v>
      </c>
      <c r="U20" s="1785">
        <v>1205634</v>
      </c>
      <c r="V20" s="1785">
        <v>1267343</v>
      </c>
      <c r="W20" s="1785">
        <v>1134473</v>
      </c>
      <c r="X20" s="1785">
        <v>1125380</v>
      </c>
      <c r="Y20" s="1785">
        <v>1004276</v>
      </c>
      <c r="Z20" s="1785">
        <v>1025869</v>
      </c>
      <c r="AA20" s="1821">
        <v>905344</v>
      </c>
      <c r="AB20" s="1821">
        <v>897592</v>
      </c>
      <c r="AC20" s="1822">
        <v>830854.53641399997</v>
      </c>
      <c r="AD20" s="1823">
        <v>875132.90034429997</v>
      </c>
      <c r="AE20" s="1789"/>
      <c r="AF20" s="1789"/>
      <c r="AG20" s="1789"/>
      <c r="AH20" s="1789"/>
    </row>
    <row r="21" spans="1:34" ht="11.25" customHeight="1" x14ac:dyDescent="0.35">
      <c r="A21" s="1768"/>
      <c r="B21" s="1781"/>
      <c r="C21" s="1782"/>
      <c r="D21" s="1830"/>
      <c r="E21" s="1831"/>
      <c r="F21" s="1832"/>
      <c r="G21" s="1833"/>
      <c r="H21" s="1833"/>
      <c r="I21" s="1833"/>
      <c r="J21" s="1833"/>
      <c r="K21" s="1833"/>
      <c r="L21" s="1834"/>
      <c r="M21" s="1835">
        <v>10.85</v>
      </c>
      <c r="N21" s="1835">
        <v>10.75</v>
      </c>
      <c r="O21" s="1835">
        <v>11.64</v>
      </c>
      <c r="P21" s="1835">
        <v>10.86</v>
      </c>
      <c r="Q21" s="1835">
        <v>9.59</v>
      </c>
      <c r="R21" s="1835">
        <v>9.41</v>
      </c>
      <c r="S21" s="1835">
        <v>10</v>
      </c>
      <c r="T21" s="1835">
        <v>9.82</v>
      </c>
      <c r="U21" s="1835">
        <v>8.9600000000000009</v>
      </c>
      <c r="V21" s="1835">
        <v>9.2799999999999994</v>
      </c>
      <c r="W21" s="1835">
        <v>8.1</v>
      </c>
      <c r="X21" s="1835">
        <v>7.75</v>
      </c>
      <c r="Y21" s="1835">
        <v>6.74</v>
      </c>
      <c r="Z21" s="1835">
        <v>6.7</v>
      </c>
      <c r="AA21" s="1835">
        <v>5.75</v>
      </c>
      <c r="AB21" s="1835">
        <v>5.54</v>
      </c>
      <c r="AC21" s="1836">
        <v>5</v>
      </c>
      <c r="AD21" s="1837">
        <v>5.0999999999999996</v>
      </c>
      <c r="AE21" s="1789"/>
      <c r="AF21" s="1789"/>
      <c r="AG21" s="1789"/>
      <c r="AH21" s="1789"/>
    </row>
    <row r="22" spans="1:34" ht="11.25" customHeight="1" x14ac:dyDescent="0.35">
      <c r="A22" s="1768"/>
      <c r="B22" s="1781"/>
      <c r="C22" s="1782"/>
      <c r="D22" s="1838"/>
      <c r="E22" s="1838"/>
      <c r="F22" s="1592"/>
      <c r="G22" s="1825"/>
      <c r="H22" s="1825"/>
      <c r="I22" s="1825"/>
      <c r="J22" s="1825"/>
      <c r="K22" s="1825"/>
      <c r="L22" s="1825"/>
      <c r="M22" s="1825"/>
      <c r="N22" s="1825"/>
      <c r="O22" s="1825"/>
      <c r="P22" s="1825"/>
      <c r="Q22" s="1825"/>
      <c r="R22" s="1825"/>
      <c r="S22" s="1789"/>
      <c r="T22" s="1825"/>
      <c r="U22" s="1825"/>
      <c r="V22" s="1825"/>
      <c r="W22" s="1825"/>
      <c r="X22" s="1825"/>
      <c r="Y22" s="1825"/>
      <c r="Z22" s="1789"/>
      <c r="AA22" s="1789"/>
      <c r="AB22" s="1270"/>
      <c r="AC22" s="1270"/>
      <c r="AD22" s="1270"/>
      <c r="AE22" s="1270"/>
      <c r="AF22" s="1270"/>
      <c r="AG22" s="1270"/>
    </row>
    <row r="23" spans="1:34" ht="11.25" customHeight="1" x14ac:dyDescent="0.35">
      <c r="A23" s="1768"/>
      <c r="B23" s="1781"/>
      <c r="C23" s="1782"/>
      <c r="D23" s="1838"/>
      <c r="E23" s="1838"/>
      <c r="F23" s="1592"/>
      <c r="G23" s="1825"/>
      <c r="H23" s="1825"/>
      <c r="I23" s="1825"/>
      <c r="J23" s="1825"/>
      <c r="K23" s="1825"/>
      <c r="L23" s="1825"/>
      <c r="M23" s="1825"/>
      <c r="N23" s="1825"/>
      <c r="O23" s="1825"/>
      <c r="P23" s="1825"/>
      <c r="Q23" s="1825"/>
      <c r="R23" s="1825"/>
      <c r="S23" s="1789"/>
      <c r="T23" s="1825"/>
      <c r="U23" s="1825"/>
      <c r="V23" s="1825"/>
      <c r="W23" s="1825"/>
      <c r="X23" s="1825"/>
      <c r="Y23" s="1825"/>
      <c r="Z23" s="1789"/>
      <c r="AA23" s="1789"/>
      <c r="AB23" s="1270"/>
      <c r="AC23" s="1270"/>
      <c r="AD23" s="1270"/>
      <c r="AE23" s="1270"/>
      <c r="AF23" s="1270"/>
      <c r="AG23" s="1270"/>
    </row>
    <row r="24" spans="1:34" ht="11.25" customHeight="1" x14ac:dyDescent="0.3">
      <c r="A24" s="1768"/>
      <c r="B24" s="1781"/>
      <c r="C24" s="1782"/>
      <c r="D24" s="1629" t="s">
        <v>35</v>
      </c>
      <c r="E24" s="1629" t="s">
        <v>677</v>
      </c>
      <c r="F24" s="1592"/>
      <c r="G24" s="1825"/>
      <c r="H24" s="1825"/>
      <c r="I24" s="1825"/>
      <c r="J24" s="1825"/>
      <c r="K24" s="1825"/>
      <c r="L24" s="1825"/>
      <c r="M24" s="1825"/>
      <c r="N24" s="1825"/>
      <c r="O24" s="1825"/>
      <c r="P24" s="1825"/>
      <c r="Q24" s="1825"/>
      <c r="R24" s="1825"/>
      <c r="S24" s="1789"/>
      <c r="T24" s="1825"/>
      <c r="U24" s="1825"/>
      <c r="V24" s="1825"/>
      <c r="W24" s="1825"/>
      <c r="X24" s="1825"/>
      <c r="Y24" s="1825"/>
      <c r="Z24" s="1789"/>
      <c r="AA24" s="1789"/>
      <c r="AB24" s="1270"/>
      <c r="AC24" s="1270"/>
      <c r="AD24" s="1270"/>
      <c r="AE24" s="1270"/>
      <c r="AF24" s="1270"/>
      <c r="AG24" s="1270"/>
    </row>
    <row r="25" spans="1:34" ht="12.75" customHeight="1" x14ac:dyDescent="0.3">
      <c r="A25" s="1768"/>
      <c r="B25" s="1769"/>
      <c r="C25" s="1839"/>
      <c r="D25" s="1774"/>
      <c r="E25" s="1777" t="s">
        <v>102</v>
      </c>
      <c r="F25" s="1777" t="s">
        <v>103</v>
      </c>
      <c r="G25" s="1777" t="s">
        <v>104</v>
      </c>
      <c r="H25" s="1777" t="s">
        <v>105</v>
      </c>
      <c r="I25" s="1777" t="s">
        <v>106</v>
      </c>
      <c r="J25" s="1777" t="s">
        <v>107</v>
      </c>
      <c r="K25" s="1777" t="s">
        <v>108</v>
      </c>
      <c r="L25" s="1777" t="s">
        <v>109</v>
      </c>
      <c r="M25" s="1777" t="s">
        <v>110</v>
      </c>
      <c r="N25" s="1777" t="s">
        <v>678</v>
      </c>
      <c r="O25" s="1777" t="s">
        <v>112</v>
      </c>
      <c r="P25" s="1777" t="s">
        <v>113</v>
      </c>
      <c r="Q25" s="1777" t="s">
        <v>114</v>
      </c>
      <c r="R25" s="1777" t="s">
        <v>115</v>
      </c>
      <c r="S25" s="1777" t="s">
        <v>116</v>
      </c>
      <c r="T25" s="1777" t="s">
        <v>117</v>
      </c>
      <c r="U25" s="1840" t="s">
        <v>118</v>
      </c>
      <c r="V25" s="1840" t="s">
        <v>119</v>
      </c>
      <c r="W25" s="1840" t="s">
        <v>120</v>
      </c>
      <c r="X25" s="1840" t="s">
        <v>121</v>
      </c>
      <c r="Y25" s="1840" t="s">
        <v>122</v>
      </c>
      <c r="Z25" s="1841" t="s">
        <v>123</v>
      </c>
      <c r="AA25" s="1841" t="s">
        <v>124</v>
      </c>
      <c r="AB25" s="1841" t="s">
        <v>125</v>
      </c>
      <c r="AC25" s="1841" t="s">
        <v>126</v>
      </c>
      <c r="AD25" s="1841" t="s">
        <v>302</v>
      </c>
      <c r="AE25" s="1632"/>
      <c r="AF25" s="1632"/>
      <c r="AG25" s="1632"/>
    </row>
    <row r="26" spans="1:34" ht="12.75" customHeight="1" x14ac:dyDescent="0.3">
      <c r="A26" s="1768"/>
      <c r="B26" s="1769"/>
      <c r="C26" s="1839"/>
      <c r="D26" s="1783" t="s">
        <v>679</v>
      </c>
      <c r="E26" s="4613"/>
      <c r="F26" s="4613"/>
      <c r="G26" s="4613"/>
      <c r="H26" s="4613"/>
      <c r="I26" s="4613"/>
      <c r="J26" s="4613"/>
      <c r="K26" s="4613"/>
      <c r="L26" s="4613"/>
      <c r="M26" s="4613"/>
      <c r="N26" s="1858">
        <v>1350844</v>
      </c>
      <c r="O26" s="1858">
        <v>1515250</v>
      </c>
      <c r="P26" s="1858">
        <v>1684560</v>
      </c>
      <c r="Q26" s="1858">
        <v>1847258</v>
      </c>
      <c r="R26" s="1858">
        <v>1935671</v>
      </c>
      <c r="S26" s="1858">
        <v>2077938</v>
      </c>
      <c r="T26" s="1858">
        <v>2194542</v>
      </c>
      <c r="U26" s="1858">
        <v>2303674</v>
      </c>
      <c r="V26" s="1858">
        <v>2432446</v>
      </c>
      <c r="W26" s="1858">
        <v>2561218</v>
      </c>
      <c r="X26" s="1858">
        <v>2669926</v>
      </c>
      <c r="Y26" s="1858">
        <v>2808197</v>
      </c>
      <c r="Z26" s="1854">
        <v>2908106</v>
      </c>
      <c r="AA26" s="1854">
        <v>2982744</v>
      </c>
      <c r="AB26" s="1854">
        <v>3053489</v>
      </c>
      <c r="AC26" s="1854">
        <v>3119993</v>
      </c>
      <c r="AD26" s="1854">
        <v>3177184</v>
      </c>
      <c r="AE26" s="1632"/>
      <c r="AF26" s="1632"/>
      <c r="AG26" s="1632"/>
    </row>
    <row r="27" spans="1:34" ht="22.5" customHeight="1" x14ac:dyDescent="0.3">
      <c r="A27" s="1768"/>
      <c r="B27" s="1781"/>
      <c r="C27" s="1842"/>
      <c r="D27" s="1783" t="s">
        <v>680</v>
      </c>
      <c r="E27" s="1858"/>
      <c r="F27" s="1858">
        <v>135229</v>
      </c>
      <c r="G27" s="1858">
        <f>F27+G29</f>
        <v>264422</v>
      </c>
      <c r="H27" s="1858">
        <f>G27+H29</f>
        <v>473422</v>
      </c>
      <c r="I27" s="1858">
        <f>H27+I29+I28</f>
        <v>721813</v>
      </c>
      <c r="J27" s="1858">
        <f>I27+J29</f>
        <v>883385</v>
      </c>
      <c r="K27" s="1858">
        <f>J27+K29+K28</f>
        <v>1074028</v>
      </c>
      <c r="L27" s="1858">
        <f>K27+L29</f>
        <v>1217309</v>
      </c>
      <c r="M27" s="1858">
        <f t="shared" ref="M27:AD27" si="0">L27+M29+M28</f>
        <v>1431379</v>
      </c>
      <c r="N27" s="1858">
        <f t="shared" si="0"/>
        <v>1624994</v>
      </c>
      <c r="O27" s="1858">
        <f t="shared" si="0"/>
        <v>1860531</v>
      </c>
      <c r="P27" s="1858">
        <f t="shared" si="0"/>
        <v>2104220</v>
      </c>
      <c r="Q27" s="1858">
        <f t="shared" si="0"/>
        <v>2375439</v>
      </c>
      <c r="R27" s="1858">
        <f t="shared" si="0"/>
        <v>2604202</v>
      </c>
      <c r="S27" s="1858">
        <f t="shared" si="0"/>
        <v>2833074</v>
      </c>
      <c r="T27" s="1858">
        <f t="shared" si="0"/>
        <v>3059290</v>
      </c>
      <c r="U27" s="1858">
        <f t="shared" si="0"/>
        <v>3244715</v>
      </c>
      <c r="V27" s="1858">
        <f t="shared" si="0"/>
        <v>3423912</v>
      </c>
      <c r="W27" s="1858">
        <f t="shared" si="0"/>
        <v>3584689</v>
      </c>
      <c r="X27" s="1858">
        <f t="shared" si="0"/>
        <v>3738818</v>
      </c>
      <c r="Y27" s="1858">
        <f t="shared" si="0"/>
        <v>3882729</v>
      </c>
      <c r="Z27" s="1858">
        <f t="shared" si="0"/>
        <v>4034982</v>
      </c>
      <c r="AA27" s="1858">
        <f t="shared" si="0"/>
        <v>4181054</v>
      </c>
      <c r="AB27" s="1858">
        <f t="shared" si="0"/>
        <v>4318444</v>
      </c>
      <c r="AC27" s="1858">
        <f t="shared" si="0"/>
        <v>4444199</v>
      </c>
      <c r="AD27" s="1858">
        <f t="shared" si="0"/>
        <v>4565298</v>
      </c>
      <c r="AE27" s="1789"/>
      <c r="AF27" s="1789"/>
      <c r="AG27" s="1789"/>
    </row>
    <row r="28" spans="1:34" x14ac:dyDescent="0.3">
      <c r="A28" s="1768"/>
      <c r="B28" s="1781"/>
      <c r="C28" s="1842"/>
      <c r="D28" s="1809" t="s">
        <v>681</v>
      </c>
      <c r="E28" s="1858">
        <v>0</v>
      </c>
      <c r="F28" s="4614">
        <v>0</v>
      </c>
      <c r="G28" s="4614">
        <v>0</v>
      </c>
      <c r="H28" s="4614">
        <v>0</v>
      </c>
      <c r="I28" s="1858">
        <v>12756</v>
      </c>
      <c r="J28" s="4614">
        <v>0</v>
      </c>
      <c r="K28" s="1858">
        <v>19711</v>
      </c>
      <c r="L28" s="4614">
        <v>0</v>
      </c>
      <c r="M28" s="1858">
        <v>82286</v>
      </c>
      <c r="N28" s="1858">
        <v>42842</v>
      </c>
      <c r="O28" s="1858">
        <v>87284</v>
      </c>
      <c r="P28" s="1858">
        <v>109666</v>
      </c>
      <c r="Q28" s="1858">
        <v>117845</v>
      </c>
      <c r="R28" s="1858">
        <v>82298</v>
      </c>
      <c r="S28" s="1858">
        <v>68469</v>
      </c>
      <c r="T28" s="1858">
        <v>64362</v>
      </c>
      <c r="U28" s="1858">
        <v>63546</v>
      </c>
      <c r="V28" s="1858">
        <v>58587</v>
      </c>
      <c r="W28" s="1858">
        <v>45698</v>
      </c>
      <c r="X28" s="1858">
        <v>48193</v>
      </c>
      <c r="Y28" s="1858">
        <v>49345</v>
      </c>
      <c r="Z28" s="1858">
        <v>52349</v>
      </c>
      <c r="AA28" s="1858">
        <v>56886</v>
      </c>
      <c r="AB28" s="1858">
        <v>51384</v>
      </c>
      <c r="AC28" s="1858">
        <v>48034</v>
      </c>
      <c r="AD28" s="1858">
        <v>51241</v>
      </c>
      <c r="AE28" s="1789"/>
      <c r="AF28" s="1789"/>
      <c r="AG28" s="1789"/>
    </row>
    <row r="29" spans="1:34" ht="14.25" customHeight="1" x14ac:dyDescent="0.3">
      <c r="A29" s="1768"/>
      <c r="B29" s="1781"/>
      <c r="C29" s="1842"/>
      <c r="D29" s="1843" t="s">
        <v>682</v>
      </c>
      <c r="E29" s="4615">
        <v>60820</v>
      </c>
      <c r="F29" s="4616">
        <v>74409</v>
      </c>
      <c r="G29" s="4616">
        <v>129193</v>
      </c>
      <c r="H29" s="4616">
        <v>209000</v>
      </c>
      <c r="I29" s="4615">
        <v>235635</v>
      </c>
      <c r="J29" s="4616">
        <v>161572</v>
      </c>
      <c r="K29" s="4615">
        <v>170932</v>
      </c>
      <c r="L29" s="4616">
        <v>143281</v>
      </c>
      <c r="M29" s="4615">
        <v>131784</v>
      </c>
      <c r="N29" s="4615">
        <v>150773</v>
      </c>
      <c r="O29" s="4615">
        <v>148253</v>
      </c>
      <c r="P29" s="4615">
        <v>134023</v>
      </c>
      <c r="Q29" s="4615">
        <v>153374</v>
      </c>
      <c r="R29" s="4615">
        <v>146465</v>
      </c>
      <c r="S29" s="4615">
        <v>160403</v>
      </c>
      <c r="T29" s="4615">
        <v>161854</v>
      </c>
      <c r="U29" s="4615">
        <v>121879</v>
      </c>
      <c r="V29" s="4615">
        <v>120610</v>
      </c>
      <c r="W29" s="4615">
        <v>115079</v>
      </c>
      <c r="X29" s="4615">
        <v>105936</v>
      </c>
      <c r="Y29" s="4615">
        <v>94566</v>
      </c>
      <c r="Z29" s="4615">
        <v>99904</v>
      </c>
      <c r="AA29" s="4615">
        <v>89186</v>
      </c>
      <c r="AB29" s="4615">
        <v>86006</v>
      </c>
      <c r="AC29" s="4615">
        <v>77721</v>
      </c>
      <c r="AD29" s="4615">
        <v>69858</v>
      </c>
      <c r="AE29" s="1789"/>
      <c r="AF29" s="1789"/>
      <c r="AG29" s="1789"/>
    </row>
    <row r="30" spans="1:34" s="1765" customFormat="1" ht="14.25" customHeight="1" x14ac:dyDescent="0.3">
      <c r="A30" s="1844"/>
      <c r="B30" s="1781"/>
      <c r="C30" s="1782"/>
      <c r="D30" s="1845"/>
      <c r="E30" s="1845"/>
      <c r="F30" s="1636"/>
      <c r="G30" s="1636"/>
      <c r="H30" s="1636"/>
      <c r="I30" s="1636"/>
      <c r="J30" s="1636"/>
      <c r="K30" s="1636"/>
      <c r="L30" s="1636"/>
      <c r="M30" s="1636"/>
      <c r="N30" s="1636"/>
      <c r="O30" s="1636"/>
      <c r="P30" s="1636"/>
      <c r="Q30" s="1636"/>
      <c r="R30" s="1636"/>
      <c r="S30" s="1636"/>
      <c r="T30" s="1636"/>
      <c r="U30" s="1636"/>
      <c r="V30" s="1636"/>
      <c r="W30" s="1636"/>
      <c r="X30" s="1636"/>
      <c r="Y30" s="1636"/>
      <c r="Z30" s="1846"/>
      <c r="AA30" s="1846"/>
    </row>
    <row r="31" spans="1:34" s="1765" customFormat="1" ht="14.25" customHeight="1" x14ac:dyDescent="0.3">
      <c r="A31" s="1844"/>
      <c r="B31" s="1781"/>
      <c r="C31" s="1782"/>
      <c r="D31" s="1845"/>
      <c r="E31" s="1845"/>
      <c r="F31" s="1636"/>
      <c r="G31" s="1636"/>
      <c r="H31" s="1636"/>
      <c r="I31" s="1636"/>
      <c r="J31" s="1636"/>
      <c r="K31" s="1636"/>
      <c r="L31" s="1636"/>
      <c r="M31" s="1636"/>
      <c r="N31" s="1636"/>
      <c r="O31" s="1636"/>
      <c r="P31" s="1636"/>
      <c r="Q31" s="1636"/>
      <c r="R31" s="1636"/>
      <c r="S31" s="1636"/>
      <c r="T31" s="1636"/>
      <c r="U31" s="1636"/>
      <c r="V31" s="1636"/>
      <c r="W31" s="1636"/>
      <c r="X31" s="1636"/>
      <c r="Y31" s="1636"/>
      <c r="Z31" s="1846"/>
      <c r="AA31" s="1846"/>
    </row>
    <row r="32" spans="1:34" x14ac:dyDescent="0.3">
      <c r="A32" s="1768"/>
      <c r="D32" s="416" t="s">
        <v>234</v>
      </c>
      <c r="E32" s="1629" t="s">
        <v>683</v>
      </c>
      <c r="F32" s="1592"/>
      <c r="V32" s="1847"/>
    </row>
    <row r="33" spans="1:33" x14ac:dyDescent="0.3">
      <c r="A33" s="1763"/>
      <c r="B33" s="1255"/>
      <c r="C33" s="1255"/>
      <c r="D33" s="1848"/>
      <c r="E33" s="1777" t="s">
        <v>102</v>
      </c>
      <c r="F33" s="1777" t="s">
        <v>103</v>
      </c>
      <c r="G33" s="1777" t="s">
        <v>104</v>
      </c>
      <c r="H33" s="1777" t="s">
        <v>105</v>
      </c>
      <c r="I33" s="1777" t="s">
        <v>106</v>
      </c>
      <c r="J33" s="1777" t="s">
        <v>107</v>
      </c>
      <c r="K33" s="1777" t="s">
        <v>108</v>
      </c>
      <c r="L33" s="1777" t="s">
        <v>109</v>
      </c>
      <c r="M33" s="1777" t="s">
        <v>110</v>
      </c>
      <c r="N33" s="1777" t="s">
        <v>678</v>
      </c>
      <c r="O33" s="1777" t="s">
        <v>112</v>
      </c>
      <c r="P33" s="1777" t="s">
        <v>113</v>
      </c>
      <c r="Q33" s="1777" t="s">
        <v>114</v>
      </c>
      <c r="R33" s="1777" t="s">
        <v>115</v>
      </c>
      <c r="S33" s="1777" t="s">
        <v>116</v>
      </c>
      <c r="T33" s="1777" t="s">
        <v>117</v>
      </c>
      <c r="U33" s="1840" t="s">
        <v>118</v>
      </c>
      <c r="V33" s="1840" t="s">
        <v>119</v>
      </c>
      <c r="W33" s="1840" t="s">
        <v>120</v>
      </c>
      <c r="X33" s="1840" t="s">
        <v>121</v>
      </c>
      <c r="Y33" s="1840" t="s">
        <v>122</v>
      </c>
      <c r="Z33" s="1841" t="s">
        <v>123</v>
      </c>
      <c r="AA33" s="1841" t="s">
        <v>124</v>
      </c>
      <c r="AB33" s="1841" t="s">
        <v>125</v>
      </c>
      <c r="AC33" s="1841" t="s">
        <v>126</v>
      </c>
      <c r="AD33" s="1841" t="s">
        <v>302</v>
      </c>
      <c r="AE33" s="1849"/>
    </row>
    <row r="34" spans="1:33" x14ac:dyDescent="0.3">
      <c r="A34" s="1850"/>
      <c r="D34" s="1851" t="s">
        <v>402</v>
      </c>
      <c r="E34" s="1852">
        <v>2267</v>
      </c>
      <c r="F34" s="1853">
        <v>2775</v>
      </c>
      <c r="G34" s="1853">
        <v>10925</v>
      </c>
      <c r="H34" s="1853">
        <v>22767</v>
      </c>
      <c r="I34" s="1853">
        <v>24659</v>
      </c>
      <c r="J34" s="1853">
        <v>20345</v>
      </c>
      <c r="K34" s="1853">
        <v>34021</v>
      </c>
      <c r="L34" s="1853">
        <v>10816</v>
      </c>
      <c r="M34" s="1853">
        <v>58662</v>
      </c>
      <c r="N34" s="1853">
        <v>27119</v>
      </c>
      <c r="O34" s="1854">
        <v>37524</v>
      </c>
      <c r="P34" s="1855">
        <v>19825</v>
      </c>
      <c r="Q34" s="1855">
        <v>16526</v>
      </c>
      <c r="R34" s="1855">
        <v>12684</v>
      </c>
      <c r="S34" s="1855">
        <v>22180</v>
      </c>
      <c r="T34" s="1855">
        <v>30292</v>
      </c>
      <c r="U34" s="1855">
        <v>23763</v>
      </c>
      <c r="V34" s="1855">
        <v>20488</v>
      </c>
      <c r="W34" s="1855">
        <v>22542</v>
      </c>
      <c r="X34" s="1855">
        <v>24366</v>
      </c>
      <c r="Y34" s="1855">
        <v>26050</v>
      </c>
      <c r="Z34" s="1855">
        <v>23586</v>
      </c>
      <c r="AA34" s="1855">
        <v>22381</v>
      </c>
      <c r="AB34" s="1855">
        <v>19772</v>
      </c>
      <c r="AC34" s="1855">
        <v>17333</v>
      </c>
      <c r="AD34" s="1855">
        <v>15336</v>
      </c>
    </row>
    <row r="35" spans="1:33" x14ac:dyDescent="0.3">
      <c r="A35" s="1850"/>
      <c r="D35" s="1856" t="s">
        <v>404</v>
      </c>
      <c r="E35" s="1857">
        <v>4543</v>
      </c>
      <c r="F35" s="1636">
        <v>5558</v>
      </c>
      <c r="G35" s="1636">
        <v>8224</v>
      </c>
      <c r="H35" s="1636">
        <v>12718</v>
      </c>
      <c r="I35" s="1636">
        <v>17391</v>
      </c>
      <c r="J35" s="1636">
        <v>7177</v>
      </c>
      <c r="K35" s="1636">
        <v>16088</v>
      </c>
      <c r="L35" s="1636">
        <v>7005</v>
      </c>
      <c r="M35" s="1636">
        <v>9155</v>
      </c>
      <c r="N35" s="1636">
        <v>16746</v>
      </c>
      <c r="O35" s="1858">
        <v>16447</v>
      </c>
      <c r="P35" s="1855">
        <v>20536</v>
      </c>
      <c r="Q35" s="1855">
        <v>19662</v>
      </c>
      <c r="R35" s="1855">
        <v>12482</v>
      </c>
      <c r="S35" s="1855">
        <v>14667</v>
      </c>
      <c r="T35" s="1855">
        <v>20232</v>
      </c>
      <c r="U35" s="1855">
        <v>5136</v>
      </c>
      <c r="V35" s="1855">
        <v>16470</v>
      </c>
      <c r="W35" s="1855">
        <v>10547</v>
      </c>
      <c r="X35" s="1855">
        <v>14123</v>
      </c>
      <c r="Y35" s="1855">
        <v>11000</v>
      </c>
      <c r="Z35" s="1855">
        <v>8940</v>
      </c>
      <c r="AA35" s="1855">
        <v>6852</v>
      </c>
      <c r="AB35" s="1855">
        <v>10138</v>
      </c>
      <c r="AC35" s="1855">
        <v>9790</v>
      </c>
      <c r="AD35" s="1855">
        <v>9016</v>
      </c>
    </row>
    <row r="36" spans="1:33" x14ac:dyDescent="0.3">
      <c r="A36" s="1850"/>
      <c r="D36" s="1856" t="s">
        <v>407</v>
      </c>
      <c r="E36" s="1857">
        <v>19589</v>
      </c>
      <c r="F36" s="1636">
        <v>23966</v>
      </c>
      <c r="G36" s="1636">
        <v>33498</v>
      </c>
      <c r="H36" s="1636">
        <v>50110</v>
      </c>
      <c r="I36" s="1636">
        <v>58170</v>
      </c>
      <c r="J36" s="1636">
        <v>45384</v>
      </c>
      <c r="K36" s="1636">
        <v>38547</v>
      </c>
      <c r="L36" s="1636">
        <v>46723</v>
      </c>
      <c r="M36" s="1636">
        <v>34826</v>
      </c>
      <c r="N36" s="1636">
        <v>49034</v>
      </c>
      <c r="O36" s="1858">
        <v>66738</v>
      </c>
      <c r="P36" s="1855">
        <v>63711</v>
      </c>
      <c r="Q36" s="1855">
        <v>77044</v>
      </c>
      <c r="R36" s="1855">
        <v>70799</v>
      </c>
      <c r="S36" s="1855">
        <v>67933</v>
      </c>
      <c r="T36" s="1855">
        <v>46473</v>
      </c>
      <c r="U36" s="1855">
        <v>46983</v>
      </c>
      <c r="V36" s="1855">
        <v>38324</v>
      </c>
      <c r="W36" s="1855">
        <v>28897</v>
      </c>
      <c r="X36" s="1855">
        <v>31311</v>
      </c>
      <c r="Y36" s="1855">
        <v>20381</v>
      </c>
      <c r="Z36" s="1855">
        <v>25016</v>
      </c>
      <c r="AA36" s="1855">
        <v>24846</v>
      </c>
      <c r="AB36" s="1855">
        <v>26921</v>
      </c>
      <c r="AC36" s="1855">
        <v>21591</v>
      </c>
      <c r="AD36" s="1855">
        <v>22257</v>
      </c>
    </row>
    <row r="37" spans="1:33" x14ac:dyDescent="0.3">
      <c r="A37" s="1859"/>
      <c r="D37" s="1856" t="s">
        <v>405</v>
      </c>
      <c r="E37" s="1857">
        <v>6114</v>
      </c>
      <c r="F37" s="1636">
        <v>12432</v>
      </c>
      <c r="G37" s="1636">
        <v>22035</v>
      </c>
      <c r="H37" s="1636">
        <v>55440</v>
      </c>
      <c r="I37" s="1636">
        <v>53105</v>
      </c>
      <c r="J37" s="1636">
        <v>28997</v>
      </c>
      <c r="K37" s="1636">
        <v>28547</v>
      </c>
      <c r="L37" s="1636">
        <v>14379</v>
      </c>
      <c r="M37" s="1636">
        <v>24485</v>
      </c>
      <c r="N37" s="1636">
        <v>33668</v>
      </c>
      <c r="O37" s="1858">
        <v>36734</v>
      </c>
      <c r="P37" s="1855">
        <v>35872</v>
      </c>
      <c r="Q37" s="1855">
        <v>38290</v>
      </c>
      <c r="R37" s="1855">
        <v>34471</v>
      </c>
      <c r="S37" s="1855">
        <v>36068</v>
      </c>
      <c r="T37" s="1855">
        <v>27445</v>
      </c>
      <c r="U37" s="1855">
        <v>25019</v>
      </c>
      <c r="V37" s="1855">
        <v>27545</v>
      </c>
      <c r="W37" s="1855">
        <v>32003</v>
      </c>
      <c r="X37" s="1855">
        <v>31941</v>
      </c>
      <c r="Y37" s="1855">
        <v>33325</v>
      </c>
      <c r="Z37" s="1855">
        <v>33431</v>
      </c>
      <c r="AA37" s="1855">
        <v>28931</v>
      </c>
      <c r="AB37" s="1855">
        <v>26511</v>
      </c>
      <c r="AC37" s="1855">
        <v>26199</v>
      </c>
      <c r="AD37" s="1855">
        <v>21322</v>
      </c>
    </row>
    <row r="38" spans="1:33" x14ac:dyDescent="0.3">
      <c r="D38" s="1856" t="s">
        <v>409</v>
      </c>
      <c r="E38" s="1857">
        <v>3869</v>
      </c>
      <c r="F38" s="1636">
        <v>4734</v>
      </c>
      <c r="G38" s="1636">
        <v>7125</v>
      </c>
      <c r="H38" s="1636">
        <v>11123</v>
      </c>
      <c r="I38" s="1636">
        <v>22899</v>
      </c>
      <c r="J38" s="1636">
        <v>12401</v>
      </c>
      <c r="K38" s="1636">
        <v>20996</v>
      </c>
      <c r="L38" s="1636">
        <v>16667</v>
      </c>
      <c r="M38" s="1636">
        <v>14953</v>
      </c>
      <c r="N38" s="1636">
        <v>15810</v>
      </c>
      <c r="O38" s="1858">
        <v>16514</v>
      </c>
      <c r="P38" s="1855">
        <v>10112</v>
      </c>
      <c r="Q38" s="1855">
        <v>23609</v>
      </c>
      <c r="R38" s="1855">
        <v>18970</v>
      </c>
      <c r="S38" s="1855">
        <v>16686</v>
      </c>
      <c r="T38" s="1855">
        <v>23101</v>
      </c>
      <c r="U38" s="1855">
        <v>17981</v>
      </c>
      <c r="V38" s="1855">
        <v>15371</v>
      </c>
      <c r="W38" s="1855">
        <v>13960</v>
      </c>
      <c r="X38" s="1855">
        <v>3148</v>
      </c>
      <c r="Y38" s="1855">
        <v>2149</v>
      </c>
      <c r="Z38" s="1855">
        <v>9880</v>
      </c>
      <c r="AA38" s="1855">
        <v>14339</v>
      </c>
      <c r="AB38" s="1855">
        <v>12248</v>
      </c>
      <c r="AC38" s="1855">
        <v>13068</v>
      </c>
      <c r="AD38" s="1855">
        <v>14823</v>
      </c>
    </row>
    <row r="39" spans="1:33" x14ac:dyDescent="0.3">
      <c r="D39" s="1856" t="s">
        <v>408</v>
      </c>
      <c r="E39" s="1857">
        <v>5881</v>
      </c>
      <c r="F39" s="1636">
        <v>4702</v>
      </c>
      <c r="G39" s="1636">
        <v>12492</v>
      </c>
      <c r="H39" s="1636">
        <v>7682</v>
      </c>
      <c r="I39" s="1636">
        <v>16838</v>
      </c>
      <c r="J39" s="1636">
        <v>4808</v>
      </c>
      <c r="K39" s="1636">
        <v>16457</v>
      </c>
      <c r="L39" s="1636">
        <v>14584</v>
      </c>
      <c r="M39" s="1636">
        <v>21649</v>
      </c>
      <c r="N39" s="1636">
        <v>21232</v>
      </c>
      <c r="O39" s="1858">
        <v>18000</v>
      </c>
      <c r="P39" s="1855">
        <v>14986</v>
      </c>
      <c r="Q39" s="1855">
        <v>10651</v>
      </c>
      <c r="R39" s="1855">
        <v>16569</v>
      </c>
      <c r="S39" s="1855">
        <v>17626</v>
      </c>
      <c r="T39" s="1855">
        <v>7800</v>
      </c>
      <c r="U39" s="1855">
        <v>12019</v>
      </c>
      <c r="V39" s="1855">
        <v>9217</v>
      </c>
      <c r="W39" s="1855">
        <v>9569</v>
      </c>
      <c r="X39" s="1855">
        <v>15704</v>
      </c>
      <c r="Y39" s="1855">
        <v>15293</v>
      </c>
      <c r="Z39" s="1855">
        <v>15207</v>
      </c>
      <c r="AA39" s="1855">
        <v>11718</v>
      </c>
      <c r="AB39" s="1855">
        <v>12962</v>
      </c>
      <c r="AC39" s="1855">
        <v>10847</v>
      </c>
      <c r="AD39" s="1855">
        <v>10612</v>
      </c>
    </row>
    <row r="40" spans="1:33" x14ac:dyDescent="0.3">
      <c r="D40" s="1856" t="s">
        <v>406</v>
      </c>
      <c r="E40" s="1857">
        <v>2322</v>
      </c>
      <c r="F40" s="1636">
        <v>2841</v>
      </c>
      <c r="G40" s="1636">
        <v>2902</v>
      </c>
      <c r="H40" s="1636">
        <v>3369</v>
      </c>
      <c r="I40" s="1636">
        <v>2387</v>
      </c>
      <c r="J40" s="1636">
        <v>2600</v>
      </c>
      <c r="K40" s="1636">
        <v>4148</v>
      </c>
      <c r="L40" s="1636">
        <v>2588</v>
      </c>
      <c r="M40" s="1636">
        <v>6056</v>
      </c>
      <c r="N40" s="1636">
        <v>3787</v>
      </c>
      <c r="O40" s="1858">
        <v>10037</v>
      </c>
      <c r="P40" s="1855">
        <v>35515</v>
      </c>
      <c r="Q40" s="1855">
        <v>46972</v>
      </c>
      <c r="R40" s="1855">
        <v>19945</v>
      </c>
      <c r="S40" s="1855">
        <v>17784</v>
      </c>
      <c r="T40" s="1855">
        <v>32971</v>
      </c>
      <c r="U40" s="1855">
        <v>23192</v>
      </c>
      <c r="V40" s="1855">
        <v>26892</v>
      </c>
      <c r="W40" s="1855">
        <v>16633</v>
      </c>
      <c r="X40" s="1855">
        <v>9667</v>
      </c>
      <c r="Y40" s="1855">
        <v>13770</v>
      </c>
      <c r="Z40" s="1855">
        <v>17561</v>
      </c>
      <c r="AA40" s="1855">
        <v>3548</v>
      </c>
      <c r="AB40" s="1855">
        <v>2249</v>
      </c>
      <c r="AC40" s="1855">
        <v>2720</v>
      </c>
      <c r="AD40" s="1855">
        <v>1551</v>
      </c>
    </row>
    <row r="41" spans="1:33" x14ac:dyDescent="0.3">
      <c r="D41" s="1856" t="s">
        <v>403</v>
      </c>
      <c r="E41" s="1857">
        <v>7415</v>
      </c>
      <c r="F41" s="1636">
        <v>4278</v>
      </c>
      <c r="G41" s="1636">
        <v>15750</v>
      </c>
      <c r="H41" s="1636">
        <v>14821</v>
      </c>
      <c r="I41" s="1636">
        <v>18367</v>
      </c>
      <c r="J41" s="1636">
        <v>12944</v>
      </c>
      <c r="K41" s="1636">
        <v>14109</v>
      </c>
      <c r="L41" s="1636">
        <v>13876</v>
      </c>
      <c r="M41" s="1636">
        <v>23784</v>
      </c>
      <c r="N41" s="1636">
        <v>10484</v>
      </c>
      <c r="O41" s="1858">
        <v>3598</v>
      </c>
      <c r="P41" s="1855">
        <v>8667</v>
      </c>
      <c r="Q41" s="1855">
        <v>3880</v>
      </c>
      <c r="R41" s="1855">
        <v>8686</v>
      </c>
      <c r="S41" s="1855">
        <v>4914</v>
      </c>
      <c r="T41" s="1855">
        <v>6257</v>
      </c>
      <c r="U41" s="1855">
        <v>6796</v>
      </c>
      <c r="V41" s="1855">
        <v>5139</v>
      </c>
      <c r="W41" s="1855">
        <v>4839</v>
      </c>
      <c r="X41" s="1855">
        <v>5339</v>
      </c>
      <c r="Y41" s="1855">
        <v>5158</v>
      </c>
      <c r="Z41" s="1855">
        <v>1997</v>
      </c>
      <c r="AA41" s="1855">
        <v>15118</v>
      </c>
      <c r="AB41" s="1855">
        <v>10246</v>
      </c>
      <c r="AC41" s="1855">
        <v>10687</v>
      </c>
      <c r="AD41" s="1855">
        <v>11744</v>
      </c>
    </row>
    <row r="42" spans="1:33" x14ac:dyDescent="0.3">
      <c r="D42" s="1861" t="s">
        <v>401</v>
      </c>
      <c r="E42" s="1857">
        <v>8820</v>
      </c>
      <c r="F42" s="1636">
        <v>13123</v>
      </c>
      <c r="G42" s="1636">
        <v>16242</v>
      </c>
      <c r="H42" s="1636">
        <v>30970</v>
      </c>
      <c r="I42" s="1636">
        <v>34575</v>
      </c>
      <c r="J42" s="1636">
        <v>26916</v>
      </c>
      <c r="K42" s="1636">
        <v>17730</v>
      </c>
      <c r="L42" s="1636">
        <v>16643</v>
      </c>
      <c r="M42" s="1636">
        <v>20500</v>
      </c>
      <c r="N42" s="1636">
        <v>15735</v>
      </c>
      <c r="O42" s="1858">
        <v>29945</v>
      </c>
      <c r="P42" s="1855">
        <v>34465</v>
      </c>
      <c r="Q42" s="1855">
        <v>34585</v>
      </c>
      <c r="R42" s="1855">
        <v>34157</v>
      </c>
      <c r="S42" s="1855">
        <v>31014</v>
      </c>
      <c r="T42" s="1855">
        <v>31645</v>
      </c>
      <c r="U42" s="1855">
        <v>24536</v>
      </c>
      <c r="V42" s="1855">
        <v>19751</v>
      </c>
      <c r="W42" s="1855">
        <v>21787</v>
      </c>
      <c r="X42" s="1855">
        <v>18530</v>
      </c>
      <c r="Y42" s="1855">
        <v>16785</v>
      </c>
      <c r="Z42" s="1855">
        <v>16635</v>
      </c>
      <c r="AA42" s="1855">
        <v>18339</v>
      </c>
      <c r="AB42" s="1855">
        <v>16343</v>
      </c>
      <c r="AC42" s="1855">
        <v>16700</v>
      </c>
      <c r="AD42" s="1855">
        <v>14497</v>
      </c>
    </row>
    <row r="43" spans="1:33" x14ac:dyDescent="0.3">
      <c r="D43" s="1862" t="s">
        <v>232</v>
      </c>
      <c r="E43" s="1863">
        <f t="shared" ref="E43:AA43" si="1">SUM(E34:E42)</f>
        <v>60820</v>
      </c>
      <c r="F43" s="1863">
        <f t="shared" si="1"/>
        <v>74409</v>
      </c>
      <c r="G43" s="1863">
        <f t="shared" si="1"/>
        <v>129193</v>
      </c>
      <c r="H43" s="1863">
        <f t="shared" si="1"/>
        <v>209000</v>
      </c>
      <c r="I43" s="1863">
        <f t="shared" si="1"/>
        <v>248391</v>
      </c>
      <c r="J43" s="1863">
        <f t="shared" si="1"/>
        <v>161572</v>
      </c>
      <c r="K43" s="1863">
        <f t="shared" si="1"/>
        <v>190643</v>
      </c>
      <c r="L43" s="1863">
        <f t="shared" si="1"/>
        <v>143281</v>
      </c>
      <c r="M43" s="1863">
        <f t="shared" si="1"/>
        <v>214070</v>
      </c>
      <c r="N43" s="1863">
        <f t="shared" si="1"/>
        <v>193615</v>
      </c>
      <c r="O43" s="1863">
        <f t="shared" si="1"/>
        <v>235537</v>
      </c>
      <c r="P43" s="1863">
        <f t="shared" si="1"/>
        <v>243689</v>
      </c>
      <c r="Q43" s="1863">
        <f t="shared" si="1"/>
        <v>271219</v>
      </c>
      <c r="R43" s="1863">
        <f t="shared" si="1"/>
        <v>228763</v>
      </c>
      <c r="S43" s="1863">
        <f t="shared" si="1"/>
        <v>228872</v>
      </c>
      <c r="T43" s="1863">
        <f t="shared" si="1"/>
        <v>226216</v>
      </c>
      <c r="U43" s="1863">
        <f t="shared" si="1"/>
        <v>185425</v>
      </c>
      <c r="V43" s="1863">
        <f t="shared" si="1"/>
        <v>179197</v>
      </c>
      <c r="W43" s="1863">
        <f t="shared" si="1"/>
        <v>160777</v>
      </c>
      <c r="X43" s="1863">
        <f t="shared" si="1"/>
        <v>154129</v>
      </c>
      <c r="Y43" s="1863">
        <f t="shared" si="1"/>
        <v>143911</v>
      </c>
      <c r="Z43" s="1863">
        <f t="shared" si="1"/>
        <v>152253</v>
      </c>
      <c r="AA43" s="1863">
        <f t="shared" si="1"/>
        <v>146072</v>
      </c>
      <c r="AB43" s="1863">
        <f>SUM(AB34:AB42)</f>
        <v>137390</v>
      </c>
      <c r="AC43" s="1863">
        <f>SUM(AC34:AC42)</f>
        <v>128935</v>
      </c>
      <c r="AD43" s="1863">
        <f>SUM(AD34:AD42)</f>
        <v>121158</v>
      </c>
      <c r="AF43" s="1847"/>
    </row>
    <row r="44" spans="1:33" x14ac:dyDescent="0.3">
      <c r="E44" s="1765"/>
      <c r="F44" s="1864"/>
      <c r="G44" s="1864"/>
      <c r="H44" s="1864"/>
      <c r="I44" s="1865"/>
      <c r="J44" s="1864"/>
      <c r="K44" s="1865"/>
      <c r="L44" s="1864"/>
      <c r="M44" s="1864"/>
      <c r="N44" s="1864"/>
      <c r="O44" s="1864"/>
      <c r="P44" s="1864"/>
      <c r="Q44" s="1864"/>
      <c r="R44" s="1864"/>
      <c r="S44" s="1864"/>
      <c r="T44" s="1864"/>
      <c r="U44" s="1864"/>
      <c r="AA44" s="1866"/>
      <c r="AB44" s="1636"/>
      <c r="AC44" s="1636"/>
      <c r="AD44" s="1636"/>
      <c r="AE44" s="1636"/>
      <c r="AF44" s="1636"/>
      <c r="AG44" s="1636"/>
    </row>
    <row r="45" spans="1:33" ht="15" customHeight="1" x14ac:dyDescent="0.3">
      <c r="A45" s="1255">
        <v>6</v>
      </c>
      <c r="B45" s="1255" t="s">
        <v>58</v>
      </c>
      <c r="C45" s="1255"/>
      <c r="D45" s="4733" t="s">
        <v>684</v>
      </c>
      <c r="E45" s="4734"/>
      <c r="F45" s="4734"/>
      <c r="G45" s="4734"/>
      <c r="H45" s="4734"/>
      <c r="I45" s="4734"/>
      <c r="J45" s="4734"/>
      <c r="K45" s="4734"/>
      <c r="L45" s="4734"/>
      <c r="M45" s="4734"/>
      <c r="N45" s="4734"/>
      <c r="O45" s="4734"/>
      <c r="P45" s="4734"/>
      <c r="Q45" s="4734"/>
      <c r="R45" s="4734"/>
      <c r="S45" s="4734"/>
      <c r="T45" s="4734"/>
      <c r="U45" s="4734"/>
      <c r="V45" s="4734"/>
      <c r="W45" s="4734"/>
      <c r="X45" s="4734"/>
      <c r="Y45" s="4734"/>
      <c r="Z45" s="4734"/>
      <c r="AA45" s="4734"/>
      <c r="AB45" s="4734"/>
      <c r="AC45" s="4735"/>
      <c r="AD45" s="1636"/>
      <c r="AE45" s="1636"/>
      <c r="AF45" s="1636"/>
      <c r="AG45" s="1636"/>
    </row>
    <row r="46" spans="1:33" ht="96" customHeight="1" x14ac:dyDescent="0.3">
      <c r="A46" s="1306">
        <v>7</v>
      </c>
      <c r="B46" s="1306" t="s">
        <v>60</v>
      </c>
      <c r="C46" s="1255"/>
      <c r="D46" s="4733" t="s">
        <v>685</v>
      </c>
      <c r="E46" s="4734"/>
      <c r="F46" s="4734"/>
      <c r="G46" s="4734"/>
      <c r="H46" s="4734"/>
      <c r="I46" s="4734"/>
      <c r="J46" s="4734"/>
      <c r="K46" s="4734"/>
      <c r="L46" s="4734"/>
      <c r="M46" s="4734"/>
      <c r="N46" s="4734"/>
      <c r="O46" s="4734"/>
      <c r="P46" s="4734"/>
      <c r="Q46" s="4734"/>
      <c r="R46" s="4734"/>
      <c r="S46" s="4734"/>
      <c r="T46" s="4734"/>
      <c r="U46" s="4734"/>
      <c r="V46" s="4734"/>
      <c r="W46" s="4734"/>
      <c r="X46" s="4734"/>
      <c r="Y46" s="4734"/>
      <c r="Z46" s="4734"/>
      <c r="AA46" s="4734"/>
      <c r="AB46" s="4734"/>
      <c r="AC46" s="4735"/>
      <c r="AD46" s="1636"/>
      <c r="AE46" s="1636"/>
      <c r="AF46" s="1636"/>
      <c r="AG46" s="1636"/>
    </row>
    <row r="47" spans="1:33" ht="30.75" customHeight="1" x14ac:dyDescent="0.3">
      <c r="A47" s="1255">
        <v>8</v>
      </c>
      <c r="B47" s="1255" t="s">
        <v>62</v>
      </c>
      <c r="C47" s="1255"/>
      <c r="D47" s="4764" t="s">
        <v>1976</v>
      </c>
      <c r="E47" s="4765"/>
      <c r="F47" s="4765"/>
      <c r="G47" s="4765"/>
      <c r="H47" s="4765"/>
      <c r="I47" s="4765"/>
      <c r="J47" s="4765"/>
      <c r="K47" s="4765"/>
      <c r="L47" s="4765"/>
      <c r="M47" s="4765"/>
      <c r="N47" s="4765"/>
      <c r="O47" s="4765"/>
      <c r="P47" s="4765"/>
      <c r="Q47" s="4765"/>
      <c r="R47" s="4765"/>
      <c r="S47" s="4765"/>
      <c r="T47" s="4765"/>
      <c r="U47" s="4765"/>
      <c r="V47" s="4765"/>
      <c r="W47" s="4765"/>
      <c r="X47" s="4765"/>
      <c r="Y47" s="4765"/>
      <c r="Z47" s="4765"/>
      <c r="AA47" s="4765"/>
      <c r="AB47" s="4765"/>
      <c r="AC47" s="4766"/>
    </row>
    <row r="48" spans="1:33" ht="44.25" customHeight="1" x14ac:dyDescent="0.3">
      <c r="A48" s="1255">
        <v>9</v>
      </c>
      <c r="B48" s="1255" t="s">
        <v>134</v>
      </c>
      <c r="C48" s="1256"/>
      <c r="D48" s="4764" t="s">
        <v>686</v>
      </c>
      <c r="E48" s="4765"/>
      <c r="F48" s="4765"/>
      <c r="G48" s="4765"/>
      <c r="H48" s="4765"/>
      <c r="I48" s="4765"/>
      <c r="J48" s="4765"/>
      <c r="K48" s="4765"/>
      <c r="L48" s="4765"/>
      <c r="M48" s="4765"/>
      <c r="N48" s="4765"/>
      <c r="O48" s="4765"/>
      <c r="P48" s="4765"/>
      <c r="Q48" s="4765"/>
      <c r="R48" s="4765"/>
      <c r="S48" s="4765"/>
      <c r="T48" s="4765"/>
      <c r="U48" s="4765"/>
      <c r="V48" s="4765"/>
      <c r="W48" s="4765"/>
      <c r="X48" s="4765"/>
      <c r="Y48" s="4765"/>
      <c r="Z48" s="4765"/>
      <c r="AA48" s="4765"/>
      <c r="AB48" s="4765"/>
      <c r="AC48" s="4766"/>
    </row>
  </sheetData>
  <mergeCells count="9">
    <mergeCell ref="D46:AC46"/>
    <mergeCell ref="D47:AC47"/>
    <mergeCell ref="D48:AC48"/>
    <mergeCell ref="D2:AC2"/>
    <mergeCell ref="D3:AC3"/>
    <mergeCell ref="D4:AC4"/>
    <mergeCell ref="D5:AC5"/>
    <mergeCell ref="D7:AA7"/>
    <mergeCell ref="D45:AC45"/>
  </mergeCells>
  <pageMargins left="0.7" right="0.7" top="0.75" bottom="0.75" header="0.3" footer="0.3"/>
  <pageSetup paperSize="8" scale="6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7071-F929-46B6-BE3D-E809CC2878EF}">
  <sheetPr>
    <tabColor rgb="FF00B050"/>
    <pageSetUpPr fitToPage="1"/>
  </sheetPr>
  <dimension ref="A1:GQ54"/>
  <sheetViews>
    <sheetView showGridLines="0" topLeftCell="A7" zoomScaleNormal="100" zoomScaleSheetLayoutView="100" workbookViewId="0">
      <selection activeCell="F33" sqref="F33"/>
    </sheetView>
  </sheetViews>
  <sheetFormatPr defaultColWidth="9.1796875" defaultRowHeight="14" x14ac:dyDescent="0.3"/>
  <cols>
    <col min="1" max="1" width="3.7265625" style="1867" customWidth="1"/>
    <col min="2" max="2" width="14.453125" style="1910" customWidth="1"/>
    <col min="3" max="3" width="3.7265625" style="1910" customWidth="1"/>
    <col min="4" max="4" width="21" style="1912" customWidth="1"/>
    <col min="5" max="5" width="8.7265625" style="1912" customWidth="1"/>
    <col min="6" max="7" width="7.81640625" style="1912" bestFit="1" customWidth="1"/>
    <col min="8" max="8" width="8.7265625" style="1912" bestFit="1" customWidth="1"/>
    <col min="9" max="9" width="8.7265625" style="1912" customWidth="1"/>
    <col min="10" max="17" width="8.7265625" style="1912" bestFit="1" customWidth="1"/>
    <col min="18" max="19" width="8.7265625" style="1873" customWidth="1"/>
    <col min="20" max="22" width="8.7265625" style="1873" bestFit="1" customWidth="1"/>
    <col min="23" max="28" width="10" style="1873" customWidth="1"/>
    <col min="29" max="31" width="9.1796875" style="1873" customWidth="1"/>
    <col min="32" max="32" width="10.1796875" style="1873" customWidth="1"/>
    <col min="33" max="43" width="9.1796875" style="1873" customWidth="1"/>
    <col min="44" max="44" width="10.1796875" style="1873" customWidth="1"/>
    <col min="45" max="49" width="9.1796875" style="1873" customWidth="1"/>
    <col min="50" max="50" width="10.1796875" style="1873" customWidth="1"/>
    <col min="51" max="55" width="9.1796875" style="1873" customWidth="1"/>
    <col min="56" max="56" width="10.1796875" style="1873" customWidth="1"/>
    <col min="57" max="61" width="9.1796875" style="1873" customWidth="1"/>
    <col min="62" max="62" width="10.1796875" style="1873" customWidth="1"/>
    <col min="63" max="64" width="9.1796875" style="1873" customWidth="1"/>
    <col min="65" max="74" width="9.1796875" style="1874" customWidth="1"/>
    <col min="75" max="76" width="9.1796875" style="1874"/>
    <col min="77" max="77" width="10.7265625" style="1874" customWidth="1"/>
    <col min="78" max="199" width="9.1796875" style="1874"/>
    <col min="200" max="16384" width="9.1796875" style="1873"/>
  </cols>
  <sheetData>
    <row r="1" spans="1:199" ht="14.5" x14ac:dyDescent="0.35">
      <c r="B1" s="1868"/>
      <c r="C1" s="1868"/>
      <c r="D1" s="1869"/>
      <c r="E1" s="1869"/>
      <c r="F1" s="1869"/>
      <c r="G1" s="1869"/>
      <c r="H1" s="1869"/>
      <c r="I1" s="1869"/>
      <c r="J1" s="1869"/>
      <c r="K1" s="1869"/>
      <c r="L1" s="1869"/>
      <c r="M1" s="1869"/>
      <c r="N1" s="1869"/>
      <c r="O1" s="1869"/>
      <c r="P1" s="1869"/>
      <c r="Q1" s="1870"/>
      <c r="R1" s="1871"/>
      <c r="S1" s="1872"/>
    </row>
    <row r="2" spans="1:199" ht="15" customHeight="1" x14ac:dyDescent="0.3">
      <c r="A2" s="1875">
        <v>1</v>
      </c>
      <c r="B2" s="819" t="s">
        <v>0</v>
      </c>
      <c r="C2" s="819">
        <v>27</v>
      </c>
      <c r="D2" s="4691" t="s">
        <v>687</v>
      </c>
      <c r="E2" s="4692"/>
      <c r="F2" s="4692"/>
      <c r="G2" s="4692"/>
      <c r="H2" s="4692"/>
      <c r="I2" s="4692"/>
      <c r="J2" s="4692"/>
      <c r="K2" s="4692"/>
      <c r="L2" s="4692"/>
      <c r="M2" s="4692"/>
      <c r="N2" s="4692"/>
      <c r="O2" s="4692"/>
      <c r="P2" s="4692"/>
      <c r="Q2" s="4692"/>
      <c r="R2" s="4692"/>
      <c r="S2" s="4692"/>
      <c r="T2" s="4692"/>
      <c r="U2" s="4692"/>
      <c r="V2" s="4693"/>
      <c r="W2" s="4558"/>
      <c r="X2" s="4558"/>
      <c r="Y2" s="4558"/>
      <c r="Z2" s="4558"/>
      <c r="AA2" s="4558"/>
      <c r="AB2" s="4558"/>
    </row>
    <row r="3" spans="1:199" ht="15" customHeight="1" x14ac:dyDescent="0.3">
      <c r="A3" s="1875">
        <v>2</v>
      </c>
      <c r="B3" s="819" t="s">
        <v>2</v>
      </c>
      <c r="C3" s="819"/>
      <c r="D3" s="4691" t="s">
        <v>688</v>
      </c>
      <c r="E3" s="4692"/>
      <c r="F3" s="4692"/>
      <c r="G3" s="4692"/>
      <c r="H3" s="4692"/>
      <c r="I3" s="4692"/>
      <c r="J3" s="4692"/>
      <c r="K3" s="4692"/>
      <c r="L3" s="4692"/>
      <c r="M3" s="4692"/>
      <c r="N3" s="4692"/>
      <c r="O3" s="4692"/>
      <c r="P3" s="4692"/>
      <c r="Q3" s="4692"/>
      <c r="R3" s="4692"/>
      <c r="S3" s="4692"/>
      <c r="T3" s="4692"/>
      <c r="U3" s="4692"/>
      <c r="V3" s="4693"/>
      <c r="W3" s="4558"/>
      <c r="X3" s="4558"/>
      <c r="Y3" s="4558"/>
      <c r="Z3" s="4558"/>
      <c r="AA3" s="4558"/>
      <c r="AB3" s="4558"/>
    </row>
    <row r="4" spans="1:199" ht="15" customHeight="1" x14ac:dyDescent="0.3">
      <c r="A4" s="1875">
        <v>3</v>
      </c>
      <c r="B4" s="819" t="s">
        <v>4</v>
      </c>
      <c r="C4" s="819"/>
      <c r="D4" s="4691" t="s">
        <v>689</v>
      </c>
      <c r="E4" s="4692"/>
      <c r="F4" s="4692"/>
      <c r="G4" s="4692"/>
      <c r="H4" s="4692"/>
      <c r="I4" s="4692"/>
      <c r="J4" s="4692"/>
      <c r="K4" s="4692"/>
      <c r="L4" s="4692"/>
      <c r="M4" s="4692"/>
      <c r="N4" s="4692"/>
      <c r="O4" s="4692"/>
      <c r="P4" s="4692"/>
      <c r="Q4" s="4692"/>
      <c r="R4" s="4692"/>
      <c r="S4" s="4692"/>
      <c r="T4" s="4692"/>
      <c r="U4" s="4692"/>
      <c r="V4" s="4693"/>
      <c r="W4" s="4558"/>
      <c r="X4" s="4558"/>
      <c r="Y4" s="4558"/>
      <c r="Z4" s="4558"/>
      <c r="AA4" s="4558"/>
      <c r="AB4" s="4558"/>
    </row>
    <row r="5" spans="1:199" ht="15" customHeight="1" x14ac:dyDescent="0.3">
      <c r="A5" s="1875"/>
      <c r="B5" s="819"/>
      <c r="C5" s="819"/>
      <c r="D5" s="1876"/>
      <c r="E5" s="482"/>
      <c r="F5" s="482"/>
      <c r="G5" s="482"/>
      <c r="H5" s="482"/>
      <c r="I5" s="482"/>
      <c r="J5" s="482"/>
      <c r="K5" s="482"/>
      <c r="L5" s="482"/>
      <c r="M5" s="482"/>
      <c r="N5" s="482"/>
      <c r="O5" s="482"/>
      <c r="P5" s="482"/>
      <c r="Q5" s="482"/>
      <c r="R5" s="482"/>
      <c r="S5" s="482"/>
      <c r="T5" s="482"/>
      <c r="U5" s="482"/>
      <c r="V5" s="482"/>
      <c r="W5" s="4558"/>
      <c r="X5" s="4558"/>
      <c r="Y5" s="4558"/>
      <c r="Z5" s="4558"/>
      <c r="AA5" s="4558"/>
      <c r="AB5" s="4558"/>
    </row>
    <row r="6" spans="1:199" x14ac:dyDescent="0.3">
      <c r="A6" s="1875">
        <v>4</v>
      </c>
      <c r="B6" s="1192" t="s">
        <v>6</v>
      </c>
      <c r="C6" s="1192"/>
      <c r="D6" s="4799"/>
      <c r="E6" s="4800"/>
      <c r="F6" s="4800"/>
      <c r="G6" s="4800"/>
      <c r="H6" s="4800"/>
      <c r="I6" s="4800"/>
      <c r="J6" s="4800"/>
      <c r="K6" s="4800"/>
      <c r="L6" s="4800"/>
      <c r="M6" s="4800"/>
      <c r="N6" s="4800"/>
      <c r="O6" s="4800"/>
      <c r="P6" s="4800"/>
      <c r="Q6" s="1877"/>
      <c r="R6" s="1874"/>
      <c r="S6" s="1874"/>
    </row>
    <row r="7" spans="1:199" s="326" customFormat="1" x14ac:dyDescent="0.25">
      <c r="A7" s="1878"/>
      <c r="B7" s="1879"/>
      <c r="C7" s="1879"/>
      <c r="D7" s="89" t="s">
        <v>690</v>
      </c>
      <c r="E7" s="89" t="s">
        <v>691</v>
      </c>
      <c r="F7" s="89"/>
      <c r="G7" s="89"/>
      <c r="H7" s="89"/>
      <c r="I7" s="89"/>
      <c r="J7" s="89"/>
      <c r="K7" s="89"/>
      <c r="L7" s="89"/>
      <c r="M7" s="1880"/>
      <c r="Z7" s="1881"/>
      <c r="AA7" s="1881"/>
      <c r="AB7" s="1881"/>
      <c r="AC7" s="1881"/>
      <c r="AD7" s="1881"/>
      <c r="AE7" s="1881"/>
      <c r="AF7" s="1881"/>
      <c r="AG7" s="1881"/>
      <c r="BM7" s="1881"/>
      <c r="BN7" s="1881"/>
      <c r="BO7" s="1881"/>
      <c r="BP7" s="1881"/>
      <c r="BQ7" s="1881"/>
      <c r="BR7" s="1881"/>
      <c r="BS7" s="1881"/>
      <c r="BT7" s="1881"/>
      <c r="BU7" s="1881"/>
      <c r="BV7" s="1881"/>
      <c r="BW7" s="1881"/>
      <c r="BX7" s="1881"/>
      <c r="BY7" s="1881"/>
      <c r="BZ7" s="1881"/>
      <c r="CA7" s="1881"/>
      <c r="CB7" s="1881"/>
      <c r="CC7" s="1881"/>
      <c r="CD7" s="1881"/>
      <c r="CE7" s="1881"/>
      <c r="CF7" s="1881"/>
      <c r="CG7" s="1881"/>
      <c r="CH7" s="1881"/>
      <c r="CI7" s="1881"/>
      <c r="CJ7" s="1881"/>
      <c r="CK7" s="1881"/>
      <c r="CL7" s="1881"/>
      <c r="CM7" s="1881"/>
      <c r="CN7" s="1881"/>
      <c r="CO7" s="1881"/>
      <c r="CP7" s="1881"/>
      <c r="CQ7" s="1881"/>
      <c r="CR7" s="1881"/>
      <c r="CS7" s="1881"/>
      <c r="CT7" s="1881"/>
      <c r="CU7" s="1881"/>
      <c r="CV7" s="1881"/>
      <c r="CW7" s="1881"/>
      <c r="CX7" s="1881"/>
      <c r="CY7" s="1881"/>
      <c r="CZ7" s="1881"/>
      <c r="DA7" s="1881"/>
      <c r="DB7" s="1881"/>
      <c r="DC7" s="1881"/>
      <c r="DD7" s="1881"/>
      <c r="DE7" s="1881"/>
      <c r="DF7" s="1881"/>
      <c r="DG7" s="1881"/>
      <c r="DH7" s="1881"/>
      <c r="DI7" s="1881"/>
      <c r="DJ7" s="1881"/>
      <c r="DK7" s="1881"/>
      <c r="DL7" s="1881"/>
      <c r="DM7" s="1881"/>
      <c r="DN7" s="1881"/>
      <c r="DO7" s="1881"/>
      <c r="DP7" s="1881"/>
      <c r="DQ7" s="1881"/>
      <c r="DR7" s="1881"/>
      <c r="DS7" s="1881"/>
      <c r="DT7" s="1881"/>
      <c r="DU7" s="1881"/>
      <c r="DV7" s="1881"/>
      <c r="DW7" s="1881"/>
      <c r="DX7" s="1881"/>
      <c r="DY7" s="1881"/>
      <c r="DZ7" s="1881"/>
      <c r="EA7" s="1881"/>
      <c r="EB7" s="1881"/>
      <c r="EC7" s="1881"/>
      <c r="ED7" s="1881"/>
      <c r="EE7" s="1881"/>
      <c r="EF7" s="1881"/>
      <c r="EG7" s="1881"/>
      <c r="EH7" s="1881"/>
      <c r="EI7" s="1881"/>
      <c r="EJ7" s="1881"/>
      <c r="EK7" s="1881"/>
      <c r="EL7" s="1881"/>
      <c r="EM7" s="1881"/>
      <c r="EN7" s="1881"/>
      <c r="EO7" s="1881"/>
      <c r="EP7" s="1881"/>
      <c r="EQ7" s="1881"/>
      <c r="ER7" s="1881"/>
      <c r="ES7" s="1881"/>
      <c r="ET7" s="1881"/>
      <c r="EU7" s="1881"/>
      <c r="EV7" s="1881"/>
      <c r="EW7" s="1881"/>
      <c r="EX7" s="1881"/>
      <c r="EY7" s="1881"/>
      <c r="EZ7" s="1881"/>
      <c r="FA7" s="1881"/>
      <c r="FB7" s="1881"/>
      <c r="FC7" s="1881"/>
      <c r="FD7" s="1881"/>
      <c r="FE7" s="1881"/>
      <c r="FF7" s="1881"/>
      <c r="FG7" s="1881"/>
      <c r="FH7" s="1881"/>
      <c r="FI7" s="1881"/>
      <c r="FJ7" s="1881"/>
      <c r="FK7" s="1881"/>
      <c r="FL7" s="1881"/>
      <c r="FM7" s="1881"/>
      <c r="FN7" s="1881"/>
      <c r="FO7" s="1881"/>
      <c r="FP7" s="1881"/>
      <c r="FQ7" s="1881"/>
      <c r="FR7" s="1881"/>
      <c r="FS7" s="1881"/>
      <c r="FT7" s="1881"/>
      <c r="FU7" s="1881"/>
      <c r="FV7" s="1881"/>
      <c r="FW7" s="1881"/>
      <c r="FX7" s="1881"/>
      <c r="FY7" s="1881"/>
      <c r="FZ7" s="1881"/>
      <c r="GA7" s="1881"/>
      <c r="GB7" s="1881"/>
      <c r="GC7" s="1881"/>
      <c r="GD7" s="1881"/>
      <c r="GE7" s="1881"/>
      <c r="GF7" s="1881"/>
      <c r="GG7" s="1881"/>
      <c r="GH7" s="1881"/>
      <c r="GI7" s="1881"/>
      <c r="GJ7" s="1881"/>
      <c r="GK7" s="1881"/>
      <c r="GL7" s="1881"/>
      <c r="GM7" s="1881"/>
      <c r="GN7" s="1881"/>
      <c r="GO7" s="1881"/>
      <c r="GP7" s="1881"/>
      <c r="GQ7" s="1881"/>
    </row>
    <row r="8" spans="1:199" x14ac:dyDescent="0.3">
      <c r="B8" s="1882"/>
      <c r="C8" s="1882"/>
      <c r="D8" s="1883"/>
      <c r="E8" s="1883"/>
      <c r="F8" s="1884">
        <v>2002</v>
      </c>
      <c r="G8" s="1884">
        <v>2003</v>
      </c>
      <c r="H8" s="1884">
        <v>2004</v>
      </c>
      <c r="I8" s="1884">
        <v>2005</v>
      </c>
      <c r="J8" s="1884">
        <v>2006</v>
      </c>
      <c r="K8" s="1884">
        <v>2007</v>
      </c>
      <c r="L8" s="1884">
        <v>2008</v>
      </c>
      <c r="M8" s="1884">
        <v>2009</v>
      </c>
      <c r="N8" s="1884">
        <v>2010</v>
      </c>
      <c r="O8" s="1884">
        <v>2011</v>
      </c>
      <c r="P8" s="1884">
        <v>2012</v>
      </c>
      <c r="Q8" s="1884">
        <v>2013</v>
      </c>
      <c r="R8" s="1884">
        <v>2014</v>
      </c>
      <c r="S8" s="1884">
        <v>2015</v>
      </c>
      <c r="T8" s="1884">
        <v>2016</v>
      </c>
      <c r="U8" s="1884">
        <v>2017</v>
      </c>
      <c r="V8" s="1884">
        <v>2018</v>
      </c>
      <c r="W8" s="1884">
        <v>2019</v>
      </c>
      <c r="X8" s="1874"/>
      <c r="Y8" s="1874"/>
      <c r="Z8" s="1874"/>
      <c r="AA8" s="1874"/>
      <c r="AB8" s="1874"/>
      <c r="AC8" s="1874"/>
      <c r="AD8" s="1874"/>
      <c r="AE8" s="1874"/>
      <c r="AF8" s="1874"/>
      <c r="AG8" s="1874"/>
    </row>
    <row r="9" spans="1:199" s="1890" customFormat="1" x14ac:dyDescent="0.3">
      <c r="A9" s="1885"/>
      <c r="B9" s="1886"/>
      <c r="C9" s="1887"/>
      <c r="D9" s="1888" t="s">
        <v>402</v>
      </c>
      <c r="E9" s="1889"/>
      <c r="F9" s="1854">
        <v>56.1</v>
      </c>
      <c r="G9" s="1854">
        <v>59.4</v>
      </c>
      <c r="H9" s="1854">
        <v>63.4</v>
      </c>
      <c r="I9" s="1854">
        <v>68.8</v>
      </c>
      <c r="J9" s="1854">
        <v>70.400000000000006</v>
      </c>
      <c r="K9" s="1854">
        <v>74.8</v>
      </c>
      <c r="L9" s="1854">
        <v>70.8</v>
      </c>
      <c r="M9" s="1854">
        <v>74.900000000000006</v>
      </c>
      <c r="N9" s="1854">
        <v>74.900000000000006</v>
      </c>
      <c r="O9" s="1854">
        <v>75.7</v>
      </c>
      <c r="P9" s="1854">
        <v>79.2</v>
      </c>
      <c r="Q9" s="1854">
        <v>80.7</v>
      </c>
      <c r="R9" s="1854">
        <v>78.7</v>
      </c>
      <c r="S9" s="1854">
        <v>75.5</v>
      </c>
      <c r="T9" s="1854">
        <v>76.400000000000006</v>
      </c>
      <c r="U9" s="1854">
        <v>74.2</v>
      </c>
      <c r="V9" s="1854">
        <v>75.061811500000005</v>
      </c>
      <c r="W9" s="1854">
        <v>73.919697265753626</v>
      </c>
    </row>
    <row r="10" spans="1:199" s="1890" customFormat="1" x14ac:dyDescent="0.3">
      <c r="A10" s="1885"/>
      <c r="B10" s="1886"/>
      <c r="C10" s="1887"/>
      <c r="D10" s="1888" t="s">
        <v>404</v>
      </c>
      <c r="E10" s="1889"/>
      <c r="F10" s="1858">
        <v>95.6</v>
      </c>
      <c r="G10" s="1858">
        <v>97.2</v>
      </c>
      <c r="H10" s="1858">
        <v>95</v>
      </c>
      <c r="I10" s="1858">
        <v>97</v>
      </c>
      <c r="J10" s="1858">
        <v>97.4</v>
      </c>
      <c r="K10" s="1858">
        <v>96.3</v>
      </c>
      <c r="L10" s="1858">
        <v>97.6</v>
      </c>
      <c r="M10" s="1858">
        <v>95.2</v>
      </c>
      <c r="N10" s="1858">
        <v>96.9</v>
      </c>
      <c r="O10" s="1858">
        <v>96.8</v>
      </c>
      <c r="P10" s="1858">
        <v>96.6</v>
      </c>
      <c r="Q10" s="1858">
        <v>95.9</v>
      </c>
      <c r="R10" s="1858">
        <v>95.2</v>
      </c>
      <c r="S10" s="1858">
        <v>96.2</v>
      </c>
      <c r="T10" s="1858">
        <v>93.2</v>
      </c>
      <c r="U10" s="1858">
        <v>92.8</v>
      </c>
      <c r="V10" s="1858">
        <v>91.127549099999996</v>
      </c>
      <c r="W10" s="1858">
        <v>91.940514988246832</v>
      </c>
    </row>
    <row r="11" spans="1:199" s="1890" customFormat="1" x14ac:dyDescent="0.3">
      <c r="A11" s="1885"/>
      <c r="B11" s="1886"/>
      <c r="C11" s="1887"/>
      <c r="D11" s="1888" t="s">
        <v>407</v>
      </c>
      <c r="E11" s="1889"/>
      <c r="F11" s="1858">
        <v>98.7</v>
      </c>
      <c r="G11" s="1858">
        <v>98.9</v>
      </c>
      <c r="H11" s="1858">
        <v>98.8</v>
      </c>
      <c r="I11" s="1858">
        <v>98</v>
      </c>
      <c r="J11" s="1858">
        <v>98</v>
      </c>
      <c r="K11" s="1858">
        <v>97.2</v>
      </c>
      <c r="L11" s="1858">
        <v>97.1</v>
      </c>
      <c r="M11" s="1858">
        <v>98.1</v>
      </c>
      <c r="N11" s="1858">
        <v>97.2</v>
      </c>
      <c r="O11" s="1858">
        <v>97.8</v>
      </c>
      <c r="P11" s="1858">
        <v>97.2</v>
      </c>
      <c r="Q11" s="1858">
        <v>95.9</v>
      </c>
      <c r="R11" s="1858">
        <v>96.5</v>
      </c>
      <c r="S11" s="1858">
        <v>97.7</v>
      </c>
      <c r="T11" s="1858">
        <v>97.5</v>
      </c>
      <c r="U11" s="1858">
        <v>97.1</v>
      </c>
      <c r="V11" s="1858">
        <v>97.129584100000002</v>
      </c>
      <c r="W11" s="1858">
        <v>97.632069346746349</v>
      </c>
    </row>
    <row r="12" spans="1:199" s="1890" customFormat="1" x14ac:dyDescent="0.3">
      <c r="A12" s="1885"/>
      <c r="B12" s="1886"/>
      <c r="C12" s="1887"/>
      <c r="D12" s="1888" t="s">
        <v>405</v>
      </c>
      <c r="E12" s="1889"/>
      <c r="F12" s="1858">
        <v>75.400000000000006</v>
      </c>
      <c r="G12" s="1858">
        <v>78.2</v>
      </c>
      <c r="H12" s="1858">
        <v>79.400000000000006</v>
      </c>
      <c r="I12" s="1858">
        <v>81.7</v>
      </c>
      <c r="J12" s="1858">
        <v>81.400000000000006</v>
      </c>
      <c r="K12" s="1858">
        <v>83.4</v>
      </c>
      <c r="L12" s="1858">
        <v>82.1</v>
      </c>
      <c r="M12" s="1858">
        <v>84.1</v>
      </c>
      <c r="N12" s="1858">
        <v>84.1</v>
      </c>
      <c r="O12" s="1858">
        <v>84.2</v>
      </c>
      <c r="P12" s="1858">
        <v>87.8</v>
      </c>
      <c r="Q12" s="1858">
        <v>86.6</v>
      </c>
      <c r="R12" s="1858">
        <v>87</v>
      </c>
      <c r="S12" s="1858">
        <v>85.3</v>
      </c>
      <c r="T12" s="1858">
        <v>84.2</v>
      </c>
      <c r="U12" s="1858">
        <v>84.5</v>
      </c>
      <c r="V12" s="1858">
        <v>86.629678299999995</v>
      </c>
      <c r="W12" s="1858">
        <v>85.42593130898895</v>
      </c>
    </row>
    <row r="13" spans="1:199" s="1890" customFormat="1" x14ac:dyDescent="0.3">
      <c r="A13" s="1885"/>
      <c r="B13" s="1886"/>
      <c r="C13" s="1887"/>
      <c r="D13" s="1888" t="s">
        <v>409</v>
      </c>
      <c r="E13" s="1889"/>
      <c r="F13" s="1858">
        <v>73.8</v>
      </c>
      <c r="G13" s="1858">
        <v>79</v>
      </c>
      <c r="H13" s="1858">
        <v>75.400000000000006</v>
      </c>
      <c r="I13" s="1858">
        <v>77.7</v>
      </c>
      <c r="J13" s="1858">
        <v>80.7</v>
      </c>
      <c r="K13" s="1858">
        <v>83.5</v>
      </c>
      <c r="L13" s="1858">
        <v>82.5</v>
      </c>
      <c r="M13" s="1858">
        <v>80.900000000000006</v>
      </c>
      <c r="N13" s="1858">
        <v>84</v>
      </c>
      <c r="O13" s="1858">
        <v>82.9</v>
      </c>
      <c r="P13" s="1858">
        <v>80.099999999999994</v>
      </c>
      <c r="Q13" s="1858">
        <v>77.5</v>
      </c>
      <c r="R13" s="1858">
        <v>79.599999999999994</v>
      </c>
      <c r="S13" s="1858">
        <v>78.8</v>
      </c>
      <c r="T13" s="1858">
        <v>75.099999999999994</v>
      </c>
      <c r="U13" s="1858">
        <v>74.7</v>
      </c>
      <c r="V13" s="1858">
        <v>74.064659300000002</v>
      </c>
      <c r="W13" s="1858">
        <v>70.035469221873896</v>
      </c>
    </row>
    <row r="14" spans="1:199" s="1890" customFormat="1" x14ac:dyDescent="0.3">
      <c r="A14" s="1885"/>
      <c r="B14" s="1886"/>
      <c r="C14" s="1887"/>
      <c r="D14" s="1888" t="s">
        <v>408</v>
      </c>
      <c r="E14" s="1889"/>
      <c r="F14" s="1858">
        <v>90.5</v>
      </c>
      <c r="G14" s="1858">
        <v>91.4</v>
      </c>
      <c r="H14" s="1858">
        <v>88.1</v>
      </c>
      <c r="I14" s="1858">
        <v>89.8</v>
      </c>
      <c r="J14" s="1858">
        <v>88.9</v>
      </c>
      <c r="K14" s="1858">
        <v>88.4</v>
      </c>
      <c r="L14" s="1858">
        <v>88.3</v>
      </c>
      <c r="M14" s="1858">
        <v>87.4</v>
      </c>
      <c r="N14" s="1858">
        <v>88.1</v>
      </c>
      <c r="O14" s="1858">
        <v>87.5</v>
      </c>
      <c r="P14" s="1858">
        <v>87.6</v>
      </c>
      <c r="Q14" s="1858">
        <v>86.8</v>
      </c>
      <c r="R14" s="1858">
        <v>87.2</v>
      </c>
      <c r="S14" s="1858">
        <v>85.6</v>
      </c>
      <c r="T14" s="1858">
        <v>85.4</v>
      </c>
      <c r="U14" s="1858">
        <v>85.5</v>
      </c>
      <c r="V14" s="1858">
        <v>86.498187599999994</v>
      </c>
      <c r="W14" s="1858">
        <v>85.225405035140597</v>
      </c>
    </row>
    <row r="15" spans="1:199" s="1890" customFormat="1" x14ac:dyDescent="0.3">
      <c r="A15" s="1885"/>
      <c r="B15" s="1886"/>
      <c r="C15" s="1887"/>
      <c r="D15" s="1888" t="s">
        <v>406</v>
      </c>
      <c r="E15" s="1889"/>
      <c r="F15" s="1858">
        <v>85.6</v>
      </c>
      <c r="G15" s="1858">
        <v>90.3</v>
      </c>
      <c r="H15" s="1858">
        <v>88.5</v>
      </c>
      <c r="I15" s="1858">
        <v>87.2</v>
      </c>
      <c r="J15" s="1858">
        <v>90.8</v>
      </c>
      <c r="K15" s="1858">
        <v>89.7</v>
      </c>
      <c r="L15" s="1858">
        <v>90</v>
      </c>
      <c r="M15" s="1858">
        <v>87.9</v>
      </c>
      <c r="N15" s="1858">
        <v>91</v>
      </c>
      <c r="O15" s="1858">
        <v>91.1</v>
      </c>
      <c r="P15" s="1858">
        <v>91.2</v>
      </c>
      <c r="Q15" s="1858">
        <v>88.4</v>
      </c>
      <c r="R15" s="1858">
        <v>87.2</v>
      </c>
      <c r="S15" s="1858">
        <v>86.1</v>
      </c>
      <c r="T15" s="1858">
        <v>86.7</v>
      </c>
      <c r="U15" s="1858">
        <v>85.8</v>
      </c>
      <c r="V15" s="1858">
        <v>85.1746239</v>
      </c>
      <c r="W15" s="1858">
        <v>82.131742802954719</v>
      </c>
    </row>
    <row r="16" spans="1:199" s="1890" customFormat="1" x14ac:dyDescent="0.3">
      <c r="A16" s="1885"/>
      <c r="B16" s="1886"/>
      <c r="C16" s="1887"/>
      <c r="D16" s="1888" t="s">
        <v>692</v>
      </c>
      <c r="E16" s="1889"/>
      <c r="F16" s="1858">
        <v>92.5</v>
      </c>
      <c r="G16" s="1858">
        <v>96.1</v>
      </c>
      <c r="H16" s="1858">
        <v>93.2</v>
      </c>
      <c r="I16" s="1858">
        <v>95.4</v>
      </c>
      <c r="J16" s="1858">
        <v>95.4</v>
      </c>
      <c r="K16" s="1858">
        <v>94.8</v>
      </c>
      <c r="L16" s="1858">
        <v>90.7</v>
      </c>
      <c r="M16" s="1858">
        <v>95.9</v>
      </c>
      <c r="N16" s="1858">
        <v>94.1</v>
      </c>
      <c r="O16" s="1858">
        <v>96.2</v>
      </c>
      <c r="P16" s="1858">
        <v>95.7</v>
      </c>
      <c r="Q16" s="1858">
        <v>96.4</v>
      </c>
      <c r="R16" s="1858">
        <v>96</v>
      </c>
      <c r="S16" s="1858">
        <v>96.4</v>
      </c>
      <c r="T16" s="1858">
        <v>96</v>
      </c>
      <c r="U16" s="1858">
        <v>96</v>
      </c>
      <c r="V16" s="1858">
        <v>95.256064000000009</v>
      </c>
      <c r="W16" s="1858">
        <v>93.968628460416454</v>
      </c>
    </row>
    <row r="17" spans="1:134" s="1890" customFormat="1" x14ac:dyDescent="0.3">
      <c r="A17" s="1885"/>
      <c r="B17" s="1886"/>
      <c r="C17" s="1887"/>
      <c r="D17" s="1888" t="s">
        <v>693</v>
      </c>
      <c r="E17" s="1889"/>
      <c r="F17" s="1858">
        <v>98.9</v>
      </c>
      <c r="G17" s="1858">
        <v>98.9</v>
      </c>
      <c r="H17" s="1858">
        <v>99.2</v>
      </c>
      <c r="I17" s="1858">
        <v>98.5</v>
      </c>
      <c r="J17" s="1858">
        <v>99.4</v>
      </c>
      <c r="K17" s="1858">
        <v>98</v>
      </c>
      <c r="L17" s="1858">
        <v>98.6</v>
      </c>
      <c r="M17" s="1858">
        <v>99.6</v>
      </c>
      <c r="N17" s="1858">
        <v>98.8</v>
      </c>
      <c r="O17" s="1858">
        <v>99.5</v>
      </c>
      <c r="P17" s="1858">
        <v>98.9</v>
      </c>
      <c r="Q17" s="1858">
        <v>98.7</v>
      </c>
      <c r="R17" s="1858">
        <v>98.9</v>
      </c>
      <c r="S17" s="1858">
        <v>99.3</v>
      </c>
      <c r="T17" s="1858">
        <v>98.7</v>
      </c>
      <c r="U17" s="1858">
        <v>98.7</v>
      </c>
      <c r="V17" s="1858">
        <v>98.673865399999997</v>
      </c>
      <c r="W17" s="1858">
        <v>98.502170545502139</v>
      </c>
    </row>
    <row r="18" spans="1:134" s="1895" customFormat="1" x14ac:dyDescent="0.3">
      <c r="A18" s="1885"/>
      <c r="B18" s="1891"/>
      <c r="C18" s="1891"/>
      <c r="D18" s="1892" t="s">
        <v>306</v>
      </c>
      <c r="E18" s="1893"/>
      <c r="F18" s="1894">
        <v>84.4</v>
      </c>
      <c r="G18" s="1894">
        <v>86.6</v>
      </c>
      <c r="H18" s="1894">
        <v>86.5</v>
      </c>
      <c r="I18" s="1894">
        <v>87.9</v>
      </c>
      <c r="J18" s="1894">
        <v>88.8</v>
      </c>
      <c r="K18" s="1894">
        <v>89.4</v>
      </c>
      <c r="L18" s="1894">
        <v>88.7</v>
      </c>
      <c r="M18" s="1894">
        <v>89.6</v>
      </c>
      <c r="N18" s="1894">
        <v>90</v>
      </c>
      <c r="O18" s="1894">
        <v>90.3</v>
      </c>
      <c r="P18" s="1894">
        <v>90.9</v>
      </c>
      <c r="Q18" s="1894">
        <v>89.9</v>
      </c>
      <c r="R18" s="1894">
        <v>90.1</v>
      </c>
      <c r="S18" s="1894">
        <v>89.6</v>
      </c>
      <c r="T18" s="1894">
        <v>89</v>
      </c>
      <c r="U18" s="1894">
        <v>88.6</v>
      </c>
      <c r="V18" s="1894">
        <v>89.006898399999983</v>
      </c>
      <c r="W18" s="1894">
        <v>88.180382975544589</v>
      </c>
    </row>
    <row r="19" spans="1:134" x14ac:dyDescent="0.3">
      <c r="B19" s="1882"/>
      <c r="C19" s="1882"/>
      <c r="D19" s="1896"/>
      <c r="E19" s="1896"/>
      <c r="F19" s="1897"/>
      <c r="G19" s="1896"/>
      <c r="H19" s="1896"/>
      <c r="I19" s="1896"/>
      <c r="J19" s="1898"/>
      <c r="K19" s="1898"/>
      <c r="L19" s="1898"/>
      <c r="M19" s="1898"/>
      <c r="N19" s="1898"/>
      <c r="O19" s="1898"/>
      <c r="P19" s="1898"/>
      <c r="Q19" s="1898"/>
      <c r="R19" s="1899"/>
      <c r="S19" s="1899"/>
      <c r="T19" s="1874"/>
      <c r="U19" s="1874"/>
      <c r="V19" s="1874"/>
      <c r="W19" s="1914"/>
      <c r="X19" s="1874"/>
      <c r="Y19" s="1874"/>
      <c r="Z19" s="1874"/>
      <c r="AA19" s="1874"/>
      <c r="AB19" s="1874"/>
      <c r="AC19" s="1874"/>
      <c r="AD19" s="1874"/>
      <c r="AE19" s="1874"/>
      <c r="AF19" s="1874"/>
      <c r="AG19" s="1874"/>
    </row>
    <row r="20" spans="1:134" x14ac:dyDescent="0.3">
      <c r="B20" s="1882"/>
      <c r="C20" s="1882"/>
      <c r="D20" s="89" t="s">
        <v>521</v>
      </c>
      <c r="E20" s="89" t="s">
        <v>694</v>
      </c>
      <c r="F20" s="89"/>
      <c r="G20" s="89"/>
      <c r="H20" s="89"/>
      <c r="I20" s="1896"/>
      <c r="J20" s="1896"/>
      <c r="K20" s="1898"/>
      <c r="L20" s="1898"/>
      <c r="M20" s="1898"/>
      <c r="N20" s="1898"/>
      <c r="O20" s="1898"/>
      <c r="P20" s="1898"/>
      <c r="Q20" s="1898"/>
      <c r="R20" s="1899"/>
      <c r="S20" s="1899"/>
      <c r="T20" s="1874"/>
      <c r="U20" s="1874"/>
      <c r="V20" s="1874"/>
      <c r="W20" s="1914"/>
      <c r="X20" s="1874"/>
      <c r="Y20" s="1874"/>
      <c r="Z20" s="1874"/>
      <c r="AA20" s="1874"/>
      <c r="AB20" s="1874"/>
      <c r="AC20" s="1874"/>
      <c r="AD20" s="1874"/>
      <c r="AE20" s="1874"/>
      <c r="AF20" s="1874"/>
      <c r="AG20" s="1874"/>
    </row>
    <row r="21" spans="1:134" x14ac:dyDescent="0.3">
      <c r="B21" s="1882"/>
      <c r="C21" s="1882"/>
      <c r="D21" s="1883"/>
      <c r="E21" s="1883"/>
      <c r="F21" s="1884">
        <v>2002</v>
      </c>
      <c r="G21" s="1884">
        <v>2003</v>
      </c>
      <c r="H21" s="1884">
        <v>2004</v>
      </c>
      <c r="I21" s="1884">
        <v>2005</v>
      </c>
      <c r="J21" s="1884">
        <v>2006</v>
      </c>
      <c r="K21" s="1884">
        <v>2007</v>
      </c>
      <c r="L21" s="1884">
        <v>2008</v>
      </c>
      <c r="M21" s="1884">
        <v>2009</v>
      </c>
      <c r="N21" s="1884">
        <v>2010</v>
      </c>
      <c r="O21" s="1884">
        <v>2011</v>
      </c>
      <c r="P21" s="1884">
        <v>2012</v>
      </c>
      <c r="Q21" s="1884">
        <v>2013</v>
      </c>
      <c r="R21" s="1884">
        <v>2014</v>
      </c>
      <c r="S21" s="1884">
        <v>2015</v>
      </c>
      <c r="T21" s="1884">
        <v>2016</v>
      </c>
      <c r="U21" s="1884">
        <v>2017</v>
      </c>
      <c r="V21" s="1884">
        <v>2018</v>
      </c>
      <c r="W21" s="1913">
        <v>2019</v>
      </c>
      <c r="X21" s="1874"/>
      <c r="Y21" s="1874"/>
      <c r="Z21" s="1874"/>
      <c r="AA21" s="1874"/>
      <c r="AB21" s="1874"/>
      <c r="AC21" s="1874"/>
      <c r="AD21" s="1874"/>
      <c r="AE21" s="1874"/>
      <c r="AF21" s="1874"/>
      <c r="AG21" s="1874"/>
    </row>
    <row r="22" spans="1:134" s="1890" customFormat="1" x14ac:dyDescent="0.3">
      <c r="A22" s="1885"/>
      <c r="B22" s="1886"/>
      <c r="C22" s="1887"/>
      <c r="D22" s="1888" t="s">
        <v>402</v>
      </c>
      <c r="E22" s="1889"/>
      <c r="F22" s="1854">
        <v>845026</v>
      </c>
      <c r="G22" s="1854">
        <v>902020</v>
      </c>
      <c r="H22" s="1854">
        <v>966533</v>
      </c>
      <c r="I22" s="1854">
        <v>1052460</v>
      </c>
      <c r="J22" s="1854">
        <v>1078397</v>
      </c>
      <c r="K22" s="1854">
        <v>1151878</v>
      </c>
      <c r="L22" s="1854">
        <v>1097578</v>
      </c>
      <c r="M22" s="1854">
        <v>1168400</v>
      </c>
      <c r="N22" s="1854">
        <v>1175755</v>
      </c>
      <c r="O22" s="1854">
        <v>1195819</v>
      </c>
      <c r="P22" s="1854">
        <v>1264595</v>
      </c>
      <c r="Q22" s="1854">
        <v>1299907</v>
      </c>
      <c r="R22" s="1854">
        <v>1278740</v>
      </c>
      <c r="S22" s="1854">
        <v>1235693</v>
      </c>
      <c r="T22" s="1854">
        <v>1259362</v>
      </c>
      <c r="U22" s="1854">
        <v>1236910</v>
      </c>
      <c r="V22" s="1854">
        <v>1264903.7081495</v>
      </c>
      <c r="W22" s="1854">
        <v>1258167.6267943</v>
      </c>
    </row>
    <row r="23" spans="1:134" s="1890" customFormat="1" x14ac:dyDescent="0.3">
      <c r="A23" s="1885"/>
      <c r="B23" s="1886"/>
      <c r="C23" s="1887"/>
      <c r="D23" s="1888" t="s">
        <v>404</v>
      </c>
      <c r="E23" s="1889"/>
      <c r="F23" s="1858">
        <v>649484</v>
      </c>
      <c r="G23" s="1858">
        <v>671532</v>
      </c>
      <c r="H23" s="1858">
        <v>668131</v>
      </c>
      <c r="I23" s="1858">
        <v>693391</v>
      </c>
      <c r="J23" s="1858">
        <v>707565</v>
      </c>
      <c r="K23" s="1858">
        <v>711276</v>
      </c>
      <c r="L23" s="1858">
        <v>732878</v>
      </c>
      <c r="M23" s="1858">
        <v>726031</v>
      </c>
      <c r="N23" s="1858">
        <v>751145</v>
      </c>
      <c r="O23" s="1858">
        <v>761721</v>
      </c>
      <c r="P23" s="1858">
        <v>774019</v>
      </c>
      <c r="Q23" s="1858">
        <v>782108</v>
      </c>
      <c r="R23" s="1858">
        <v>789756</v>
      </c>
      <c r="S23" s="1858">
        <v>813240</v>
      </c>
      <c r="T23" s="1858">
        <v>803589</v>
      </c>
      <c r="U23" s="1858">
        <v>818533</v>
      </c>
      <c r="V23" s="1858">
        <v>821349.71536510007</v>
      </c>
      <c r="W23" s="1858">
        <v>846994.67114520003</v>
      </c>
    </row>
    <row r="24" spans="1:134" s="1890" customFormat="1" x14ac:dyDescent="0.3">
      <c r="A24" s="1885"/>
      <c r="B24" s="1886"/>
      <c r="C24" s="1887"/>
      <c r="D24" s="1888" t="s">
        <v>407</v>
      </c>
      <c r="E24" s="1889"/>
      <c r="F24" s="1858">
        <v>2744403</v>
      </c>
      <c r="G24" s="1858">
        <v>2848782</v>
      </c>
      <c r="H24" s="1858">
        <v>2940792</v>
      </c>
      <c r="I24" s="1858">
        <v>3027280</v>
      </c>
      <c r="J24" s="1858">
        <v>3136953</v>
      </c>
      <c r="K24" s="1858">
        <v>3212724</v>
      </c>
      <c r="L24" s="1858">
        <v>3316887</v>
      </c>
      <c r="M24" s="1858">
        <v>3468516</v>
      </c>
      <c r="N24" s="1858">
        <v>3565400</v>
      </c>
      <c r="O24" s="1858">
        <v>3723644</v>
      </c>
      <c r="P24" s="1858">
        <v>3829016</v>
      </c>
      <c r="Q24" s="1858">
        <v>3906542</v>
      </c>
      <c r="R24" s="1858">
        <v>4072595</v>
      </c>
      <c r="S24" s="1858">
        <v>4275213</v>
      </c>
      <c r="T24" s="1858">
        <v>4430437</v>
      </c>
      <c r="U24" s="1858">
        <v>4570355</v>
      </c>
      <c r="V24" s="1858">
        <v>4743673.6232808996</v>
      </c>
      <c r="W24" s="1858">
        <v>4952046.6335033001</v>
      </c>
    </row>
    <row r="25" spans="1:134" s="1890" customFormat="1" x14ac:dyDescent="0.3">
      <c r="A25" s="1885"/>
      <c r="B25" s="1886"/>
      <c r="C25" s="1887"/>
      <c r="D25" s="1888" t="s">
        <v>405</v>
      </c>
      <c r="E25" s="1889"/>
      <c r="F25" s="1858">
        <v>1560299</v>
      </c>
      <c r="G25" s="1858">
        <v>1644121</v>
      </c>
      <c r="H25" s="1858">
        <v>1695349</v>
      </c>
      <c r="I25" s="1858">
        <v>1771176</v>
      </c>
      <c r="J25" s="1858">
        <v>1789935</v>
      </c>
      <c r="K25" s="1858">
        <v>1867507</v>
      </c>
      <c r="L25" s="1858">
        <v>1874496</v>
      </c>
      <c r="M25" s="1858">
        <v>1961709</v>
      </c>
      <c r="N25" s="1858">
        <v>2004031</v>
      </c>
      <c r="O25" s="1858">
        <v>2049044</v>
      </c>
      <c r="P25" s="1858">
        <v>2189769</v>
      </c>
      <c r="Q25" s="1858">
        <v>2214578</v>
      </c>
      <c r="R25" s="1858">
        <v>2277190</v>
      </c>
      <c r="S25" s="1858">
        <v>2288083</v>
      </c>
      <c r="T25" s="1858">
        <v>2317659</v>
      </c>
      <c r="U25" s="1858">
        <v>2389818</v>
      </c>
      <c r="V25" s="1858">
        <v>2516178.5594958002</v>
      </c>
      <c r="W25" s="1858">
        <v>2549793.9606989003</v>
      </c>
    </row>
    <row r="26" spans="1:134" s="1890" customFormat="1" x14ac:dyDescent="0.3">
      <c r="A26" s="1885"/>
      <c r="B26" s="1886"/>
      <c r="C26" s="1887"/>
      <c r="D26" s="1888" t="s">
        <v>409</v>
      </c>
      <c r="E26" s="1889"/>
      <c r="F26" s="1858">
        <v>827373</v>
      </c>
      <c r="G26" s="1858">
        <v>902990</v>
      </c>
      <c r="H26" s="1858">
        <v>877090</v>
      </c>
      <c r="I26" s="1858">
        <v>917448</v>
      </c>
      <c r="J26" s="1858">
        <v>966829</v>
      </c>
      <c r="K26" s="1858">
        <v>1020064</v>
      </c>
      <c r="L26" s="1858">
        <v>1029281</v>
      </c>
      <c r="M26" s="1858">
        <v>1029535</v>
      </c>
      <c r="N26" s="1858">
        <v>1090195</v>
      </c>
      <c r="O26" s="1858">
        <v>1097225</v>
      </c>
      <c r="P26" s="1858">
        <v>1086612</v>
      </c>
      <c r="Q26" s="1858">
        <v>1076715</v>
      </c>
      <c r="R26" s="1858">
        <v>1133186</v>
      </c>
      <c r="S26" s="1858">
        <v>1149513</v>
      </c>
      <c r="T26" s="1858">
        <v>1122673</v>
      </c>
      <c r="U26" s="1858">
        <v>1147798</v>
      </c>
      <c r="V26" s="1858">
        <v>1169312.0820207</v>
      </c>
      <c r="W26" s="1858">
        <v>1135008.6039605001</v>
      </c>
    </row>
    <row r="27" spans="1:134" s="1890" customFormat="1" x14ac:dyDescent="0.3">
      <c r="A27" s="1885"/>
      <c r="B27" s="1886"/>
      <c r="C27" s="1887"/>
      <c r="D27" s="1888" t="s">
        <v>408</v>
      </c>
      <c r="E27" s="1889"/>
      <c r="F27" s="1858">
        <v>725465</v>
      </c>
      <c r="G27" s="1858">
        <v>755318</v>
      </c>
      <c r="H27" s="1858">
        <v>749555</v>
      </c>
      <c r="I27" s="1858">
        <v>787001</v>
      </c>
      <c r="J27" s="1858">
        <v>801867</v>
      </c>
      <c r="K27" s="1858">
        <v>820783</v>
      </c>
      <c r="L27" s="1858">
        <v>844039</v>
      </c>
      <c r="M27" s="1858">
        <v>859986</v>
      </c>
      <c r="N27" s="1858">
        <v>892441</v>
      </c>
      <c r="O27" s="1858">
        <v>913254</v>
      </c>
      <c r="P27" s="1858">
        <v>940881</v>
      </c>
      <c r="Q27" s="1858">
        <v>959640</v>
      </c>
      <c r="R27" s="1858">
        <v>991538</v>
      </c>
      <c r="S27" s="1858">
        <v>1002649</v>
      </c>
      <c r="T27" s="1858">
        <v>1031570</v>
      </c>
      <c r="U27" s="1858">
        <v>1066302</v>
      </c>
      <c r="V27" s="1858">
        <v>1114842.0911429999</v>
      </c>
      <c r="W27" s="1858">
        <v>1134921.2932088</v>
      </c>
    </row>
    <row r="28" spans="1:134" s="1890" customFormat="1" x14ac:dyDescent="0.3">
      <c r="A28" s="1885"/>
      <c r="B28" s="1886"/>
      <c r="C28" s="1887"/>
      <c r="D28" s="1888" t="s">
        <v>406</v>
      </c>
      <c r="E28" s="1889"/>
      <c r="F28" s="1858">
        <v>656601</v>
      </c>
      <c r="G28" s="1858">
        <v>712816</v>
      </c>
      <c r="H28" s="1858">
        <v>717885</v>
      </c>
      <c r="I28" s="1858">
        <v>727178</v>
      </c>
      <c r="J28" s="1858">
        <v>778872</v>
      </c>
      <c r="K28" s="1858">
        <v>790575</v>
      </c>
      <c r="L28" s="1858">
        <v>814652</v>
      </c>
      <c r="M28" s="1858">
        <v>817468</v>
      </c>
      <c r="N28" s="1858">
        <v>869502</v>
      </c>
      <c r="O28" s="1858">
        <v>894524</v>
      </c>
      <c r="P28" s="1858">
        <v>919712</v>
      </c>
      <c r="Q28" s="1858">
        <v>916682</v>
      </c>
      <c r="R28" s="1858">
        <v>930747</v>
      </c>
      <c r="S28" s="1858">
        <v>946465</v>
      </c>
      <c r="T28" s="1858">
        <v>984532</v>
      </c>
      <c r="U28" s="1858">
        <v>1005885</v>
      </c>
      <c r="V28" s="1858">
        <v>1030208.0100379002</v>
      </c>
      <c r="W28" s="1858">
        <v>1024622.0839117999</v>
      </c>
    </row>
    <row r="29" spans="1:134" s="1890" customFormat="1" x14ac:dyDescent="0.3">
      <c r="A29" s="1885"/>
      <c r="B29" s="1886"/>
      <c r="C29" s="1887"/>
      <c r="D29" s="1888" t="s">
        <v>692</v>
      </c>
      <c r="E29" s="1889"/>
      <c r="F29" s="1858">
        <v>228770</v>
      </c>
      <c r="G29" s="1858">
        <v>241836</v>
      </c>
      <c r="H29" s="1858">
        <v>239262</v>
      </c>
      <c r="I29" s="1858">
        <v>249524</v>
      </c>
      <c r="J29" s="1858">
        <v>254063</v>
      </c>
      <c r="K29" s="1858">
        <v>257425</v>
      </c>
      <c r="L29" s="1858">
        <v>251300</v>
      </c>
      <c r="M29" s="1858">
        <v>270566</v>
      </c>
      <c r="N29" s="1858">
        <v>270335</v>
      </c>
      <c r="O29" s="1858">
        <v>281546</v>
      </c>
      <c r="P29" s="1858">
        <v>286022</v>
      </c>
      <c r="Q29" s="1858">
        <v>294221</v>
      </c>
      <c r="R29" s="1858">
        <v>298921</v>
      </c>
      <c r="S29" s="1858">
        <v>306699</v>
      </c>
      <c r="T29" s="1858">
        <v>312351</v>
      </c>
      <c r="U29" s="1858">
        <v>319936</v>
      </c>
      <c r="V29" s="1858">
        <v>325442.8374895</v>
      </c>
      <c r="W29" s="1858">
        <v>328884.64629790001</v>
      </c>
    </row>
    <row r="30" spans="1:134" s="1890" customFormat="1" x14ac:dyDescent="0.3">
      <c r="A30" s="1885"/>
      <c r="B30" s="1886"/>
      <c r="C30" s="1887"/>
      <c r="D30" s="1888" t="s">
        <v>693</v>
      </c>
      <c r="E30" s="1889"/>
      <c r="F30" s="1858">
        <v>1202920</v>
      </c>
      <c r="G30" s="1858">
        <v>1237044</v>
      </c>
      <c r="H30" s="1858">
        <v>1276154</v>
      </c>
      <c r="I30" s="1858">
        <v>1303491</v>
      </c>
      <c r="J30" s="1858">
        <v>1352546</v>
      </c>
      <c r="K30" s="1858">
        <v>1367002</v>
      </c>
      <c r="L30" s="1858">
        <v>1412239</v>
      </c>
      <c r="M30" s="1858">
        <v>1462166</v>
      </c>
      <c r="N30" s="1858">
        <v>1488667</v>
      </c>
      <c r="O30" s="1858">
        <v>1539887</v>
      </c>
      <c r="P30" s="1858">
        <v>1568180</v>
      </c>
      <c r="Q30" s="1858">
        <v>1604501</v>
      </c>
      <c r="R30" s="1858">
        <v>1651225</v>
      </c>
      <c r="S30" s="1858">
        <v>1705370</v>
      </c>
      <c r="T30" s="1858">
        <v>1747053</v>
      </c>
      <c r="U30" s="1858">
        <v>1799858</v>
      </c>
      <c r="V30" s="1858">
        <v>1852299.1809739002</v>
      </c>
      <c r="W30" s="1858">
        <v>1903944.8521006</v>
      </c>
    </row>
    <row r="31" spans="1:134" s="1900" customFormat="1" x14ac:dyDescent="0.3">
      <c r="A31" s="1885"/>
      <c r="B31" s="1891"/>
      <c r="C31" s="1891"/>
      <c r="D31" s="1892" t="s">
        <v>306</v>
      </c>
      <c r="E31" s="1893"/>
      <c r="F31" s="1894">
        <v>9440342</v>
      </c>
      <c r="G31" s="1894">
        <v>9916459</v>
      </c>
      <c r="H31" s="1894">
        <v>10130751</v>
      </c>
      <c r="I31" s="1894">
        <v>10528949</v>
      </c>
      <c r="J31" s="1894">
        <v>10867028</v>
      </c>
      <c r="K31" s="1894">
        <v>11199235</v>
      </c>
      <c r="L31" s="1894">
        <v>11373350</v>
      </c>
      <c r="M31" s="1894">
        <v>11764378</v>
      </c>
      <c r="N31" s="1894">
        <v>12107470</v>
      </c>
      <c r="O31" s="1894">
        <v>12456665</v>
      </c>
      <c r="P31" s="1894">
        <v>12858807</v>
      </c>
      <c r="Q31" s="1894">
        <v>13054895</v>
      </c>
      <c r="R31" s="1894">
        <v>13423898</v>
      </c>
      <c r="S31" s="1894">
        <v>13722925</v>
      </c>
      <c r="T31" s="1894">
        <v>14009226</v>
      </c>
      <c r="U31" s="1894">
        <v>14355396</v>
      </c>
      <c r="V31" s="1894">
        <v>14838209.8079565</v>
      </c>
      <c r="W31" s="1894">
        <v>15134384.371621201</v>
      </c>
      <c r="Y31" s="1895"/>
      <c r="Z31" s="1895"/>
      <c r="AA31" s="1895"/>
      <c r="AB31" s="1895"/>
      <c r="AC31" s="1895"/>
      <c r="AD31" s="1895"/>
      <c r="AE31" s="1895"/>
      <c r="AF31" s="1895"/>
      <c r="AG31" s="1895"/>
      <c r="AH31" s="1895"/>
      <c r="AI31" s="1895"/>
      <c r="AJ31" s="1895"/>
      <c r="AK31" s="1895"/>
      <c r="AL31" s="1895"/>
      <c r="AM31" s="1895"/>
      <c r="AN31" s="1895"/>
      <c r="AO31" s="1895"/>
      <c r="AP31" s="1895"/>
      <c r="AQ31" s="1895"/>
      <c r="AR31" s="1895"/>
      <c r="AS31" s="1895"/>
      <c r="AT31" s="1895"/>
      <c r="AU31" s="1895"/>
      <c r="AV31" s="1895"/>
      <c r="AW31" s="1895"/>
      <c r="AX31" s="1895"/>
      <c r="AY31" s="1895"/>
      <c r="AZ31" s="1895"/>
      <c r="BA31" s="1895"/>
      <c r="BB31" s="1895"/>
      <c r="BC31" s="1895"/>
      <c r="BD31" s="1895"/>
      <c r="BE31" s="1895"/>
      <c r="BF31" s="1895"/>
      <c r="BG31" s="1895"/>
      <c r="BH31" s="1895"/>
      <c r="BI31" s="1895"/>
      <c r="BJ31" s="1895"/>
      <c r="BK31" s="1895"/>
      <c r="BL31" s="1895"/>
      <c r="BM31" s="1895"/>
      <c r="BN31" s="1895"/>
      <c r="BO31" s="1895"/>
      <c r="BP31" s="1895"/>
      <c r="BQ31" s="1895"/>
      <c r="BR31" s="1895"/>
      <c r="BS31" s="1895"/>
      <c r="BT31" s="1895"/>
      <c r="BU31" s="1895"/>
      <c r="BV31" s="1895"/>
      <c r="BW31" s="1895"/>
      <c r="BX31" s="1895"/>
      <c r="BY31" s="1895"/>
      <c r="BZ31" s="1895"/>
      <c r="CA31" s="1895"/>
      <c r="CB31" s="1895"/>
      <c r="CC31" s="1895"/>
      <c r="CD31" s="1895"/>
      <c r="CE31" s="1895"/>
      <c r="CF31" s="1895"/>
      <c r="CG31" s="1895"/>
      <c r="CH31" s="1895"/>
      <c r="CI31" s="1895"/>
      <c r="CJ31" s="1895"/>
      <c r="CK31" s="1895"/>
      <c r="CL31" s="1895"/>
      <c r="CM31" s="1895"/>
      <c r="CN31" s="1895"/>
      <c r="CO31" s="1895"/>
      <c r="CP31" s="1895"/>
      <c r="CQ31" s="1895"/>
      <c r="CR31" s="1895"/>
      <c r="CS31" s="1895"/>
      <c r="CT31" s="1895"/>
      <c r="CU31" s="1895"/>
      <c r="CV31" s="1895"/>
      <c r="CW31" s="1895"/>
      <c r="CX31" s="1895"/>
      <c r="CY31" s="1895"/>
      <c r="CZ31" s="1895"/>
      <c r="DA31" s="1895"/>
      <c r="DB31" s="1895"/>
      <c r="DC31" s="1895"/>
      <c r="DD31" s="1895"/>
      <c r="DE31" s="1895"/>
      <c r="DF31" s="1895"/>
      <c r="DG31" s="1895"/>
      <c r="DH31" s="1895"/>
      <c r="DI31" s="1895"/>
      <c r="DJ31" s="1895"/>
      <c r="DK31" s="1895"/>
      <c r="DL31" s="1895"/>
      <c r="DM31" s="1895"/>
      <c r="DN31" s="1895"/>
      <c r="DO31" s="1895"/>
      <c r="DP31" s="1895"/>
      <c r="DQ31" s="1895"/>
      <c r="DR31" s="1895"/>
      <c r="DS31" s="1895"/>
      <c r="DT31" s="1895"/>
      <c r="DU31" s="1895"/>
      <c r="DV31" s="1895"/>
      <c r="DW31" s="1895"/>
      <c r="DX31" s="1895"/>
      <c r="DY31" s="1895"/>
      <c r="DZ31" s="1895"/>
      <c r="EA31" s="1895"/>
      <c r="EB31" s="1895"/>
      <c r="EC31" s="1895"/>
      <c r="ED31" s="1895"/>
    </row>
    <row r="32" spans="1:134" s="1895" customFormat="1" x14ac:dyDescent="0.3">
      <c r="A32" s="1885"/>
      <c r="B32" s="1891"/>
      <c r="C32" s="1891"/>
      <c r="D32" s="1901"/>
      <c r="E32" s="1902"/>
      <c r="F32" s="1903"/>
      <c r="G32" s="1903"/>
      <c r="H32" s="1904"/>
      <c r="I32" s="1902"/>
      <c r="J32" s="1902"/>
      <c r="K32" s="1903"/>
      <c r="L32" s="1902"/>
      <c r="M32" s="1903"/>
      <c r="N32" s="1902"/>
      <c r="O32" s="1902"/>
      <c r="P32" s="1903"/>
      <c r="Q32" s="1902"/>
      <c r="R32" s="1905"/>
      <c r="S32" s="1902"/>
      <c r="T32" s="1902"/>
      <c r="U32" s="1903"/>
      <c r="V32" s="1902"/>
      <c r="W32" s="1905"/>
      <c r="X32" s="1902"/>
      <c r="Y32" s="1902"/>
      <c r="Z32" s="1902"/>
      <c r="AA32" s="1902"/>
      <c r="AB32" s="1905"/>
      <c r="AC32" s="1902"/>
      <c r="AD32" s="1902"/>
      <c r="AE32" s="1902"/>
      <c r="AF32" s="1902"/>
      <c r="AG32" s="1905"/>
      <c r="AH32" s="1902"/>
      <c r="AI32" s="1902"/>
      <c r="AJ32" s="1902"/>
      <c r="AK32" s="1902"/>
      <c r="AL32" s="1905"/>
      <c r="AM32" s="1902"/>
      <c r="AN32" s="1902"/>
      <c r="AO32" s="1902"/>
      <c r="AP32" s="1902"/>
      <c r="AQ32" s="1905"/>
      <c r="AR32" s="1904"/>
      <c r="AS32" s="1902"/>
      <c r="AT32" s="1902"/>
      <c r="AU32" s="1902"/>
      <c r="AV32" s="1905"/>
      <c r="AW32" s="1904"/>
      <c r="AX32" s="1902"/>
      <c r="AY32" s="1906"/>
      <c r="AZ32" s="1906"/>
      <c r="BA32" s="1905"/>
      <c r="BB32" s="1907"/>
      <c r="BC32" s="1906"/>
      <c r="BD32" s="1906"/>
      <c r="BE32" s="1906"/>
      <c r="BF32" s="1907"/>
      <c r="BG32" s="1907"/>
      <c r="BH32" s="1906"/>
      <c r="BI32" s="1906"/>
      <c r="BJ32" s="1906"/>
      <c r="BK32" s="1907"/>
      <c r="BL32" s="1907"/>
    </row>
    <row r="33" spans="1:64" s="1895" customFormat="1" x14ac:dyDescent="0.3">
      <c r="A33" s="1885"/>
      <c r="B33" s="1891"/>
      <c r="C33" s="1891"/>
      <c r="D33" s="89" t="s">
        <v>695</v>
      </c>
      <c r="E33" s="1902"/>
      <c r="F33" s="1903"/>
      <c r="G33" s="1903"/>
      <c r="H33" s="1904"/>
      <c r="I33" s="1902"/>
      <c r="J33" s="1902"/>
      <c r="K33" s="1903"/>
      <c r="L33" s="1902"/>
      <c r="M33" s="1903"/>
      <c r="N33" s="1902"/>
      <c r="O33" s="1902"/>
      <c r="P33" s="1903"/>
      <c r="Q33" s="1902"/>
      <c r="R33" s="1905"/>
      <c r="S33" s="1902"/>
      <c r="T33" s="1902"/>
      <c r="U33" s="1903"/>
      <c r="V33" s="1902"/>
      <c r="W33" s="1905"/>
      <c r="X33" s="1902"/>
      <c r="Y33" s="1902"/>
      <c r="Z33" s="1902"/>
      <c r="AA33" s="1902"/>
      <c r="AB33" s="1905"/>
      <c r="AC33" s="1902"/>
      <c r="AD33" s="1902"/>
      <c r="AE33" s="1902"/>
      <c r="AF33" s="1902"/>
      <c r="AG33" s="1905"/>
      <c r="AH33" s="1902"/>
      <c r="AI33" s="1902"/>
      <c r="AJ33" s="1902"/>
      <c r="AK33" s="1902"/>
      <c r="AL33" s="1905"/>
      <c r="AM33" s="1902"/>
      <c r="AN33" s="1902"/>
      <c r="AO33" s="1902"/>
      <c r="AP33" s="1902"/>
      <c r="AQ33" s="1905"/>
      <c r="AR33" s="1904"/>
      <c r="AS33" s="1902"/>
      <c r="AT33" s="1902"/>
      <c r="AU33" s="1902"/>
      <c r="AV33" s="1905"/>
      <c r="AW33" s="1904"/>
      <c r="AX33" s="1902"/>
      <c r="AY33" s="1906"/>
      <c r="AZ33" s="1906"/>
      <c r="BA33" s="1905"/>
      <c r="BB33" s="1907"/>
      <c r="BC33" s="1906"/>
      <c r="BD33" s="1906"/>
      <c r="BE33" s="1906"/>
      <c r="BF33" s="1907"/>
      <c r="BG33" s="1907"/>
      <c r="BH33" s="1906"/>
      <c r="BI33" s="1906"/>
      <c r="BJ33" s="1906"/>
      <c r="BK33" s="1907"/>
      <c r="BL33" s="1907"/>
    </row>
    <row r="34" spans="1:64" s="1895" customFormat="1" x14ac:dyDescent="0.3">
      <c r="A34" s="1885"/>
      <c r="B34" s="1891"/>
      <c r="C34" s="1891"/>
      <c r="D34" s="1901"/>
      <c r="E34" s="1902"/>
      <c r="F34" s="1903"/>
      <c r="G34" s="1903"/>
      <c r="H34" s="1904"/>
      <c r="I34" s="1902"/>
      <c r="J34" s="1902"/>
      <c r="K34" s="1903"/>
      <c r="L34" s="1902"/>
      <c r="M34" s="1903"/>
      <c r="N34" s="1902"/>
      <c r="O34" s="1902"/>
      <c r="P34" s="1903"/>
      <c r="Q34" s="1902"/>
      <c r="R34" s="1905"/>
      <c r="S34" s="1902"/>
      <c r="T34" s="1902"/>
      <c r="U34" s="1903"/>
      <c r="V34" s="1902"/>
      <c r="W34" s="1905"/>
      <c r="X34" s="1902"/>
      <c r="Y34" s="1902"/>
      <c r="Z34" s="1902"/>
      <c r="AA34" s="1902"/>
      <c r="AB34" s="1905"/>
      <c r="AC34" s="1902"/>
      <c r="AD34" s="1902"/>
      <c r="AE34" s="1902"/>
      <c r="AF34" s="1902"/>
      <c r="AG34" s="1905"/>
      <c r="AH34" s="1902"/>
      <c r="AI34" s="1902"/>
      <c r="AJ34" s="1902"/>
      <c r="AK34" s="1902"/>
      <c r="AL34" s="1905"/>
      <c r="AM34" s="1902"/>
      <c r="AN34" s="1902"/>
      <c r="AO34" s="1902"/>
      <c r="AP34" s="1902"/>
      <c r="AQ34" s="1905"/>
      <c r="AR34" s="1904"/>
      <c r="AS34" s="1902"/>
      <c r="AT34" s="1902"/>
      <c r="AU34" s="1902"/>
      <c r="AV34" s="1905"/>
      <c r="AW34" s="1904"/>
      <c r="AX34" s="1902"/>
      <c r="AY34" s="1906"/>
      <c r="AZ34" s="1906"/>
      <c r="BA34" s="1905"/>
      <c r="BB34" s="1907"/>
      <c r="BC34" s="1906"/>
      <c r="BD34" s="1906"/>
      <c r="BE34" s="1906"/>
      <c r="BF34" s="1907"/>
      <c r="BG34" s="1907"/>
      <c r="BH34" s="1906"/>
      <c r="BI34" s="1906"/>
      <c r="BJ34" s="1906"/>
      <c r="BK34" s="1907"/>
      <c r="BL34" s="1907"/>
    </row>
    <row r="35" spans="1:64" s="1895" customFormat="1" x14ac:dyDescent="0.3">
      <c r="A35" s="1885"/>
      <c r="B35" s="1891"/>
      <c r="C35" s="1891"/>
      <c r="D35" s="1901"/>
      <c r="E35" s="1902"/>
      <c r="F35" s="1903"/>
      <c r="G35" s="1903"/>
      <c r="H35" s="1904"/>
      <c r="I35" s="1902"/>
      <c r="J35" s="1902"/>
      <c r="K35" s="1903"/>
      <c r="L35" s="1902"/>
      <c r="M35" s="1903"/>
      <c r="N35" s="1902"/>
      <c r="O35" s="1902"/>
      <c r="P35" s="1903"/>
      <c r="Q35" s="1902"/>
      <c r="R35" s="1905"/>
      <c r="S35" s="1902"/>
      <c r="T35" s="1902"/>
      <c r="U35" s="1903"/>
      <c r="V35" s="1902"/>
      <c r="W35" s="1905"/>
      <c r="X35" s="1902"/>
      <c r="Y35" s="1902"/>
      <c r="Z35" s="1902"/>
      <c r="AA35" s="1902"/>
      <c r="AB35" s="1905"/>
      <c r="AC35" s="1902"/>
      <c r="AD35" s="1902"/>
      <c r="AE35" s="1902"/>
      <c r="AF35" s="1902"/>
      <c r="AG35" s="1905"/>
      <c r="AH35" s="1902"/>
      <c r="AI35" s="1902"/>
      <c r="AJ35" s="1902"/>
      <c r="AK35" s="1902"/>
      <c r="AL35" s="1905"/>
      <c r="AM35" s="1902"/>
      <c r="AN35" s="1902"/>
      <c r="AO35" s="1902"/>
      <c r="AP35" s="1902"/>
      <c r="AQ35" s="1905"/>
      <c r="AR35" s="1904"/>
      <c r="AS35" s="1902"/>
      <c r="AT35" s="1902"/>
      <c r="AU35" s="1902"/>
      <c r="AV35" s="1905"/>
      <c r="AW35" s="1904"/>
      <c r="AX35" s="1902"/>
      <c r="AY35" s="1906"/>
      <c r="AZ35" s="1906"/>
      <c r="BA35" s="1905"/>
      <c r="BB35" s="1907"/>
      <c r="BC35" s="1906"/>
      <c r="BD35" s="1906"/>
      <c r="BE35" s="1906"/>
      <c r="BF35" s="1907"/>
      <c r="BG35" s="1907"/>
      <c r="BH35" s="1906"/>
      <c r="BI35" s="1906"/>
      <c r="BJ35" s="1906"/>
      <c r="BK35" s="1907"/>
      <c r="BL35" s="1907"/>
    </row>
    <row r="36" spans="1:64" s="1895" customFormat="1" x14ac:dyDescent="0.3">
      <c r="A36" s="1885"/>
      <c r="B36" s="1891"/>
      <c r="C36" s="1891"/>
      <c r="D36" s="1901"/>
      <c r="E36" s="1902"/>
      <c r="F36" s="1903"/>
      <c r="G36" s="1903"/>
      <c r="H36" s="1904"/>
      <c r="I36" s="1902"/>
      <c r="J36" s="1902"/>
      <c r="K36" s="1903"/>
      <c r="L36" s="1902"/>
      <c r="M36" s="1903"/>
      <c r="N36" s="1902"/>
      <c r="O36" s="1902"/>
      <c r="P36" s="1903"/>
      <c r="Q36" s="1902"/>
      <c r="R36" s="1905"/>
      <c r="S36" s="1902"/>
      <c r="T36" s="1902"/>
      <c r="U36" s="1903"/>
      <c r="V36" s="1902"/>
      <c r="W36" s="1905"/>
      <c r="X36" s="1902"/>
      <c r="Y36" s="1902"/>
      <c r="Z36" s="1902"/>
      <c r="AA36" s="1902"/>
      <c r="AB36" s="1905"/>
      <c r="AC36" s="1902"/>
      <c r="AD36" s="1902"/>
      <c r="AE36" s="1902"/>
      <c r="AF36" s="1902"/>
      <c r="AG36" s="1905"/>
      <c r="AH36" s="1902"/>
      <c r="AI36" s="1902"/>
      <c r="AJ36" s="1902"/>
      <c r="AK36" s="1902"/>
      <c r="AL36" s="1905"/>
      <c r="AM36" s="1902"/>
      <c r="AN36" s="1902"/>
      <c r="AO36" s="1902"/>
      <c r="AP36" s="1902"/>
      <c r="AQ36" s="1905"/>
      <c r="AR36" s="1904"/>
      <c r="AS36" s="1902"/>
      <c r="AT36" s="1902"/>
      <c r="AU36" s="1902"/>
      <c r="AV36" s="1905"/>
      <c r="AW36" s="1904"/>
      <c r="AX36" s="1902"/>
      <c r="AY36" s="1906"/>
      <c r="AZ36" s="1906"/>
      <c r="BA36" s="1905"/>
      <c r="BB36" s="1907"/>
      <c r="BC36" s="1906"/>
      <c r="BD36" s="1906"/>
      <c r="BE36" s="1906"/>
      <c r="BF36" s="1907"/>
      <c r="BG36" s="1907"/>
      <c r="BH36" s="1906"/>
      <c r="BI36" s="1906"/>
      <c r="BJ36" s="1906"/>
      <c r="BK36" s="1907"/>
      <c r="BL36" s="1907"/>
    </row>
    <row r="37" spans="1:64" s="1895" customFormat="1" x14ac:dyDescent="0.3">
      <c r="A37" s="1885"/>
      <c r="B37" s="1891"/>
      <c r="C37" s="1891"/>
      <c r="D37" s="1901"/>
      <c r="E37" s="1902"/>
      <c r="F37" s="1903"/>
      <c r="G37" s="1903"/>
      <c r="H37" s="1904"/>
      <c r="I37" s="1902"/>
      <c r="J37" s="1902"/>
      <c r="K37" s="1903"/>
      <c r="L37" s="1902"/>
      <c r="M37" s="1903"/>
      <c r="N37" s="1902"/>
      <c r="O37" s="1902"/>
      <c r="P37" s="1903"/>
      <c r="Q37" s="1902"/>
      <c r="R37" s="1905"/>
      <c r="S37" s="1902"/>
      <c r="T37" s="1902"/>
      <c r="U37" s="1903"/>
      <c r="V37" s="1902"/>
      <c r="W37" s="1905"/>
      <c r="X37" s="1902"/>
      <c r="Y37" s="1902"/>
      <c r="Z37" s="1902"/>
      <c r="AA37" s="1902"/>
      <c r="AB37" s="1905"/>
      <c r="AC37" s="1902"/>
      <c r="AD37" s="1902"/>
      <c r="AE37" s="1902"/>
      <c r="AF37" s="1902"/>
      <c r="AG37" s="1905"/>
      <c r="AH37" s="1902"/>
      <c r="AI37" s="1902"/>
      <c r="AJ37" s="1902"/>
      <c r="AK37" s="1902"/>
      <c r="AL37" s="1905"/>
      <c r="AM37" s="1902"/>
      <c r="AN37" s="1902"/>
      <c r="AO37" s="1902"/>
      <c r="AP37" s="1902"/>
      <c r="AQ37" s="1905"/>
      <c r="AR37" s="1904"/>
      <c r="AS37" s="1902"/>
      <c r="AT37" s="1902"/>
      <c r="AU37" s="1902"/>
      <c r="AV37" s="1905"/>
      <c r="AW37" s="1904"/>
      <c r="AX37" s="1902"/>
      <c r="AY37" s="1906"/>
      <c r="AZ37" s="1906"/>
      <c r="BA37" s="1905"/>
      <c r="BB37" s="1907"/>
      <c r="BC37" s="1906"/>
      <c r="BD37" s="1906"/>
      <c r="BE37" s="1906"/>
      <c r="BF37" s="1907"/>
      <c r="BG37" s="1907"/>
      <c r="BH37" s="1906"/>
      <c r="BI37" s="1906"/>
      <c r="BJ37" s="1906"/>
      <c r="BK37" s="1907"/>
      <c r="BL37" s="1907"/>
    </row>
    <row r="38" spans="1:64" s="1895" customFormat="1" x14ac:dyDescent="0.3">
      <c r="A38" s="1885"/>
      <c r="B38" s="1891"/>
      <c r="C38" s="1891"/>
      <c r="D38" s="1901"/>
      <c r="E38" s="1902"/>
      <c r="F38" s="1903"/>
      <c r="G38" s="1903"/>
      <c r="H38" s="1904"/>
      <c r="I38" s="1902"/>
      <c r="J38" s="1902"/>
      <c r="K38" s="1903"/>
      <c r="L38" s="1902"/>
      <c r="M38" s="1903"/>
      <c r="N38" s="1902"/>
      <c r="O38" s="1902"/>
      <c r="P38" s="1903"/>
      <c r="Q38" s="1902"/>
      <c r="R38" s="1905"/>
      <c r="S38" s="1902"/>
      <c r="T38" s="1902"/>
      <c r="U38" s="1903"/>
      <c r="V38" s="1902"/>
      <c r="W38" s="1905"/>
      <c r="X38" s="1902"/>
      <c r="Y38" s="1902"/>
      <c r="Z38" s="1902"/>
      <c r="AA38" s="1902"/>
      <c r="AB38" s="1905"/>
      <c r="AC38" s="1902"/>
      <c r="AD38" s="1902"/>
      <c r="AE38" s="1902"/>
      <c r="AF38" s="1902"/>
      <c r="AG38" s="1905"/>
      <c r="AH38" s="1902"/>
      <c r="AI38" s="1902"/>
      <c r="AJ38" s="1902"/>
      <c r="AK38" s="1902"/>
      <c r="AL38" s="1905"/>
      <c r="AM38" s="1902"/>
      <c r="AN38" s="1902"/>
      <c r="AO38" s="1902"/>
      <c r="AP38" s="1902"/>
      <c r="AQ38" s="1905"/>
      <c r="AR38" s="1904"/>
      <c r="AS38" s="1902"/>
      <c r="AT38" s="1902"/>
      <c r="AU38" s="1902"/>
      <c r="AV38" s="1905"/>
      <c r="AW38" s="1904"/>
      <c r="AX38" s="1902"/>
      <c r="AY38" s="1906"/>
      <c r="AZ38" s="1906"/>
      <c r="BA38" s="1905"/>
      <c r="BB38" s="1907"/>
      <c r="BC38" s="1906"/>
      <c r="BD38" s="1906"/>
      <c r="BE38" s="1906"/>
      <c r="BF38" s="1907"/>
      <c r="BG38" s="1907"/>
      <c r="BH38" s="1906"/>
      <c r="BI38" s="1906"/>
      <c r="BJ38" s="1906"/>
      <c r="BK38" s="1907"/>
      <c r="BL38" s="1907"/>
    </row>
    <row r="39" spans="1:64" s="1895" customFormat="1" x14ac:dyDescent="0.3">
      <c r="A39" s="1885"/>
      <c r="B39" s="1891"/>
      <c r="C39" s="1891"/>
      <c r="D39" s="1901"/>
      <c r="E39" s="1902"/>
      <c r="F39" s="1903"/>
      <c r="G39" s="1903"/>
      <c r="H39" s="1904"/>
      <c r="I39" s="1902"/>
      <c r="J39" s="1902"/>
      <c r="K39" s="1903"/>
      <c r="L39" s="1902"/>
      <c r="M39" s="1903"/>
      <c r="N39" s="1902"/>
      <c r="O39" s="1902"/>
      <c r="P39" s="1903"/>
      <c r="Q39" s="1902"/>
      <c r="R39" s="1905"/>
      <c r="S39" s="1902"/>
      <c r="T39" s="1902"/>
      <c r="U39" s="1903"/>
      <c r="V39" s="1902"/>
      <c r="W39" s="1905"/>
      <c r="X39" s="1902"/>
      <c r="Y39" s="1902"/>
      <c r="Z39" s="1902"/>
      <c r="AA39" s="1902"/>
      <c r="AB39" s="1905"/>
      <c r="AC39" s="1902"/>
      <c r="AD39" s="1902"/>
      <c r="AE39" s="1902"/>
      <c r="AF39" s="1902"/>
      <c r="AG39" s="1905"/>
      <c r="AH39" s="1902"/>
      <c r="AI39" s="1902"/>
      <c r="AJ39" s="1902"/>
      <c r="AK39" s="1902"/>
      <c r="AL39" s="1905"/>
      <c r="AM39" s="1902"/>
      <c r="AN39" s="1902"/>
      <c r="AO39" s="1902"/>
      <c r="AP39" s="1902"/>
      <c r="AQ39" s="1905"/>
      <c r="AR39" s="1904"/>
      <c r="AS39" s="1902"/>
      <c r="AT39" s="1902"/>
      <c r="AU39" s="1902"/>
      <c r="AV39" s="1905"/>
      <c r="AW39" s="1904"/>
      <c r="AX39" s="1902"/>
      <c r="AY39" s="1906"/>
      <c r="AZ39" s="1906"/>
      <c r="BA39" s="1905"/>
      <c r="BB39" s="1907"/>
      <c r="BC39" s="1906"/>
      <c r="BD39" s="1906"/>
      <c r="BE39" s="1906"/>
      <c r="BF39" s="1907"/>
      <c r="BG39" s="1907"/>
      <c r="BH39" s="1906"/>
      <c r="BI39" s="1906"/>
      <c r="BJ39" s="1906"/>
      <c r="BK39" s="1907"/>
      <c r="BL39" s="1907"/>
    </row>
    <row r="40" spans="1:64" s="1895" customFormat="1" x14ac:dyDescent="0.3">
      <c r="A40" s="1885"/>
      <c r="B40" s="1891"/>
      <c r="C40" s="1891"/>
      <c r="D40" s="1901"/>
      <c r="E40" s="1902"/>
      <c r="F40" s="1903"/>
      <c r="G40" s="1903"/>
      <c r="H40" s="1904"/>
      <c r="I40" s="1902"/>
      <c r="J40" s="1902"/>
      <c r="K40" s="1903"/>
      <c r="L40" s="1902"/>
      <c r="M40" s="1903"/>
      <c r="N40" s="1902"/>
      <c r="O40" s="1902"/>
      <c r="P40" s="1903"/>
      <c r="Q40" s="1902"/>
      <c r="R40" s="1905"/>
      <c r="S40" s="1902"/>
      <c r="T40" s="1902"/>
      <c r="U40" s="1903"/>
      <c r="V40" s="1902"/>
      <c r="W40" s="1905"/>
      <c r="X40" s="1902"/>
      <c r="Y40" s="1902"/>
      <c r="Z40" s="1902"/>
      <c r="AA40" s="1902"/>
      <c r="AB40" s="1905"/>
      <c r="AC40" s="1902"/>
      <c r="AD40" s="1902"/>
      <c r="AE40" s="1902"/>
      <c r="AF40" s="1902"/>
      <c r="AG40" s="1905"/>
      <c r="AH40" s="1902"/>
      <c r="AI40" s="1902"/>
      <c r="AJ40" s="1902"/>
      <c r="AK40" s="1902"/>
      <c r="AL40" s="1905"/>
      <c r="AM40" s="1902"/>
      <c r="AN40" s="1902"/>
      <c r="AO40" s="1902"/>
      <c r="AP40" s="1902"/>
      <c r="AQ40" s="1905"/>
      <c r="AR40" s="1904"/>
      <c r="AS40" s="1902"/>
      <c r="AT40" s="1902"/>
      <c r="AU40" s="1902"/>
      <c r="AV40" s="1905"/>
      <c r="AW40" s="1904"/>
      <c r="AX40" s="1902"/>
      <c r="AY40" s="1906"/>
      <c r="AZ40" s="1906"/>
      <c r="BA40" s="1905"/>
      <c r="BB40" s="1907"/>
      <c r="BC40" s="1906"/>
      <c r="BD40" s="1906"/>
      <c r="BE40" s="1906"/>
      <c r="BF40" s="1907"/>
      <c r="BG40" s="1907"/>
      <c r="BH40" s="1906"/>
      <c r="BI40" s="1906"/>
      <c r="BJ40" s="1906"/>
      <c r="BK40" s="1907"/>
      <c r="BL40" s="1907"/>
    </row>
    <row r="41" spans="1:64" s="1895" customFormat="1" x14ac:dyDescent="0.3">
      <c r="A41" s="1885"/>
      <c r="B41" s="1891"/>
      <c r="C41" s="1891"/>
      <c r="D41" s="1901"/>
      <c r="E41" s="1902"/>
      <c r="F41" s="1903"/>
      <c r="G41" s="1903"/>
      <c r="H41" s="1904"/>
      <c r="I41" s="1902"/>
      <c r="J41" s="1902"/>
      <c r="K41" s="1903"/>
      <c r="L41" s="1902"/>
      <c r="M41" s="1903"/>
      <c r="N41" s="1902"/>
      <c r="O41" s="1902"/>
      <c r="P41" s="1903"/>
      <c r="Q41" s="1902"/>
      <c r="R41" s="1905"/>
      <c r="S41" s="1902"/>
      <c r="T41" s="1902"/>
      <c r="U41" s="1903"/>
      <c r="V41" s="1902"/>
      <c r="W41" s="1905"/>
      <c r="X41" s="1902"/>
      <c r="Y41" s="1902"/>
      <c r="Z41" s="1902"/>
      <c r="AA41" s="1902"/>
      <c r="AB41" s="1905"/>
      <c r="AC41" s="1902"/>
      <c r="AD41" s="1902"/>
      <c r="AE41" s="1902"/>
      <c r="AF41" s="1902"/>
      <c r="AG41" s="1905"/>
      <c r="AH41" s="1902"/>
      <c r="AI41" s="1902"/>
      <c r="AJ41" s="1902"/>
      <c r="AK41" s="1902"/>
      <c r="AL41" s="1905"/>
      <c r="AM41" s="1902"/>
      <c r="AN41" s="1902"/>
      <c r="AO41" s="1902"/>
      <c r="AP41" s="1902"/>
      <c r="AQ41" s="1905"/>
      <c r="AR41" s="1904"/>
      <c r="AS41" s="1902"/>
      <c r="AT41" s="1902"/>
      <c r="AU41" s="1902"/>
      <c r="AV41" s="1905"/>
      <c r="AW41" s="1904"/>
      <c r="AX41" s="1902"/>
      <c r="AY41" s="1906"/>
      <c r="AZ41" s="1906"/>
      <c r="BA41" s="1905"/>
      <c r="BB41" s="1907"/>
      <c r="BC41" s="1906"/>
      <c r="BD41" s="1906"/>
      <c r="BE41" s="1906"/>
      <c r="BF41" s="1907"/>
      <c r="BG41" s="1907"/>
      <c r="BH41" s="1906"/>
      <c r="BI41" s="1906"/>
      <c r="BJ41" s="1906"/>
      <c r="BK41" s="1907"/>
      <c r="BL41" s="1907"/>
    </row>
    <row r="42" spans="1:64" s="1895" customFormat="1" x14ac:dyDescent="0.3">
      <c r="A42" s="1885"/>
      <c r="B42" s="1891"/>
      <c r="C42" s="1891"/>
      <c r="D42" s="1901"/>
      <c r="E42" s="1902"/>
      <c r="F42" s="1903"/>
      <c r="G42" s="1903"/>
      <c r="H42" s="1904"/>
      <c r="I42" s="1902"/>
      <c r="J42" s="1902"/>
      <c r="K42" s="1903"/>
      <c r="L42" s="1902"/>
      <c r="M42" s="1903"/>
      <c r="N42" s="1902"/>
      <c r="O42" s="1902"/>
      <c r="P42" s="1903"/>
      <c r="Q42" s="1902"/>
      <c r="R42" s="1905"/>
      <c r="S42" s="1902"/>
      <c r="T42" s="1902"/>
      <c r="U42" s="1903"/>
      <c r="V42" s="1902"/>
      <c r="W42" s="1905"/>
      <c r="X42" s="1902"/>
      <c r="Y42" s="1902"/>
      <c r="Z42" s="1902"/>
      <c r="AA42" s="1902"/>
      <c r="AB42" s="1905"/>
      <c r="AC42" s="1902"/>
      <c r="AD42" s="1902"/>
      <c r="AE42" s="1902"/>
      <c r="AF42" s="1902"/>
      <c r="AG42" s="1905"/>
      <c r="AH42" s="1902"/>
      <c r="AI42" s="1902"/>
      <c r="AJ42" s="1902"/>
      <c r="AK42" s="1902"/>
      <c r="AL42" s="1905"/>
      <c r="AM42" s="1902"/>
      <c r="AN42" s="1902"/>
      <c r="AO42" s="1902"/>
      <c r="AP42" s="1902"/>
      <c r="AQ42" s="1905"/>
      <c r="AR42" s="1904"/>
      <c r="AS42" s="1902"/>
      <c r="AT42" s="1902"/>
      <c r="AU42" s="1902"/>
      <c r="AV42" s="1905"/>
      <c r="AW42" s="1904"/>
      <c r="AX42" s="1902"/>
      <c r="AY42" s="1906"/>
      <c r="AZ42" s="1906"/>
      <c r="BA42" s="1905"/>
      <c r="BB42" s="1907"/>
      <c r="BC42" s="1906"/>
      <c r="BD42" s="1906"/>
      <c r="BE42" s="1906"/>
      <c r="BF42" s="1907"/>
      <c r="BG42" s="1907"/>
      <c r="BH42" s="1906"/>
      <c r="BI42" s="1906"/>
      <c r="BJ42" s="1906"/>
      <c r="BK42" s="1907"/>
      <c r="BL42" s="1907"/>
    </row>
    <row r="43" spans="1:64" s="1895" customFormat="1" x14ac:dyDescent="0.3">
      <c r="A43" s="1885"/>
      <c r="B43" s="1891"/>
      <c r="C43" s="1891"/>
      <c r="D43" s="1901"/>
      <c r="E43" s="1902"/>
      <c r="F43" s="1903"/>
      <c r="G43" s="1903"/>
      <c r="H43" s="1904"/>
      <c r="I43" s="1902"/>
      <c r="J43" s="1902"/>
      <c r="K43" s="1903"/>
      <c r="L43" s="1902"/>
      <c r="M43" s="1903"/>
      <c r="N43" s="1902"/>
      <c r="O43" s="1902"/>
      <c r="P43" s="1903"/>
      <c r="Q43" s="1902"/>
      <c r="R43" s="1905"/>
      <c r="S43" s="1902"/>
      <c r="T43" s="1902"/>
      <c r="U43" s="1903"/>
      <c r="V43" s="1902"/>
      <c r="W43" s="1905"/>
      <c r="X43" s="1902"/>
      <c r="Y43" s="1902"/>
      <c r="Z43" s="1902"/>
      <c r="AA43" s="1902"/>
      <c r="AB43" s="1905"/>
      <c r="AC43" s="1902"/>
      <c r="AD43" s="1902"/>
      <c r="AE43" s="1902"/>
      <c r="AF43" s="1902"/>
      <c r="AG43" s="1905"/>
      <c r="AH43" s="1902"/>
      <c r="AI43" s="1902"/>
      <c r="AJ43" s="1902"/>
      <c r="AK43" s="1902"/>
      <c r="AL43" s="1905"/>
      <c r="AM43" s="1902"/>
      <c r="AN43" s="1902"/>
      <c r="AO43" s="1902"/>
      <c r="AP43" s="1902"/>
      <c r="AQ43" s="1905"/>
      <c r="AR43" s="1904"/>
      <c r="AS43" s="1902"/>
      <c r="AT43" s="1902"/>
      <c r="AU43" s="1902"/>
      <c r="AV43" s="1905"/>
      <c r="AW43" s="1904"/>
      <c r="AX43" s="1902"/>
      <c r="AY43" s="1906"/>
      <c r="AZ43" s="1906"/>
      <c r="BA43" s="1905"/>
      <c r="BB43" s="1907"/>
      <c r="BC43" s="1906"/>
      <c r="BD43" s="1906"/>
      <c r="BE43" s="1906"/>
      <c r="BF43" s="1907"/>
      <c r="BG43" s="1907"/>
      <c r="BH43" s="1906"/>
      <c r="BI43" s="1906"/>
      <c r="BJ43" s="1906"/>
      <c r="BK43" s="1907"/>
      <c r="BL43" s="1907"/>
    </row>
    <row r="44" spans="1:64" s="1895" customFormat="1" x14ac:dyDescent="0.3">
      <c r="A44" s="1885"/>
      <c r="B44" s="1891"/>
      <c r="C44" s="1891"/>
      <c r="D44" s="1901"/>
      <c r="E44" s="1902"/>
      <c r="F44" s="1903"/>
      <c r="G44" s="1903"/>
      <c r="H44" s="1904"/>
      <c r="I44" s="1902"/>
      <c r="J44" s="1902"/>
      <c r="K44" s="1903"/>
      <c r="L44" s="1902"/>
      <c r="M44" s="1903"/>
      <c r="N44" s="1902"/>
      <c r="O44" s="1902"/>
      <c r="P44" s="1903"/>
      <c r="Q44" s="1902"/>
      <c r="R44" s="1905"/>
      <c r="S44" s="1902"/>
      <c r="T44" s="1902"/>
      <c r="U44" s="1903"/>
      <c r="V44" s="1902"/>
      <c r="W44" s="1905"/>
      <c r="X44" s="1902"/>
      <c r="Y44" s="1902"/>
      <c r="Z44" s="1902"/>
      <c r="AA44" s="1902"/>
      <c r="AB44" s="1905"/>
      <c r="AC44" s="1902"/>
      <c r="AD44" s="1902"/>
      <c r="AE44" s="1902"/>
      <c r="AF44" s="1902"/>
      <c r="AG44" s="1905"/>
      <c r="AH44" s="1902"/>
      <c r="AI44" s="1902"/>
      <c r="AJ44" s="1902"/>
      <c r="AK44" s="1902"/>
      <c r="AL44" s="1905"/>
      <c r="AM44" s="1902"/>
      <c r="AN44" s="1902"/>
      <c r="AO44" s="1902"/>
      <c r="AP44" s="1902"/>
      <c r="AQ44" s="1905"/>
      <c r="AR44" s="1904"/>
      <c r="AS44" s="1902"/>
      <c r="AT44" s="1902"/>
      <c r="AU44" s="1902"/>
      <c r="AV44" s="1905"/>
      <c r="AW44" s="1904"/>
      <c r="AX44" s="1902"/>
      <c r="AY44" s="1906"/>
      <c r="AZ44" s="1906"/>
      <c r="BA44" s="1905"/>
      <c r="BB44" s="1907"/>
      <c r="BC44" s="1906"/>
      <c r="BD44" s="1906"/>
      <c r="BE44" s="1906"/>
      <c r="BF44" s="1907"/>
      <c r="BG44" s="1907"/>
      <c r="BH44" s="1906"/>
      <c r="BI44" s="1906"/>
      <c r="BJ44" s="1906"/>
      <c r="BK44" s="1907"/>
      <c r="BL44" s="1907"/>
    </row>
    <row r="45" spans="1:64" s="1895" customFormat="1" x14ac:dyDescent="0.3">
      <c r="A45" s="1885"/>
      <c r="B45" s="1891"/>
      <c r="C45" s="1891"/>
      <c r="D45" s="1901"/>
      <c r="E45" s="1902"/>
      <c r="F45" s="1903"/>
      <c r="G45" s="1903"/>
      <c r="H45" s="1904"/>
      <c r="I45" s="1902"/>
      <c r="J45" s="1902"/>
      <c r="K45" s="1903"/>
      <c r="L45" s="1902"/>
      <c r="M45" s="1903"/>
      <c r="N45" s="1902"/>
      <c r="O45" s="1902"/>
      <c r="P45" s="1903"/>
      <c r="Q45" s="1902"/>
      <c r="R45" s="1905"/>
      <c r="S45" s="1902"/>
      <c r="T45" s="1902"/>
      <c r="U45" s="1903"/>
      <c r="V45" s="1902"/>
      <c r="W45" s="1905"/>
      <c r="X45" s="1902"/>
      <c r="Y45" s="1902"/>
      <c r="Z45" s="1902"/>
      <c r="AA45" s="1902"/>
      <c r="AB45" s="1905"/>
      <c r="AC45" s="1902"/>
      <c r="AD45" s="1902"/>
      <c r="AE45" s="1902"/>
      <c r="AF45" s="1902"/>
      <c r="AG45" s="1905"/>
      <c r="AH45" s="1902"/>
      <c r="AI45" s="1902"/>
      <c r="AJ45" s="1902"/>
      <c r="AK45" s="1902"/>
      <c r="AL45" s="1905"/>
      <c r="AM45" s="1902"/>
      <c r="AN45" s="1902"/>
      <c r="AO45" s="1902"/>
      <c r="AP45" s="1902"/>
      <c r="AQ45" s="1905"/>
      <c r="AR45" s="1904"/>
      <c r="AS45" s="1902"/>
      <c r="AT45" s="1902"/>
      <c r="AU45" s="1902"/>
      <c r="AV45" s="1905"/>
      <c r="AW45" s="1904"/>
      <c r="AX45" s="1902"/>
      <c r="AY45" s="1906"/>
      <c r="AZ45" s="1906"/>
      <c r="BA45" s="1905"/>
      <c r="BB45" s="1907"/>
      <c r="BC45" s="1906"/>
      <c r="BD45" s="1906"/>
      <c r="BE45" s="1906"/>
      <c r="BF45" s="1907"/>
      <c r="BG45" s="1907"/>
      <c r="BH45" s="1906"/>
      <c r="BI45" s="1906"/>
      <c r="BJ45" s="1906"/>
      <c r="BK45" s="1907"/>
      <c r="BL45" s="1907"/>
    </row>
    <row r="46" spans="1:64" s="1895" customFormat="1" x14ac:dyDescent="0.3">
      <c r="A46" s="1885"/>
      <c r="B46" s="1891"/>
      <c r="C46" s="1891"/>
      <c r="D46" s="1901"/>
      <c r="E46" s="1902"/>
      <c r="F46" s="1903"/>
      <c r="G46" s="1903"/>
      <c r="H46" s="1904"/>
      <c r="I46" s="1902"/>
      <c r="J46" s="1902"/>
      <c r="K46" s="1903"/>
      <c r="L46" s="1902"/>
      <c r="M46" s="1903"/>
      <c r="N46" s="1902"/>
      <c r="O46" s="1902"/>
      <c r="P46" s="1903"/>
      <c r="Q46" s="1902"/>
      <c r="R46" s="1905"/>
      <c r="S46" s="1902"/>
      <c r="T46" s="1902"/>
      <c r="U46" s="1903"/>
      <c r="V46" s="1902"/>
      <c r="W46" s="1905"/>
      <c r="X46" s="1902"/>
      <c r="Y46" s="1902"/>
      <c r="Z46" s="1902"/>
      <c r="AA46" s="1902"/>
      <c r="AB46" s="1905"/>
      <c r="AC46" s="1902"/>
      <c r="AD46" s="1902"/>
      <c r="AE46" s="1902"/>
      <c r="AF46" s="1902"/>
      <c r="AG46" s="1905"/>
      <c r="AH46" s="1902"/>
      <c r="AI46" s="1902"/>
      <c r="AJ46" s="1902"/>
      <c r="AK46" s="1902"/>
      <c r="AL46" s="1905"/>
      <c r="AM46" s="1902"/>
      <c r="AN46" s="1902"/>
      <c r="AO46" s="1902"/>
      <c r="AP46" s="1902"/>
      <c r="AQ46" s="1905"/>
      <c r="AR46" s="1904"/>
      <c r="AS46" s="1902"/>
      <c r="AT46" s="1902"/>
      <c r="AU46" s="1902"/>
      <c r="AV46" s="1905"/>
      <c r="AW46" s="1904"/>
      <c r="AX46" s="1902"/>
      <c r="AY46" s="1906"/>
      <c r="AZ46" s="1906"/>
      <c r="BA46" s="1905"/>
      <c r="BB46" s="1907"/>
      <c r="BC46" s="1906"/>
      <c r="BD46" s="1906"/>
      <c r="BE46" s="1906"/>
      <c r="BF46" s="1907"/>
      <c r="BG46" s="1907"/>
      <c r="BH46" s="1906"/>
      <c r="BI46" s="1906"/>
      <c r="BJ46" s="1906"/>
      <c r="BK46" s="1907"/>
      <c r="BL46" s="1907"/>
    </row>
    <row r="47" spans="1:64" s="1895" customFormat="1" x14ac:dyDescent="0.3">
      <c r="A47" s="1885"/>
      <c r="B47" s="1891"/>
      <c r="C47" s="1891"/>
      <c r="D47" s="1901"/>
      <c r="E47" s="1902"/>
      <c r="F47" s="1903"/>
      <c r="G47" s="1903"/>
      <c r="H47" s="1904"/>
      <c r="I47" s="1902"/>
      <c r="J47" s="1902"/>
      <c r="K47" s="1903"/>
      <c r="L47" s="1902"/>
      <c r="M47" s="1903"/>
      <c r="N47" s="1902"/>
      <c r="O47" s="1902"/>
      <c r="P47" s="1903"/>
      <c r="Q47" s="1902"/>
      <c r="R47" s="1905"/>
      <c r="S47" s="1902"/>
      <c r="T47" s="1902"/>
      <c r="U47" s="1903"/>
      <c r="V47" s="1902"/>
      <c r="W47" s="1905"/>
      <c r="X47" s="1902"/>
      <c r="Y47" s="1902"/>
      <c r="Z47" s="1902"/>
      <c r="AA47" s="1902"/>
      <c r="AB47" s="1905"/>
      <c r="AC47" s="1902"/>
      <c r="AD47" s="1902"/>
      <c r="AE47" s="1902"/>
      <c r="AF47" s="1902"/>
      <c r="AG47" s="1905"/>
      <c r="AH47" s="1902"/>
      <c r="AI47" s="1902"/>
      <c r="AJ47" s="1902"/>
      <c r="AK47" s="1902"/>
      <c r="AL47" s="1905"/>
      <c r="AM47" s="1902"/>
      <c r="AN47" s="1902"/>
      <c r="AO47" s="1902"/>
      <c r="AP47" s="1902"/>
      <c r="AQ47" s="1905"/>
      <c r="AR47" s="1904"/>
      <c r="AS47" s="1902"/>
      <c r="AT47" s="1902"/>
      <c r="AU47" s="1902"/>
      <c r="AV47" s="1905"/>
      <c r="AW47" s="1904"/>
      <c r="AX47" s="1902"/>
      <c r="AY47" s="1906"/>
      <c r="AZ47" s="1906"/>
      <c r="BA47" s="1905"/>
      <c r="BB47" s="1907"/>
      <c r="BC47" s="1906"/>
      <c r="BD47" s="1906"/>
      <c r="BE47" s="1906"/>
      <c r="BF47" s="1907"/>
      <c r="BG47" s="1907"/>
      <c r="BH47" s="1906"/>
      <c r="BI47" s="1906"/>
      <c r="BJ47" s="1906"/>
      <c r="BK47" s="1907"/>
      <c r="BL47" s="1907"/>
    </row>
    <row r="48" spans="1:64" ht="15" customHeight="1" x14ac:dyDescent="0.3">
      <c r="A48" s="1875">
        <v>7</v>
      </c>
      <c r="B48" s="819" t="s">
        <v>58</v>
      </c>
      <c r="C48" s="819"/>
      <c r="D48" s="4642" t="s">
        <v>696</v>
      </c>
      <c r="E48" s="4643"/>
      <c r="F48" s="4643"/>
      <c r="G48" s="4643"/>
      <c r="H48" s="4643"/>
      <c r="I48" s="4643"/>
      <c r="J48" s="4643"/>
      <c r="K48" s="4643"/>
      <c r="L48" s="4643"/>
      <c r="M48" s="4643"/>
      <c r="N48" s="4643"/>
      <c r="O48" s="4643"/>
      <c r="P48" s="4643"/>
      <c r="Q48" s="4643"/>
      <c r="R48" s="4643"/>
      <c r="S48" s="4643"/>
      <c r="T48" s="4643"/>
      <c r="U48" s="4643"/>
      <c r="V48" s="4644"/>
      <c r="W48" s="4558"/>
      <c r="X48" s="4558"/>
      <c r="Y48" s="4558"/>
      <c r="Z48" s="4558"/>
      <c r="AA48" s="4558"/>
      <c r="AB48" s="4558"/>
    </row>
    <row r="49" spans="1:28" x14ac:dyDescent="0.3">
      <c r="A49" s="1908">
        <v>8</v>
      </c>
      <c r="B49" s="870" t="s">
        <v>60</v>
      </c>
      <c r="C49" s="870"/>
      <c r="D49" s="4642" t="s">
        <v>1973</v>
      </c>
      <c r="E49" s="4643"/>
      <c r="F49" s="4643"/>
      <c r="G49" s="4643"/>
      <c r="H49" s="4643"/>
      <c r="I49" s="4643"/>
      <c r="J49" s="4643"/>
      <c r="K49" s="4643"/>
      <c r="L49" s="4643"/>
      <c r="M49" s="4643"/>
      <c r="N49" s="4643"/>
      <c r="O49" s="4643"/>
      <c r="P49" s="4643"/>
      <c r="Q49" s="4643"/>
      <c r="R49" s="4643"/>
      <c r="S49" s="4643"/>
      <c r="T49" s="4643"/>
      <c r="U49" s="4643"/>
      <c r="V49" s="4644"/>
      <c r="W49" s="4558"/>
      <c r="X49" s="4558"/>
      <c r="Y49" s="4558"/>
      <c r="Z49" s="4558"/>
      <c r="AA49" s="4558"/>
      <c r="AB49" s="4558"/>
    </row>
    <row r="50" spans="1:28" ht="15" customHeight="1" x14ac:dyDescent="0.3">
      <c r="A50" s="1875">
        <v>9</v>
      </c>
      <c r="B50" s="819" t="s">
        <v>62</v>
      </c>
      <c r="C50" s="819"/>
      <c r="D50" s="4796" t="s">
        <v>1974</v>
      </c>
      <c r="E50" s="4797"/>
      <c r="F50" s="4797"/>
      <c r="G50" s="4797"/>
      <c r="H50" s="4797"/>
      <c r="I50" s="4797"/>
      <c r="J50" s="4797"/>
      <c r="K50" s="4797"/>
      <c r="L50" s="4797"/>
      <c r="M50" s="4797"/>
      <c r="N50" s="4797"/>
      <c r="O50" s="4797"/>
      <c r="P50" s="4797"/>
      <c r="Q50" s="4797"/>
      <c r="R50" s="4797"/>
      <c r="S50" s="4797"/>
      <c r="T50" s="4797"/>
      <c r="U50" s="4797"/>
      <c r="V50" s="4798"/>
      <c r="W50" s="4558"/>
      <c r="X50" s="4558"/>
      <c r="Y50" s="4558"/>
      <c r="Z50" s="4558"/>
      <c r="AA50" s="4558"/>
      <c r="AB50" s="4558"/>
    </row>
    <row r="51" spans="1:28" x14ac:dyDescent="0.3">
      <c r="A51" s="1909">
        <v>10</v>
      </c>
      <c r="B51" s="723" t="s">
        <v>134</v>
      </c>
      <c r="D51" s="4642" t="s">
        <v>697</v>
      </c>
      <c r="E51" s="4643"/>
      <c r="F51" s="4643"/>
      <c r="G51" s="4643"/>
      <c r="H51" s="4643"/>
      <c r="I51" s="4643"/>
      <c r="J51" s="4643"/>
      <c r="K51" s="4643"/>
      <c r="L51" s="4643"/>
      <c r="M51" s="4643"/>
      <c r="N51" s="4643"/>
      <c r="O51" s="4643"/>
      <c r="P51" s="4643"/>
      <c r="Q51" s="4643"/>
      <c r="R51" s="4643"/>
      <c r="S51" s="4643"/>
      <c r="T51" s="4643"/>
      <c r="U51" s="4643"/>
      <c r="V51" s="4644"/>
      <c r="W51" s="4558"/>
      <c r="X51" s="4558"/>
      <c r="Y51" s="4558"/>
      <c r="Z51" s="4558"/>
      <c r="AA51" s="4558"/>
      <c r="AB51" s="4558"/>
    </row>
    <row r="52" spans="1:28" ht="15" customHeight="1" x14ac:dyDescent="0.3">
      <c r="D52" s="1873"/>
      <c r="E52" s="1873"/>
      <c r="F52" s="1873"/>
      <c r="G52" s="1873"/>
      <c r="H52" s="1873"/>
      <c r="I52" s="1873"/>
      <c r="J52" s="1873"/>
      <c r="K52" s="1873"/>
      <c r="L52" s="1873"/>
      <c r="M52" s="1873"/>
      <c r="N52" s="1873"/>
      <c r="O52" s="1873"/>
      <c r="P52" s="1873"/>
      <c r="Q52" s="1873"/>
    </row>
    <row r="54" spans="1:28" x14ac:dyDescent="0.3">
      <c r="D54" s="1911" t="s">
        <v>698</v>
      </c>
      <c r="E54" s="1911"/>
      <c r="F54" s="1911"/>
      <c r="G54" s="1911"/>
    </row>
  </sheetData>
  <mergeCells count="8">
    <mergeCell ref="D50:V50"/>
    <mergeCell ref="D51:V51"/>
    <mergeCell ref="D2:V2"/>
    <mergeCell ref="D3:V3"/>
    <mergeCell ref="D4:V4"/>
    <mergeCell ref="D6:P6"/>
    <mergeCell ref="D48:V48"/>
    <mergeCell ref="D49:V49"/>
  </mergeCells>
  <pageMargins left="0.74803149606299213" right="0.74803149606299213" top="0.98425196850393704" bottom="0.98425196850393704" header="0.51181102362204722" footer="0.51181102362204722"/>
  <pageSetup paperSize="8" scale="87"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218B8-E835-435B-90C7-83C2F29B04A1}">
  <sheetPr>
    <tabColor rgb="FF00B050"/>
    <pageSetUpPr fitToPage="1"/>
  </sheetPr>
  <dimension ref="A1:GQ68"/>
  <sheetViews>
    <sheetView showGridLines="0" view="pageBreakPreview" zoomScaleNormal="100" zoomScaleSheetLayoutView="100" workbookViewId="0">
      <selection activeCell="F33" sqref="F33"/>
    </sheetView>
  </sheetViews>
  <sheetFormatPr defaultColWidth="9.1796875" defaultRowHeight="14" x14ac:dyDescent="0.3"/>
  <cols>
    <col min="1" max="1" width="3.7265625" style="1867" customWidth="1"/>
    <col min="2" max="2" width="14.453125" style="1910" customWidth="1"/>
    <col min="3" max="3" width="3.7265625" style="1910" customWidth="1"/>
    <col min="4" max="4" width="21" style="1912" customWidth="1"/>
    <col min="5" max="5" width="8.7265625" style="1912" customWidth="1"/>
    <col min="6" max="14" width="7.81640625" style="1912" bestFit="1" customWidth="1"/>
    <col min="15" max="17" width="8.7265625" style="1912" bestFit="1" customWidth="1"/>
    <col min="18" max="19" width="8.7265625" style="1873" customWidth="1"/>
    <col min="20" max="22" width="8.7265625" style="1873" bestFit="1" customWidth="1"/>
    <col min="23" max="28" width="10" style="1873" customWidth="1"/>
    <col min="29" max="31" width="9.1796875" style="1873" customWidth="1"/>
    <col min="32" max="32" width="10.1796875" style="1873" customWidth="1"/>
    <col min="33" max="43" width="9.1796875" style="1873" customWidth="1"/>
    <col min="44" max="44" width="10.1796875" style="1873" customWidth="1"/>
    <col min="45" max="49" width="9.1796875" style="1873" customWidth="1"/>
    <col min="50" max="50" width="10.1796875" style="1873" customWidth="1"/>
    <col min="51" max="55" width="9.1796875" style="1873" customWidth="1"/>
    <col min="56" max="56" width="10.1796875" style="1873" customWidth="1"/>
    <col min="57" max="61" width="9.1796875" style="1873" customWidth="1"/>
    <col min="62" max="62" width="10.1796875" style="1873" customWidth="1"/>
    <col min="63" max="64" width="9.1796875" style="1873" customWidth="1"/>
    <col min="65" max="74" width="9.1796875" style="1874" customWidth="1"/>
    <col min="75" max="76" width="9.1796875" style="1874"/>
    <col min="77" max="77" width="10.7265625" style="1874" customWidth="1"/>
    <col min="78" max="199" width="9.1796875" style="1874"/>
    <col min="200" max="16384" width="9.1796875" style="1873"/>
  </cols>
  <sheetData>
    <row r="1" spans="1:199" ht="14.5" x14ac:dyDescent="0.35">
      <c r="B1" s="1868"/>
      <c r="C1" s="1868"/>
      <c r="D1" s="1869"/>
      <c r="E1" s="1869"/>
      <c r="F1" s="1869"/>
      <c r="G1" s="1869"/>
      <c r="H1" s="1869"/>
      <c r="I1" s="1869"/>
      <c r="J1" s="1869"/>
      <c r="K1" s="1869"/>
      <c r="L1" s="1869"/>
      <c r="M1" s="1869"/>
      <c r="N1" s="1869"/>
      <c r="O1" s="1869"/>
      <c r="P1" s="1869"/>
      <c r="Q1" s="1870"/>
      <c r="R1" s="1871"/>
      <c r="S1" s="1872"/>
    </row>
    <row r="2" spans="1:199" ht="15" customHeight="1" x14ac:dyDescent="0.3">
      <c r="A2" s="1875">
        <v>1</v>
      </c>
      <c r="B2" s="819" t="s">
        <v>0</v>
      </c>
      <c r="C2" s="819">
        <v>28</v>
      </c>
      <c r="D2" s="4691" t="s">
        <v>699</v>
      </c>
      <c r="E2" s="4692"/>
      <c r="F2" s="4692"/>
      <c r="G2" s="4692"/>
      <c r="H2" s="4692"/>
      <c r="I2" s="4692"/>
      <c r="J2" s="4692"/>
      <c r="K2" s="4692"/>
      <c r="L2" s="4692"/>
      <c r="M2" s="4692"/>
      <c r="N2" s="4692"/>
      <c r="O2" s="4692"/>
      <c r="P2" s="4692"/>
      <c r="Q2" s="4692"/>
      <c r="R2" s="4692"/>
      <c r="S2" s="4692"/>
      <c r="T2" s="4692"/>
      <c r="U2" s="4692"/>
      <c r="V2" s="4693"/>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1874"/>
    </row>
    <row r="3" spans="1:199" ht="15" customHeight="1" x14ac:dyDescent="0.3">
      <c r="A3" s="1875">
        <v>2</v>
      </c>
      <c r="B3" s="819" t="s">
        <v>2</v>
      </c>
      <c r="C3" s="819"/>
      <c r="D3" s="4691" t="s">
        <v>688</v>
      </c>
      <c r="E3" s="4692"/>
      <c r="F3" s="4692"/>
      <c r="G3" s="4692"/>
      <c r="H3" s="4692"/>
      <c r="I3" s="4692"/>
      <c r="J3" s="4692"/>
      <c r="K3" s="4692"/>
      <c r="L3" s="4692"/>
      <c r="M3" s="4692"/>
      <c r="N3" s="4692"/>
      <c r="O3" s="4692"/>
      <c r="P3" s="4692"/>
      <c r="Q3" s="4692"/>
      <c r="R3" s="4692"/>
      <c r="S3" s="4692"/>
      <c r="T3" s="4692"/>
      <c r="U3" s="4692"/>
      <c r="V3" s="4693"/>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1874"/>
    </row>
    <row r="4" spans="1:199" ht="15" customHeight="1" x14ac:dyDescent="0.3">
      <c r="A4" s="1875">
        <v>3</v>
      </c>
      <c r="B4" s="819" t="s">
        <v>4</v>
      </c>
      <c r="C4" s="819"/>
      <c r="D4" s="4691" t="s">
        <v>700</v>
      </c>
      <c r="E4" s="4692"/>
      <c r="F4" s="4692"/>
      <c r="G4" s="4692"/>
      <c r="H4" s="4692"/>
      <c r="I4" s="4692"/>
      <c r="J4" s="4692"/>
      <c r="K4" s="4692"/>
      <c r="L4" s="4692"/>
      <c r="M4" s="4692"/>
      <c r="N4" s="4692"/>
      <c r="O4" s="4692"/>
      <c r="P4" s="4692"/>
      <c r="Q4" s="4692"/>
      <c r="R4" s="4692"/>
      <c r="S4" s="4692"/>
      <c r="T4" s="4692"/>
      <c r="U4" s="4692"/>
      <c r="V4" s="4693"/>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1874"/>
    </row>
    <row r="5" spans="1:199" ht="15" customHeight="1" x14ac:dyDescent="0.3">
      <c r="A5" s="1875"/>
      <c r="B5" s="819"/>
      <c r="C5" s="819"/>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1874"/>
    </row>
    <row r="6" spans="1:199" x14ac:dyDescent="0.3">
      <c r="A6" s="1875">
        <v>4</v>
      </c>
      <c r="B6" s="1192" t="s">
        <v>6</v>
      </c>
      <c r="C6" s="1192"/>
      <c r="D6" s="4799"/>
      <c r="E6" s="4800"/>
      <c r="F6" s="4800"/>
      <c r="G6" s="4800"/>
      <c r="H6" s="4800"/>
      <c r="I6" s="4800"/>
      <c r="J6" s="4800"/>
      <c r="K6" s="4800"/>
      <c r="L6" s="4800"/>
      <c r="M6" s="4800"/>
      <c r="N6" s="4800"/>
      <c r="O6" s="4800"/>
      <c r="P6" s="4800"/>
      <c r="Q6" s="1877"/>
      <c r="R6" s="1874"/>
      <c r="S6" s="1874"/>
    </row>
    <row r="7" spans="1:199" s="326" customFormat="1" x14ac:dyDescent="0.25">
      <c r="A7" s="1878"/>
      <c r="B7" s="1879"/>
      <c r="C7" s="1879"/>
      <c r="D7" s="89" t="s">
        <v>690</v>
      </c>
      <c r="E7" s="89" t="s">
        <v>701</v>
      </c>
      <c r="F7" s="89"/>
      <c r="G7" s="89"/>
      <c r="H7" s="89"/>
      <c r="I7" s="89"/>
      <c r="J7" s="89"/>
      <c r="K7" s="89"/>
      <c r="L7" s="89"/>
      <c r="M7" s="1880"/>
      <c r="Z7" s="1881"/>
      <c r="AA7" s="1881"/>
      <c r="AB7" s="1881"/>
      <c r="AC7" s="1881"/>
      <c r="AD7" s="1881"/>
      <c r="AE7" s="1881"/>
      <c r="AF7" s="1881"/>
      <c r="AG7" s="1881"/>
      <c r="BM7" s="1881"/>
      <c r="BN7" s="1881"/>
      <c r="BO7" s="1881"/>
      <c r="BP7" s="1881"/>
      <c r="BQ7" s="1881"/>
      <c r="BR7" s="1881"/>
      <c r="BS7" s="1881"/>
      <c r="BT7" s="1881"/>
      <c r="BU7" s="1881"/>
      <c r="BV7" s="1881"/>
      <c r="BW7" s="1881"/>
      <c r="BX7" s="1881"/>
      <c r="BY7" s="1881"/>
      <c r="BZ7" s="1881"/>
      <c r="CA7" s="1881"/>
      <c r="CB7" s="1881"/>
      <c r="CC7" s="1881"/>
      <c r="CD7" s="1881"/>
      <c r="CE7" s="1881"/>
      <c r="CF7" s="1881"/>
      <c r="CG7" s="1881"/>
      <c r="CH7" s="1881"/>
      <c r="CI7" s="1881"/>
      <c r="CJ7" s="1881"/>
      <c r="CK7" s="1881"/>
      <c r="CL7" s="1881"/>
      <c r="CM7" s="1881"/>
      <c r="CN7" s="1881"/>
      <c r="CO7" s="1881"/>
      <c r="CP7" s="1881"/>
      <c r="CQ7" s="1881"/>
      <c r="CR7" s="1881"/>
      <c r="CS7" s="1881"/>
      <c r="CT7" s="1881"/>
      <c r="CU7" s="1881"/>
      <c r="CV7" s="1881"/>
      <c r="CW7" s="1881"/>
      <c r="CX7" s="1881"/>
      <c r="CY7" s="1881"/>
      <c r="CZ7" s="1881"/>
      <c r="DA7" s="1881"/>
      <c r="DB7" s="1881"/>
      <c r="DC7" s="1881"/>
      <c r="DD7" s="1881"/>
      <c r="DE7" s="1881"/>
      <c r="DF7" s="1881"/>
      <c r="DG7" s="1881"/>
      <c r="DH7" s="1881"/>
      <c r="DI7" s="1881"/>
      <c r="DJ7" s="1881"/>
      <c r="DK7" s="1881"/>
      <c r="DL7" s="1881"/>
      <c r="DM7" s="1881"/>
      <c r="DN7" s="1881"/>
      <c r="DO7" s="1881"/>
      <c r="DP7" s="1881"/>
      <c r="DQ7" s="1881"/>
      <c r="DR7" s="1881"/>
      <c r="DS7" s="1881"/>
      <c r="DT7" s="1881"/>
      <c r="DU7" s="1881"/>
      <c r="DV7" s="1881"/>
      <c r="DW7" s="1881"/>
      <c r="DX7" s="1881"/>
      <c r="DY7" s="1881"/>
      <c r="DZ7" s="1881"/>
      <c r="EA7" s="1881"/>
      <c r="EB7" s="1881"/>
      <c r="EC7" s="1881"/>
      <c r="ED7" s="1881"/>
      <c r="EE7" s="1881"/>
      <c r="EF7" s="1881"/>
      <c r="EG7" s="1881"/>
      <c r="EH7" s="1881"/>
      <c r="EI7" s="1881"/>
      <c r="EJ7" s="1881"/>
      <c r="EK7" s="1881"/>
      <c r="EL7" s="1881"/>
      <c r="EM7" s="1881"/>
      <c r="EN7" s="1881"/>
      <c r="EO7" s="1881"/>
      <c r="EP7" s="1881"/>
      <c r="EQ7" s="1881"/>
      <c r="ER7" s="1881"/>
      <c r="ES7" s="1881"/>
      <c r="ET7" s="1881"/>
      <c r="EU7" s="1881"/>
      <c r="EV7" s="1881"/>
      <c r="EW7" s="1881"/>
      <c r="EX7" s="1881"/>
      <c r="EY7" s="1881"/>
      <c r="EZ7" s="1881"/>
      <c r="FA7" s="1881"/>
      <c r="FB7" s="1881"/>
      <c r="FC7" s="1881"/>
      <c r="FD7" s="1881"/>
      <c r="FE7" s="1881"/>
      <c r="FF7" s="1881"/>
      <c r="FG7" s="1881"/>
      <c r="FH7" s="1881"/>
      <c r="FI7" s="1881"/>
      <c r="FJ7" s="1881"/>
      <c r="FK7" s="1881"/>
      <c r="FL7" s="1881"/>
      <c r="FM7" s="1881"/>
      <c r="FN7" s="1881"/>
      <c r="FO7" s="1881"/>
      <c r="FP7" s="1881"/>
      <c r="FQ7" s="1881"/>
      <c r="FR7" s="1881"/>
      <c r="FS7" s="1881"/>
      <c r="FT7" s="1881"/>
      <c r="FU7" s="1881"/>
      <c r="FV7" s="1881"/>
      <c r="FW7" s="1881"/>
      <c r="FX7" s="1881"/>
      <c r="FY7" s="1881"/>
      <c r="FZ7" s="1881"/>
      <c r="GA7" s="1881"/>
      <c r="GB7" s="1881"/>
      <c r="GC7" s="1881"/>
      <c r="GD7" s="1881"/>
      <c r="GE7" s="1881"/>
      <c r="GF7" s="1881"/>
      <c r="GG7" s="1881"/>
      <c r="GH7" s="1881"/>
      <c r="GI7" s="1881"/>
      <c r="GJ7" s="1881"/>
      <c r="GK7" s="1881"/>
      <c r="GL7" s="1881"/>
      <c r="GM7" s="1881"/>
      <c r="GN7" s="1881"/>
      <c r="GO7" s="1881"/>
      <c r="GP7" s="1881"/>
      <c r="GQ7" s="1881"/>
    </row>
    <row r="8" spans="1:199" x14ac:dyDescent="0.3">
      <c r="B8" s="1882"/>
      <c r="C8" s="1882"/>
      <c r="D8" s="1883"/>
      <c r="E8" s="1883"/>
      <c r="F8" s="1884">
        <v>2002</v>
      </c>
      <c r="G8" s="1884">
        <v>2003</v>
      </c>
      <c r="H8" s="1884">
        <v>2004</v>
      </c>
      <c r="I8" s="1884">
        <v>2005</v>
      </c>
      <c r="J8" s="1884">
        <v>2006</v>
      </c>
      <c r="K8" s="1884">
        <v>2007</v>
      </c>
      <c r="L8" s="1884">
        <v>2008</v>
      </c>
      <c r="M8" s="1884">
        <v>2009</v>
      </c>
      <c r="N8" s="1884">
        <v>2010</v>
      </c>
      <c r="O8" s="1884">
        <v>2011</v>
      </c>
      <c r="P8" s="1884">
        <v>2012</v>
      </c>
      <c r="Q8" s="1884">
        <v>2013</v>
      </c>
      <c r="R8" s="1884">
        <v>2014</v>
      </c>
      <c r="S8" s="1884">
        <v>2015</v>
      </c>
      <c r="T8" s="1884">
        <v>2016</v>
      </c>
      <c r="U8" s="1884">
        <v>2017</v>
      </c>
      <c r="V8" s="1913">
        <v>2018</v>
      </c>
      <c r="W8" s="1913">
        <v>2019</v>
      </c>
      <c r="X8" s="1874"/>
      <c r="Y8" s="1874"/>
      <c r="Z8" s="1874"/>
      <c r="AA8" s="1874"/>
      <c r="AB8" s="1874"/>
      <c r="AC8" s="1874"/>
      <c r="AD8" s="1874"/>
      <c r="AE8" s="1874"/>
      <c r="AF8" s="1874"/>
      <c r="AG8" s="1874"/>
    </row>
    <row r="9" spans="1:199" s="1890" customFormat="1" x14ac:dyDescent="0.3">
      <c r="A9" s="1885"/>
      <c r="B9" s="1886"/>
      <c r="C9" s="1887"/>
      <c r="D9" s="1888" t="s">
        <v>402</v>
      </c>
      <c r="E9" s="1889"/>
      <c r="F9" s="1854">
        <v>33.389963700000003</v>
      </c>
      <c r="G9" s="1854">
        <v>34.580145900000005</v>
      </c>
      <c r="H9" s="1854">
        <v>38.482503299999991</v>
      </c>
      <c r="I9" s="1854">
        <v>46.538976899999987</v>
      </c>
      <c r="J9" s="1854">
        <v>49.27450300000001</v>
      </c>
      <c r="K9" s="1854">
        <v>51.875768000000001</v>
      </c>
      <c r="L9" s="1854">
        <v>54.781131100000003</v>
      </c>
      <c r="M9" s="1854">
        <v>58.048166899999998</v>
      </c>
      <c r="N9" s="1854">
        <v>62.039366600000001</v>
      </c>
      <c r="O9" s="1854">
        <v>64.392926099999997</v>
      </c>
      <c r="P9" s="1854">
        <v>68.780702199999993</v>
      </c>
      <c r="Q9" s="1854">
        <v>71.169515799999999</v>
      </c>
      <c r="R9" s="1854">
        <v>78.168701600000006</v>
      </c>
      <c r="S9" s="1854">
        <v>81.769376399999999</v>
      </c>
      <c r="T9" s="1854">
        <v>85.013192099999998</v>
      </c>
      <c r="U9" s="1854">
        <v>85.609959099999998</v>
      </c>
      <c r="V9" s="1854">
        <v>87.781934799999988</v>
      </c>
      <c r="W9" s="1854">
        <v>87.610142959629911</v>
      </c>
    </row>
    <row r="10" spans="1:199" s="1890" customFormat="1" x14ac:dyDescent="0.3">
      <c r="A10" s="1885"/>
      <c r="B10" s="1886"/>
      <c r="C10" s="1887"/>
      <c r="D10" s="1888" t="s">
        <v>404</v>
      </c>
      <c r="E10" s="1889"/>
      <c r="F10" s="1858">
        <v>64.655306200000012</v>
      </c>
      <c r="G10" s="1858">
        <v>66.906561500000009</v>
      </c>
      <c r="H10" s="1858">
        <v>69.651105900000005</v>
      </c>
      <c r="I10" s="1858">
        <v>69.801933099999999</v>
      </c>
      <c r="J10" s="1858">
        <v>71.545309799999998</v>
      </c>
      <c r="K10" s="1858">
        <v>74.7018719</v>
      </c>
      <c r="L10" s="1858">
        <v>75.982281700000001</v>
      </c>
      <c r="M10" s="1858">
        <v>78.770572799999997</v>
      </c>
      <c r="N10" s="1858">
        <v>76.792697399999994</v>
      </c>
      <c r="O10" s="1858">
        <v>83.023015500000014</v>
      </c>
      <c r="P10" s="1858">
        <v>80.6227904</v>
      </c>
      <c r="Q10" s="1858">
        <v>83.114809600000001</v>
      </c>
      <c r="R10" s="1858">
        <v>83.647426899999999</v>
      </c>
      <c r="S10" s="1858">
        <v>81.574372899999986</v>
      </c>
      <c r="T10" s="1858">
        <v>82.805456100000001</v>
      </c>
      <c r="U10" s="1858">
        <v>84.772673099999992</v>
      </c>
      <c r="V10" s="1858">
        <v>85.494317500000008</v>
      </c>
      <c r="W10" s="1858">
        <v>82.230796289600534</v>
      </c>
    </row>
    <row r="11" spans="1:199" s="1890" customFormat="1" x14ac:dyDescent="0.3">
      <c r="A11" s="1885"/>
      <c r="B11" s="1886"/>
      <c r="C11" s="1887"/>
      <c r="D11" s="1888" t="s">
        <v>407</v>
      </c>
      <c r="E11" s="1889"/>
      <c r="F11" s="1858">
        <v>88.74916429999999</v>
      </c>
      <c r="G11" s="1858">
        <v>89.323340200000018</v>
      </c>
      <c r="H11" s="1858">
        <v>89.771664700000002</v>
      </c>
      <c r="I11" s="1858">
        <v>88.420890200000002</v>
      </c>
      <c r="J11" s="1858">
        <v>88.96382779999999</v>
      </c>
      <c r="K11" s="1858">
        <v>87.532518100000019</v>
      </c>
      <c r="L11" s="1858">
        <v>90.621725700000013</v>
      </c>
      <c r="M11" s="1858">
        <v>88.046242299999989</v>
      </c>
      <c r="N11" s="1858">
        <v>88.364756099999994</v>
      </c>
      <c r="O11" s="1858">
        <v>90.200067799999999</v>
      </c>
      <c r="P11" s="1858">
        <v>88.967600200000007</v>
      </c>
      <c r="Q11" s="1858">
        <v>89.821993699999993</v>
      </c>
      <c r="R11" s="1858">
        <v>90.484606499999998</v>
      </c>
      <c r="S11" s="1858">
        <v>90.537212199999999</v>
      </c>
      <c r="T11" s="1858">
        <v>90.149245399999998</v>
      </c>
      <c r="U11" s="1858">
        <v>90.463906299999991</v>
      </c>
      <c r="V11" s="1858">
        <v>91.521723300000019</v>
      </c>
      <c r="W11" s="1858">
        <v>89.932823781737227</v>
      </c>
    </row>
    <row r="12" spans="1:199" s="1890" customFormat="1" x14ac:dyDescent="0.3">
      <c r="A12" s="1885"/>
      <c r="B12" s="1886"/>
      <c r="C12" s="1887"/>
      <c r="D12" s="1888" t="s">
        <v>405</v>
      </c>
      <c r="E12" s="1889"/>
      <c r="F12" s="1858">
        <v>50.8426598</v>
      </c>
      <c r="G12" s="1858">
        <v>57.026902300000003</v>
      </c>
      <c r="H12" s="1858">
        <v>58.400045900000016</v>
      </c>
      <c r="I12" s="1858">
        <v>60.0726607</v>
      </c>
      <c r="J12" s="1858">
        <v>62.909222200000002</v>
      </c>
      <c r="K12" s="1858">
        <v>64.424497499999987</v>
      </c>
      <c r="L12" s="1858">
        <v>62.353250199999998</v>
      </c>
      <c r="M12" s="1858">
        <v>69.593341099999989</v>
      </c>
      <c r="N12" s="1858">
        <v>69.79719639999999</v>
      </c>
      <c r="O12" s="1858">
        <v>70.15037559999999</v>
      </c>
      <c r="P12" s="1858">
        <v>66.825114099999993</v>
      </c>
      <c r="Q12" s="1858">
        <v>73.879662499999995</v>
      </c>
      <c r="R12" s="1858">
        <v>75.678969300000006</v>
      </c>
      <c r="S12" s="1858">
        <v>77.325517599999998</v>
      </c>
      <c r="T12" s="1858">
        <v>76.958060399999994</v>
      </c>
      <c r="U12" s="1858">
        <v>80.903238700000003</v>
      </c>
      <c r="V12" s="1858">
        <v>81.050809900000004</v>
      </c>
      <c r="W12" s="1858">
        <v>80.941425710285614</v>
      </c>
    </row>
    <row r="13" spans="1:199" s="1890" customFormat="1" x14ac:dyDescent="0.3">
      <c r="A13" s="1885"/>
      <c r="B13" s="1886"/>
      <c r="C13" s="1887"/>
      <c r="D13" s="1888" t="s">
        <v>409</v>
      </c>
      <c r="E13" s="1889"/>
      <c r="F13" s="1858">
        <v>26.909824800000003</v>
      </c>
      <c r="G13" s="1858">
        <v>26.073142300000001</v>
      </c>
      <c r="H13" s="1858">
        <v>34.549364500000003</v>
      </c>
      <c r="I13" s="1858">
        <v>35.6627893</v>
      </c>
      <c r="J13" s="1858">
        <v>33.899923200000003</v>
      </c>
      <c r="K13" s="1858">
        <v>36.673979000000003</v>
      </c>
      <c r="L13" s="1858">
        <v>31.9504485</v>
      </c>
      <c r="M13" s="1858">
        <v>40.763848500000002</v>
      </c>
      <c r="N13" s="1858">
        <v>40.067857799999999</v>
      </c>
      <c r="O13" s="1858">
        <v>45.330261499999999</v>
      </c>
      <c r="P13" s="1858">
        <v>49.151748599999998</v>
      </c>
      <c r="Q13" s="1858">
        <v>50.084812200000009</v>
      </c>
      <c r="R13" s="1858">
        <v>53.799644700000002</v>
      </c>
      <c r="S13" s="1858">
        <v>53.590295400000002</v>
      </c>
      <c r="T13" s="1858">
        <v>56.941830799999991</v>
      </c>
      <c r="U13" s="1858">
        <v>59.186480600000003</v>
      </c>
      <c r="V13" s="1858">
        <v>58.833882699999997</v>
      </c>
      <c r="W13" s="1858">
        <v>63.410538991898235</v>
      </c>
    </row>
    <row r="14" spans="1:199" s="1890" customFormat="1" x14ac:dyDescent="0.3">
      <c r="A14" s="1885"/>
      <c r="B14" s="1886"/>
      <c r="C14" s="1887"/>
      <c r="D14" s="1888" t="s">
        <v>408</v>
      </c>
      <c r="E14" s="1889"/>
      <c r="F14" s="1858">
        <v>50.745665199999998</v>
      </c>
      <c r="G14" s="1858">
        <v>54.549729700000007</v>
      </c>
      <c r="H14" s="1858">
        <v>55.257995199999996</v>
      </c>
      <c r="I14" s="1858">
        <v>48.083126</v>
      </c>
      <c r="J14" s="1858">
        <v>53.056532900000001</v>
      </c>
      <c r="K14" s="1858">
        <v>57.642474699999994</v>
      </c>
      <c r="L14" s="1858">
        <v>54.248105600000009</v>
      </c>
      <c r="M14" s="1858">
        <v>52.6350251</v>
      </c>
      <c r="N14" s="1858">
        <v>53.718902599999993</v>
      </c>
      <c r="O14" s="1858">
        <v>56.743985900000006</v>
      </c>
      <c r="P14" s="1858">
        <v>61.720995899999998</v>
      </c>
      <c r="Q14" s="1858">
        <v>62.903685200000005</v>
      </c>
      <c r="R14" s="1858">
        <v>64.370643700000002</v>
      </c>
      <c r="S14" s="1858">
        <v>65.890631200000001</v>
      </c>
      <c r="T14" s="1858">
        <v>67.470475199999996</v>
      </c>
      <c r="U14" s="1858">
        <v>67.724061599999999</v>
      </c>
      <c r="V14" s="1858">
        <v>67.973757800000001</v>
      </c>
      <c r="W14" s="1858">
        <v>63.713976248044332</v>
      </c>
    </row>
    <row r="15" spans="1:199" s="1890" customFormat="1" x14ac:dyDescent="0.3">
      <c r="A15" s="1885"/>
      <c r="B15" s="1886"/>
      <c r="C15" s="1887"/>
      <c r="D15" s="1888" t="s">
        <v>406</v>
      </c>
      <c r="E15" s="1889"/>
      <c r="F15" s="1858">
        <v>54.062981700000002</v>
      </c>
      <c r="G15" s="1858">
        <v>61.077368700000001</v>
      </c>
      <c r="H15" s="1858">
        <v>57.799545000000009</v>
      </c>
      <c r="I15" s="1858">
        <v>55.0863899</v>
      </c>
      <c r="J15" s="1858">
        <v>54.444371500000003</v>
      </c>
      <c r="K15" s="1858">
        <v>62.441901700000017</v>
      </c>
      <c r="L15" s="1858">
        <v>57.806768599999991</v>
      </c>
      <c r="M15" s="1858">
        <v>64.973034200000001</v>
      </c>
      <c r="N15" s="1858">
        <v>64.881429900000001</v>
      </c>
      <c r="O15" s="1858">
        <v>64.590350100000009</v>
      </c>
      <c r="P15" s="1858">
        <v>71.425107300000008</v>
      </c>
      <c r="Q15" s="1858">
        <v>70.125713000000005</v>
      </c>
      <c r="R15" s="1858">
        <v>66.7982643</v>
      </c>
      <c r="S15" s="1858">
        <v>66.545862200000002</v>
      </c>
      <c r="T15" s="1858">
        <v>68.830364200000005</v>
      </c>
      <c r="U15" s="1858">
        <v>71.567197399999998</v>
      </c>
      <c r="V15" s="1858">
        <v>70.499738999999991</v>
      </c>
      <c r="W15" s="1858">
        <v>68.793676516288457</v>
      </c>
    </row>
    <row r="16" spans="1:199" s="1890" customFormat="1" x14ac:dyDescent="0.3">
      <c r="A16" s="1885"/>
      <c r="B16" s="1886"/>
      <c r="C16" s="1887"/>
      <c r="D16" s="1888" t="s">
        <v>692</v>
      </c>
      <c r="E16" s="1889"/>
      <c r="F16" s="1858">
        <v>75.452793499999999</v>
      </c>
      <c r="G16" s="1858">
        <v>75.8046899</v>
      </c>
      <c r="H16" s="1858">
        <v>75.933985199999981</v>
      </c>
      <c r="I16" s="1858">
        <v>79.240019799999999</v>
      </c>
      <c r="J16" s="1858">
        <v>76.811937999999998</v>
      </c>
      <c r="K16" s="1858">
        <v>93.681555499999988</v>
      </c>
      <c r="L16" s="1858">
        <v>75.910807699999992</v>
      </c>
      <c r="M16" s="1858">
        <v>83.780963299999982</v>
      </c>
      <c r="N16" s="1858">
        <v>80.279816600000004</v>
      </c>
      <c r="O16" s="1858">
        <v>83.045057300000011</v>
      </c>
      <c r="P16" s="1858">
        <v>83.993468600000014</v>
      </c>
      <c r="Q16" s="1858">
        <v>81.640891999999994</v>
      </c>
      <c r="R16" s="1858">
        <v>83.802144499999997</v>
      </c>
      <c r="S16" s="1858">
        <v>80.811648300000002</v>
      </c>
      <c r="T16" s="1858">
        <v>82.588819600000008</v>
      </c>
      <c r="U16" s="1858">
        <v>87.837341500000008</v>
      </c>
      <c r="V16" s="1858">
        <v>89.888789799999998</v>
      </c>
      <c r="W16" s="1858">
        <v>83.725707426301497</v>
      </c>
    </row>
    <row r="17" spans="1:134" s="1890" customFormat="1" x14ac:dyDescent="0.3">
      <c r="A17" s="1885"/>
      <c r="B17" s="1886"/>
      <c r="C17" s="1887"/>
      <c r="D17" s="1888" t="s">
        <v>693</v>
      </c>
      <c r="E17" s="1889"/>
      <c r="F17" s="1858">
        <v>92.102086600000007</v>
      </c>
      <c r="G17" s="1858">
        <v>89.7105502</v>
      </c>
      <c r="H17" s="1858">
        <v>91.791596200000001</v>
      </c>
      <c r="I17" s="1858">
        <v>92.942043000000012</v>
      </c>
      <c r="J17" s="1858">
        <v>95.132535100000013</v>
      </c>
      <c r="K17" s="1858">
        <v>80.732636400000004</v>
      </c>
      <c r="L17" s="1858">
        <v>93.387107999999998</v>
      </c>
      <c r="M17" s="1858">
        <v>94.422259799999992</v>
      </c>
      <c r="N17" s="1858">
        <v>94.760990000000007</v>
      </c>
      <c r="O17" s="1858">
        <v>93.490226300000003</v>
      </c>
      <c r="P17" s="1858">
        <v>93.253735300000002</v>
      </c>
      <c r="Q17" s="1858">
        <v>93.9560393</v>
      </c>
      <c r="R17" s="1858">
        <v>94.392367799999988</v>
      </c>
      <c r="S17" s="1858">
        <v>93.030997499999998</v>
      </c>
      <c r="T17" s="1858">
        <v>94.175851300000005</v>
      </c>
      <c r="U17" s="1858">
        <v>94.203021400000026</v>
      </c>
      <c r="V17" s="1858">
        <v>93.72664180000001</v>
      </c>
      <c r="W17" s="1858">
        <v>94.49486408220551</v>
      </c>
    </row>
    <row r="18" spans="1:134" s="1895" customFormat="1" x14ac:dyDescent="0.3">
      <c r="A18" s="1885"/>
      <c r="B18" s="1891"/>
      <c r="C18" s="1891"/>
      <c r="D18" s="1892" t="s">
        <v>306</v>
      </c>
      <c r="E18" s="1893"/>
      <c r="F18" s="1894">
        <v>61.609057700000001</v>
      </c>
      <c r="G18" s="1894">
        <v>63.763974400000002</v>
      </c>
      <c r="H18" s="1894">
        <v>65.877762000000004</v>
      </c>
      <c r="I18" s="1894">
        <v>66.651295100000013</v>
      </c>
      <c r="J18" s="1894">
        <v>68.2534706</v>
      </c>
      <c r="K18" s="1894">
        <v>69.847461700000011</v>
      </c>
      <c r="L18" s="1894">
        <v>69.644052700000017</v>
      </c>
      <c r="M18" s="1894">
        <v>72.415351599999994</v>
      </c>
      <c r="N18" s="1894">
        <v>72.9488597</v>
      </c>
      <c r="O18" s="1894">
        <v>74.856509099999997</v>
      </c>
      <c r="P18" s="1894">
        <v>75.556740899999994</v>
      </c>
      <c r="Q18" s="1894">
        <v>77.601582100000002</v>
      </c>
      <c r="R18" s="1894">
        <v>79.263823700000003</v>
      </c>
      <c r="S18" s="1894">
        <v>79.736469900000003</v>
      </c>
      <c r="T18" s="1894">
        <v>80.768498899999997</v>
      </c>
      <c r="U18" s="1894">
        <v>82.265798199999992</v>
      </c>
      <c r="V18" s="1894">
        <v>82.766929900000008</v>
      </c>
      <c r="W18" s="1894">
        <v>82.03733992620144</v>
      </c>
    </row>
    <row r="19" spans="1:134" x14ac:dyDescent="0.3">
      <c r="B19" s="1882"/>
      <c r="C19" s="1882"/>
      <c r="D19" s="1896"/>
      <c r="E19" s="1896"/>
      <c r="F19" s="1897"/>
      <c r="G19" s="1896"/>
      <c r="H19" s="1896"/>
      <c r="I19" s="1896"/>
      <c r="J19" s="1898"/>
      <c r="K19" s="1898"/>
      <c r="L19" s="1898"/>
      <c r="M19" s="1898"/>
      <c r="N19" s="1898"/>
      <c r="O19" s="1898"/>
      <c r="P19" s="1898"/>
      <c r="Q19" s="1898"/>
      <c r="R19" s="1899"/>
      <c r="S19" s="1899"/>
      <c r="T19" s="1874"/>
      <c r="U19" s="1874"/>
      <c r="V19" s="1914"/>
      <c r="W19" s="1874"/>
      <c r="X19" s="1874"/>
      <c r="Y19" s="1874"/>
      <c r="Z19" s="1874"/>
      <c r="AA19" s="1874"/>
      <c r="AB19" s="1874"/>
      <c r="AC19" s="1874"/>
      <c r="AD19" s="1874"/>
      <c r="AE19" s="1874"/>
      <c r="AF19" s="1874"/>
      <c r="AG19" s="1874"/>
    </row>
    <row r="20" spans="1:134" x14ac:dyDescent="0.3">
      <c r="B20" s="1882"/>
      <c r="C20" s="1882"/>
      <c r="D20" s="89" t="s">
        <v>521</v>
      </c>
      <c r="E20" s="89" t="s">
        <v>702</v>
      </c>
      <c r="F20" s="89"/>
      <c r="G20" s="89"/>
      <c r="H20" s="89"/>
      <c r="I20" s="1896"/>
      <c r="J20" s="1896"/>
      <c r="K20" s="1898"/>
      <c r="L20" s="1898"/>
      <c r="M20" s="1898"/>
      <c r="N20" s="1898"/>
      <c r="O20" s="1898"/>
      <c r="P20" s="1898"/>
      <c r="Q20" s="1898"/>
      <c r="R20" s="1899"/>
      <c r="S20" s="1899"/>
      <c r="T20" s="1874"/>
      <c r="U20" s="1874"/>
      <c r="V20" s="1914"/>
      <c r="W20" s="1874"/>
      <c r="X20" s="1874"/>
      <c r="Y20" s="1874"/>
      <c r="Z20" s="1874"/>
      <c r="AA20" s="1874"/>
      <c r="AB20" s="1874"/>
      <c r="AC20" s="1874"/>
      <c r="AD20" s="1874"/>
      <c r="AE20" s="1874"/>
      <c r="AF20" s="1874"/>
      <c r="AG20" s="1874"/>
    </row>
    <row r="21" spans="1:134" x14ac:dyDescent="0.3">
      <c r="B21" s="1882"/>
      <c r="C21" s="1882"/>
      <c r="D21" s="1883"/>
      <c r="E21" s="1883"/>
      <c r="F21" s="1884">
        <v>2002</v>
      </c>
      <c r="G21" s="1884">
        <v>2003</v>
      </c>
      <c r="H21" s="1884">
        <v>2004</v>
      </c>
      <c r="I21" s="1884">
        <v>2005</v>
      </c>
      <c r="J21" s="1884">
        <v>2006</v>
      </c>
      <c r="K21" s="1884">
        <v>2007</v>
      </c>
      <c r="L21" s="1884">
        <v>2008</v>
      </c>
      <c r="M21" s="1884">
        <v>2009</v>
      </c>
      <c r="N21" s="1884">
        <v>2010</v>
      </c>
      <c r="O21" s="1884">
        <v>2011</v>
      </c>
      <c r="P21" s="1884">
        <v>2012</v>
      </c>
      <c r="Q21" s="1884">
        <v>2013</v>
      </c>
      <c r="R21" s="1884">
        <v>2014</v>
      </c>
      <c r="S21" s="1884">
        <v>2015</v>
      </c>
      <c r="T21" s="1884">
        <v>2016</v>
      </c>
      <c r="U21" s="1884">
        <v>2017</v>
      </c>
      <c r="V21" s="1913">
        <v>2018</v>
      </c>
      <c r="W21" s="1913">
        <v>2019</v>
      </c>
      <c r="X21" s="1874"/>
      <c r="Y21" s="1874"/>
      <c r="Z21" s="1874"/>
      <c r="AA21" s="1874"/>
      <c r="AB21" s="1874"/>
      <c r="AC21" s="1874"/>
      <c r="AD21" s="1874"/>
      <c r="AE21" s="1874"/>
      <c r="AF21" s="1874"/>
      <c r="AG21" s="1874"/>
    </row>
    <row r="22" spans="1:134" s="1890" customFormat="1" x14ac:dyDescent="0.3">
      <c r="A22" s="1885"/>
      <c r="B22" s="1886"/>
      <c r="C22" s="1887"/>
      <c r="D22" s="1888" t="s">
        <v>402</v>
      </c>
      <c r="E22" s="1889"/>
      <c r="F22" s="1854">
        <v>502855</v>
      </c>
      <c r="G22" s="1854">
        <v>524955</v>
      </c>
      <c r="H22" s="1854">
        <v>587107</v>
      </c>
      <c r="I22" s="1854">
        <v>711821</v>
      </c>
      <c r="J22" s="1854">
        <v>754643</v>
      </c>
      <c r="K22" s="1854">
        <v>799265</v>
      </c>
      <c r="L22" s="1854">
        <v>849596</v>
      </c>
      <c r="M22" s="1854">
        <v>905974</v>
      </c>
      <c r="N22" s="1854">
        <v>974331</v>
      </c>
      <c r="O22" s="1854">
        <v>1017591</v>
      </c>
      <c r="P22" s="1854">
        <v>1097620</v>
      </c>
      <c r="Q22" s="1854">
        <v>1146387</v>
      </c>
      <c r="R22" s="1854">
        <v>1269594</v>
      </c>
      <c r="S22" s="1854">
        <v>1337912</v>
      </c>
      <c r="T22" s="1854">
        <v>1401164</v>
      </c>
      <c r="U22" s="1854">
        <v>1427297.7748437</v>
      </c>
      <c r="V22" s="1854">
        <v>1479256.7943406</v>
      </c>
      <c r="W22" s="1854">
        <v>1491189.0839371001</v>
      </c>
    </row>
    <row r="23" spans="1:134" s="1890" customFormat="1" x14ac:dyDescent="0.3">
      <c r="A23" s="1885"/>
      <c r="B23" s="1886"/>
      <c r="C23" s="1887"/>
      <c r="D23" s="1888" t="s">
        <v>404</v>
      </c>
      <c r="E23" s="1889"/>
      <c r="F23" s="1858">
        <v>439248</v>
      </c>
      <c r="G23" s="1858">
        <v>462862</v>
      </c>
      <c r="H23" s="1858">
        <v>489985</v>
      </c>
      <c r="I23" s="1858">
        <v>498889</v>
      </c>
      <c r="J23" s="1858">
        <v>519516</v>
      </c>
      <c r="K23" s="1858">
        <v>551477</v>
      </c>
      <c r="L23" s="1858">
        <v>570305</v>
      </c>
      <c r="M23" s="1858">
        <v>600768</v>
      </c>
      <c r="N23" s="1858">
        <v>595007</v>
      </c>
      <c r="O23" s="1858">
        <v>653302</v>
      </c>
      <c r="P23" s="1858">
        <v>645680</v>
      </c>
      <c r="Q23" s="1858">
        <v>677533</v>
      </c>
      <c r="R23" s="1858">
        <v>694072</v>
      </c>
      <c r="S23" s="1858">
        <v>689471</v>
      </c>
      <c r="T23" s="1858">
        <v>714054</v>
      </c>
      <c r="U23" s="1858">
        <v>747515.29159090004</v>
      </c>
      <c r="V23" s="1858">
        <v>770576.34176970006</v>
      </c>
      <c r="W23" s="1858">
        <v>757544.66102590004</v>
      </c>
    </row>
    <row r="24" spans="1:134" s="1890" customFormat="1" x14ac:dyDescent="0.3">
      <c r="A24" s="1885"/>
      <c r="B24" s="1886"/>
      <c r="C24" s="1887"/>
      <c r="D24" s="1888" t="s">
        <v>407</v>
      </c>
      <c r="E24" s="1889"/>
      <c r="F24" s="1858">
        <v>2471702</v>
      </c>
      <c r="G24" s="1858">
        <v>2573887</v>
      </c>
      <c r="H24" s="1858">
        <v>2676965</v>
      </c>
      <c r="I24" s="1858">
        <v>2730866</v>
      </c>
      <c r="J24" s="1858">
        <v>2848517</v>
      </c>
      <c r="K24" s="1858">
        <v>2892517</v>
      </c>
      <c r="L24" s="1858">
        <v>3095816</v>
      </c>
      <c r="M24" s="1858">
        <v>3113915</v>
      </c>
      <c r="N24" s="1858">
        <v>3241150</v>
      </c>
      <c r="O24" s="1858">
        <v>3434240</v>
      </c>
      <c r="P24" s="1858">
        <v>3503221</v>
      </c>
      <c r="Q24" s="1858">
        <v>3660329</v>
      </c>
      <c r="R24" s="1858">
        <v>3818859</v>
      </c>
      <c r="S24" s="1858">
        <v>3962601</v>
      </c>
      <c r="T24" s="1858">
        <v>4098369</v>
      </c>
      <c r="U24" s="1858">
        <v>4259812.0979495002</v>
      </c>
      <c r="V24" s="1858">
        <v>4469793.5118195005</v>
      </c>
      <c r="W24" s="1858">
        <v>4561529.2211835003</v>
      </c>
    </row>
    <row r="25" spans="1:134" s="1890" customFormat="1" x14ac:dyDescent="0.3">
      <c r="A25" s="1885"/>
      <c r="B25" s="1886"/>
      <c r="C25" s="1887"/>
      <c r="D25" s="1888" t="s">
        <v>405</v>
      </c>
      <c r="E25" s="1889"/>
      <c r="F25" s="1858">
        <v>1052672</v>
      </c>
      <c r="G25" s="1858">
        <v>1200507</v>
      </c>
      <c r="H25" s="1858">
        <v>1248223</v>
      </c>
      <c r="I25" s="1858">
        <v>1302367</v>
      </c>
      <c r="J25" s="1858">
        <v>1383028</v>
      </c>
      <c r="K25" s="1858">
        <v>1442808</v>
      </c>
      <c r="L25" s="1858">
        <v>1424227</v>
      </c>
      <c r="M25" s="1858">
        <v>1622391</v>
      </c>
      <c r="N25" s="1858">
        <v>1662237</v>
      </c>
      <c r="O25" s="1858">
        <v>1707508</v>
      </c>
      <c r="P25" s="1858">
        <v>1667082</v>
      </c>
      <c r="Q25" s="1858">
        <v>1888562</v>
      </c>
      <c r="R25" s="1858">
        <v>1981812</v>
      </c>
      <c r="S25" s="1858">
        <v>2074878</v>
      </c>
      <c r="T25" s="1858">
        <v>2117945</v>
      </c>
      <c r="U25" s="1858">
        <v>2287390.6811611</v>
      </c>
      <c r="V25" s="1858">
        <v>2354139.0650491999</v>
      </c>
      <c r="W25" s="1858">
        <v>2415940.3975351001</v>
      </c>
    </row>
    <row r="26" spans="1:134" s="1890" customFormat="1" x14ac:dyDescent="0.3">
      <c r="A26" s="1885"/>
      <c r="B26" s="1886"/>
      <c r="C26" s="1887"/>
      <c r="D26" s="1888" t="s">
        <v>409</v>
      </c>
      <c r="E26" s="1889"/>
      <c r="F26" s="1858">
        <v>301718</v>
      </c>
      <c r="G26" s="1858">
        <v>298183</v>
      </c>
      <c r="H26" s="1858">
        <v>401986</v>
      </c>
      <c r="I26" s="1858">
        <v>421327</v>
      </c>
      <c r="J26" s="1858">
        <v>406377</v>
      </c>
      <c r="K26" s="1858">
        <v>448274</v>
      </c>
      <c r="L26" s="1858">
        <v>398435</v>
      </c>
      <c r="M26" s="1858">
        <v>518516</v>
      </c>
      <c r="N26" s="1858">
        <v>519950</v>
      </c>
      <c r="O26" s="1858">
        <v>600324</v>
      </c>
      <c r="P26" s="1858">
        <v>666771</v>
      </c>
      <c r="Q26" s="1858">
        <v>696240</v>
      </c>
      <c r="R26" s="1858">
        <v>766187</v>
      </c>
      <c r="S26" s="1858">
        <v>781755</v>
      </c>
      <c r="T26" s="1858">
        <v>851450</v>
      </c>
      <c r="U26" s="1858">
        <v>909787.88685949997</v>
      </c>
      <c r="V26" s="1858">
        <v>928852.84912519995</v>
      </c>
      <c r="W26" s="1858">
        <v>1027643.6802268</v>
      </c>
    </row>
    <row r="27" spans="1:134" s="1890" customFormat="1" x14ac:dyDescent="0.3">
      <c r="A27" s="1885"/>
      <c r="B27" s="1886"/>
      <c r="C27" s="1887"/>
      <c r="D27" s="1888" t="s">
        <v>408</v>
      </c>
      <c r="E27" s="1889"/>
      <c r="F27" s="1858">
        <v>406701</v>
      </c>
      <c r="G27" s="1858">
        <v>450857</v>
      </c>
      <c r="H27" s="1858">
        <v>470511</v>
      </c>
      <c r="I27" s="1858">
        <v>421447</v>
      </c>
      <c r="J27" s="1858">
        <v>478584</v>
      </c>
      <c r="K27" s="1858">
        <v>535313</v>
      </c>
      <c r="L27" s="1858">
        <v>518712</v>
      </c>
      <c r="M27" s="1858">
        <v>518032</v>
      </c>
      <c r="N27" s="1858">
        <v>544308</v>
      </c>
      <c r="O27" s="1858">
        <v>591984</v>
      </c>
      <c r="P27" s="1858">
        <v>662767</v>
      </c>
      <c r="Q27" s="1858">
        <v>695304</v>
      </c>
      <c r="R27" s="1858">
        <v>732356</v>
      </c>
      <c r="S27" s="1858">
        <v>772029</v>
      </c>
      <c r="T27" s="1858">
        <v>815300</v>
      </c>
      <c r="U27" s="1858">
        <v>844967.66743119992</v>
      </c>
      <c r="V27" s="1858">
        <v>876087.79342549993</v>
      </c>
      <c r="W27" s="1858">
        <v>848460.01364369993</v>
      </c>
    </row>
    <row r="28" spans="1:134" s="1890" customFormat="1" x14ac:dyDescent="0.3">
      <c r="A28" s="1885"/>
      <c r="B28" s="1886"/>
      <c r="C28" s="1887"/>
      <c r="D28" s="1888" t="s">
        <v>406</v>
      </c>
      <c r="E28" s="1889"/>
      <c r="F28" s="1858">
        <v>414477</v>
      </c>
      <c r="G28" s="1858">
        <v>482045</v>
      </c>
      <c r="H28" s="1858">
        <v>469065</v>
      </c>
      <c r="I28" s="1858">
        <v>459473</v>
      </c>
      <c r="J28" s="1858">
        <v>466970</v>
      </c>
      <c r="K28" s="1858">
        <v>550273</v>
      </c>
      <c r="L28" s="1858">
        <v>523486</v>
      </c>
      <c r="M28" s="1858">
        <v>604357</v>
      </c>
      <c r="N28" s="1858">
        <v>619944</v>
      </c>
      <c r="O28" s="1858">
        <v>633976</v>
      </c>
      <c r="P28" s="1858">
        <v>720180</v>
      </c>
      <c r="Q28" s="1858">
        <v>727139</v>
      </c>
      <c r="R28" s="1858">
        <v>712768</v>
      </c>
      <c r="S28" s="1858">
        <v>731607</v>
      </c>
      <c r="T28" s="1858">
        <v>781224</v>
      </c>
      <c r="U28" s="1858">
        <v>838968.86302569997</v>
      </c>
      <c r="V28" s="1858">
        <v>852711.67010890006</v>
      </c>
      <c r="W28" s="1858">
        <v>858225.06361739989</v>
      </c>
    </row>
    <row r="29" spans="1:134" s="1890" customFormat="1" x14ac:dyDescent="0.3">
      <c r="A29" s="1885"/>
      <c r="B29" s="1886"/>
      <c r="C29" s="1887"/>
      <c r="D29" s="1888" t="s">
        <v>692</v>
      </c>
      <c r="E29" s="1889"/>
      <c r="F29" s="1858">
        <v>186532</v>
      </c>
      <c r="G29" s="1858">
        <v>191057</v>
      </c>
      <c r="H29" s="1858">
        <v>194971</v>
      </c>
      <c r="I29" s="1858">
        <v>207173</v>
      </c>
      <c r="J29" s="1858">
        <v>204561</v>
      </c>
      <c r="K29" s="1858">
        <v>219286</v>
      </c>
      <c r="L29" s="1858">
        <v>210254</v>
      </c>
      <c r="M29" s="1858">
        <v>236425</v>
      </c>
      <c r="N29" s="1858">
        <v>230751</v>
      </c>
      <c r="O29" s="1858">
        <v>243089</v>
      </c>
      <c r="P29" s="1858">
        <v>251008</v>
      </c>
      <c r="Q29" s="1858">
        <v>249088</v>
      </c>
      <c r="R29" s="1858">
        <v>260982</v>
      </c>
      <c r="S29" s="1858">
        <v>257044</v>
      </c>
      <c r="T29" s="1858">
        <v>268759</v>
      </c>
      <c r="U29" s="1858">
        <v>292875.31905569998</v>
      </c>
      <c r="V29" s="1858">
        <v>307105.5172837</v>
      </c>
      <c r="W29" s="1858">
        <v>293035.02800980001</v>
      </c>
    </row>
    <row r="30" spans="1:134" s="1890" customFormat="1" x14ac:dyDescent="0.3">
      <c r="A30" s="1885"/>
      <c r="B30" s="1886"/>
      <c r="C30" s="1887"/>
      <c r="D30" s="1888" t="s">
        <v>693</v>
      </c>
      <c r="E30" s="1889"/>
      <c r="F30" s="1858">
        <v>1120828</v>
      </c>
      <c r="G30" s="1858">
        <v>1122576</v>
      </c>
      <c r="H30" s="1858">
        <v>1180961</v>
      </c>
      <c r="I30" s="1858">
        <v>1229455</v>
      </c>
      <c r="J30" s="1858">
        <v>1294223</v>
      </c>
      <c r="K30" s="1858">
        <v>1307429</v>
      </c>
      <c r="L30" s="1858">
        <v>1337040</v>
      </c>
      <c r="M30" s="1858">
        <v>1386596</v>
      </c>
      <c r="N30" s="1858">
        <v>1428073</v>
      </c>
      <c r="O30" s="1858">
        <v>1446180</v>
      </c>
      <c r="P30" s="1858">
        <v>1478260</v>
      </c>
      <c r="Q30" s="1858">
        <v>1528087</v>
      </c>
      <c r="R30" s="1858">
        <v>1576638</v>
      </c>
      <c r="S30" s="1858">
        <v>1598350</v>
      </c>
      <c r="T30" s="1858">
        <v>1667668</v>
      </c>
      <c r="U30" s="1858">
        <v>1717708.9800684999</v>
      </c>
      <c r="V30" s="1858">
        <v>1759430.2291328004</v>
      </c>
      <c r="W30" s="1858">
        <v>1826487.7720248001</v>
      </c>
    </row>
    <row r="31" spans="1:134" s="1900" customFormat="1" x14ac:dyDescent="0.3">
      <c r="A31" s="1885"/>
      <c r="B31" s="1891"/>
      <c r="C31" s="1891"/>
      <c r="D31" s="1892" t="s">
        <v>306</v>
      </c>
      <c r="E31" s="1893"/>
      <c r="F31" s="1894">
        <v>6896734</v>
      </c>
      <c r="G31" s="1894">
        <v>7306929</v>
      </c>
      <c r="H31" s="1894">
        <v>7719773</v>
      </c>
      <c r="I31" s="1894">
        <v>7982819</v>
      </c>
      <c r="J31" s="1894">
        <v>8356419</v>
      </c>
      <c r="K31" s="1894">
        <v>8746642</v>
      </c>
      <c r="L31" s="1894">
        <v>8927869</v>
      </c>
      <c r="M31" s="1894">
        <v>9506974</v>
      </c>
      <c r="N31" s="1894">
        <v>9815750</v>
      </c>
      <c r="O31" s="1894">
        <v>10328192</v>
      </c>
      <c r="P31" s="1894">
        <v>10692591</v>
      </c>
      <c r="Q31" s="1894">
        <v>11268669</v>
      </c>
      <c r="R31" s="1894">
        <v>11813269</v>
      </c>
      <c r="S31" s="1894">
        <v>12205646</v>
      </c>
      <c r="T31" s="1894">
        <v>12715932</v>
      </c>
      <c r="U31" s="1894">
        <v>13326324.561985899</v>
      </c>
      <c r="V31" s="1894">
        <v>13797953.7720547</v>
      </c>
      <c r="W31" s="1894">
        <v>14080054.921204099</v>
      </c>
      <c r="X31" s="1895"/>
      <c r="Y31" s="1895"/>
      <c r="Z31" s="1895"/>
      <c r="AA31" s="1895"/>
      <c r="AB31" s="1895"/>
      <c r="AC31" s="1895"/>
      <c r="AD31" s="1895"/>
      <c r="AE31" s="1895"/>
      <c r="AF31" s="1895"/>
      <c r="AG31" s="1895"/>
      <c r="AH31" s="1895"/>
      <c r="AI31" s="1895"/>
      <c r="AJ31" s="1895"/>
      <c r="AK31" s="1895"/>
      <c r="AL31" s="1895"/>
      <c r="AM31" s="1895"/>
      <c r="AN31" s="1895"/>
      <c r="AO31" s="1895"/>
      <c r="AP31" s="1895"/>
      <c r="AQ31" s="1895"/>
      <c r="AR31" s="1895"/>
      <c r="AS31" s="1895"/>
      <c r="AT31" s="1895"/>
      <c r="AU31" s="1895"/>
      <c r="AV31" s="1895"/>
      <c r="AW31" s="1895"/>
      <c r="AX31" s="1895"/>
      <c r="AY31" s="1895"/>
      <c r="AZ31" s="1895"/>
      <c r="BA31" s="1895"/>
      <c r="BB31" s="1895"/>
      <c r="BC31" s="1895"/>
      <c r="BD31" s="1895"/>
      <c r="BE31" s="1895"/>
      <c r="BF31" s="1895"/>
      <c r="BG31" s="1895"/>
      <c r="BH31" s="1895"/>
      <c r="BI31" s="1895"/>
      <c r="BJ31" s="1895"/>
      <c r="BK31" s="1895"/>
      <c r="BL31" s="1895"/>
      <c r="BM31" s="1895"/>
      <c r="BN31" s="1895"/>
      <c r="BO31" s="1895"/>
      <c r="BP31" s="1895"/>
      <c r="BQ31" s="1895"/>
      <c r="BR31" s="1895"/>
      <c r="BS31" s="1895"/>
      <c r="BT31" s="1895"/>
      <c r="BU31" s="1895"/>
      <c r="BV31" s="1895"/>
      <c r="BW31" s="1895"/>
      <c r="BX31" s="1895"/>
      <c r="BY31" s="1895"/>
      <c r="BZ31" s="1895"/>
      <c r="CA31" s="1895"/>
      <c r="CB31" s="1895"/>
      <c r="CC31" s="1895"/>
      <c r="CD31" s="1895"/>
      <c r="CE31" s="1895"/>
      <c r="CF31" s="1895"/>
      <c r="CG31" s="1895"/>
      <c r="CH31" s="1895"/>
      <c r="CI31" s="1895"/>
      <c r="CJ31" s="1895"/>
      <c r="CK31" s="1895"/>
      <c r="CL31" s="1895"/>
      <c r="CM31" s="1895"/>
      <c r="CN31" s="1895"/>
      <c r="CO31" s="1895"/>
      <c r="CP31" s="1895"/>
      <c r="CQ31" s="1895"/>
      <c r="CR31" s="1895"/>
      <c r="CS31" s="1895"/>
      <c r="CT31" s="1895"/>
      <c r="CU31" s="1895"/>
      <c r="CV31" s="1895"/>
      <c r="CW31" s="1895"/>
      <c r="CX31" s="1895"/>
      <c r="CY31" s="1895"/>
      <c r="CZ31" s="1895"/>
      <c r="DA31" s="1895"/>
      <c r="DB31" s="1895"/>
      <c r="DC31" s="1895"/>
      <c r="DD31" s="1895"/>
      <c r="DE31" s="1895"/>
      <c r="DF31" s="1895"/>
      <c r="DG31" s="1895"/>
      <c r="DH31" s="1895"/>
      <c r="DI31" s="1895"/>
      <c r="DJ31" s="1895"/>
      <c r="DK31" s="1895"/>
      <c r="DL31" s="1895"/>
      <c r="DM31" s="1895"/>
      <c r="DN31" s="1895"/>
      <c r="DO31" s="1895"/>
      <c r="DP31" s="1895"/>
      <c r="DQ31" s="1895"/>
      <c r="DR31" s="1895"/>
      <c r="DS31" s="1895"/>
      <c r="DT31" s="1895"/>
      <c r="DU31" s="1895"/>
      <c r="DV31" s="1895"/>
      <c r="DW31" s="1895"/>
      <c r="DX31" s="1895"/>
      <c r="DY31" s="1895"/>
      <c r="DZ31" s="1895"/>
      <c r="EA31" s="1895"/>
      <c r="EB31" s="1895"/>
      <c r="EC31" s="1895"/>
      <c r="ED31" s="1895"/>
    </row>
    <row r="32" spans="1:134" s="1895" customFormat="1" x14ac:dyDescent="0.3">
      <c r="A32" s="1885"/>
      <c r="B32" s="1891"/>
      <c r="C32" s="1891"/>
      <c r="D32" s="1901"/>
      <c r="E32" s="1902"/>
      <c r="F32" s="1915"/>
      <c r="G32" s="1915"/>
      <c r="H32" s="1915"/>
      <c r="I32" s="1915"/>
      <c r="J32" s="1915"/>
      <c r="K32" s="1915"/>
      <c r="L32" s="1915"/>
      <c r="M32" s="1915"/>
      <c r="N32" s="1915"/>
      <c r="O32" s="1915"/>
      <c r="P32" s="1915"/>
      <c r="Q32" s="1915"/>
      <c r="R32" s="1915"/>
      <c r="S32" s="1915"/>
      <c r="T32" s="1915"/>
      <c r="U32" s="1915"/>
      <c r="V32" s="1915"/>
    </row>
    <row r="33" spans="1:134" x14ac:dyDescent="0.3">
      <c r="B33" s="1882"/>
      <c r="C33" s="1882"/>
      <c r="D33" s="89" t="s">
        <v>703</v>
      </c>
      <c r="E33" s="89" t="s">
        <v>704</v>
      </c>
      <c r="F33" s="89"/>
      <c r="G33" s="89"/>
      <c r="H33" s="89"/>
      <c r="I33" s="1896"/>
      <c r="J33" s="1896"/>
      <c r="K33" s="1898"/>
      <c r="L33" s="1898"/>
      <c r="M33" s="1898"/>
      <c r="N33" s="1898"/>
      <c r="O33" s="1898"/>
      <c r="P33" s="1898"/>
      <c r="Q33" s="1898"/>
      <c r="R33" s="1899"/>
      <c r="S33" s="1899"/>
      <c r="T33" s="1874"/>
      <c r="U33" s="1874"/>
      <c r="V33" s="1914"/>
      <c r="W33" s="1874"/>
      <c r="X33" s="1874"/>
      <c r="Y33" s="1874"/>
      <c r="Z33" s="1874"/>
      <c r="AA33" s="1874"/>
      <c r="AB33" s="1874"/>
      <c r="AC33" s="1874"/>
      <c r="AD33" s="1874"/>
      <c r="AE33" s="1874"/>
      <c r="AF33" s="1874"/>
      <c r="AG33" s="1874"/>
    </row>
    <row r="34" spans="1:134" x14ac:dyDescent="0.3">
      <c r="B34" s="1882"/>
      <c r="C34" s="1882"/>
      <c r="D34" s="1883"/>
      <c r="E34" s="1883"/>
      <c r="F34" s="1884">
        <v>2002</v>
      </c>
      <c r="G34" s="1884">
        <v>2003</v>
      </c>
      <c r="H34" s="1884">
        <v>2004</v>
      </c>
      <c r="I34" s="1884">
        <v>2005</v>
      </c>
      <c r="J34" s="1884">
        <v>2006</v>
      </c>
      <c r="K34" s="1884">
        <v>2007</v>
      </c>
      <c r="L34" s="1884">
        <v>2008</v>
      </c>
      <c r="M34" s="1884">
        <v>2009</v>
      </c>
      <c r="N34" s="1884">
        <v>2010</v>
      </c>
      <c r="O34" s="1884">
        <v>2011</v>
      </c>
      <c r="P34" s="1884">
        <v>2012</v>
      </c>
      <c r="Q34" s="1884">
        <v>2013</v>
      </c>
      <c r="R34" s="1884">
        <v>2014</v>
      </c>
      <c r="S34" s="1884">
        <v>2015</v>
      </c>
      <c r="T34" s="1884">
        <v>2016</v>
      </c>
      <c r="U34" s="1884">
        <v>2017</v>
      </c>
      <c r="V34" s="1913">
        <v>2018</v>
      </c>
      <c r="W34" s="1913">
        <v>2019</v>
      </c>
      <c r="X34" s="1874"/>
      <c r="Y34" s="1874"/>
      <c r="Z34" s="1874"/>
      <c r="AA34" s="1874"/>
      <c r="AB34" s="1874"/>
      <c r="AC34" s="1874"/>
      <c r="AD34" s="1874"/>
      <c r="AE34" s="1874"/>
      <c r="AF34" s="1874"/>
      <c r="AG34" s="1874"/>
    </row>
    <row r="35" spans="1:134" s="1890" customFormat="1" x14ac:dyDescent="0.3">
      <c r="A35" s="1885"/>
      <c r="B35" s="1886"/>
      <c r="C35" s="1887"/>
      <c r="D35" s="1888" t="s">
        <v>402</v>
      </c>
      <c r="E35" s="1889"/>
      <c r="F35" s="1854">
        <v>552647</v>
      </c>
      <c r="G35" s="1854">
        <v>61406</v>
      </c>
      <c r="H35" s="1854">
        <v>71737</v>
      </c>
      <c r="I35" s="1854">
        <v>53463</v>
      </c>
      <c r="J35" s="1854">
        <v>52580</v>
      </c>
      <c r="K35" s="1854">
        <v>50493</v>
      </c>
      <c r="L35" s="1854">
        <v>15464</v>
      </c>
      <c r="M35" s="1854">
        <v>13016</v>
      </c>
      <c r="N35" s="1854">
        <v>10555</v>
      </c>
      <c r="O35" s="1854">
        <v>7232</v>
      </c>
      <c r="P35" s="1854">
        <v>12690</v>
      </c>
      <c r="Q35" s="1854">
        <v>158504</v>
      </c>
      <c r="R35" s="1854">
        <v>12312</v>
      </c>
      <c r="S35" s="1854">
        <v>11487</v>
      </c>
      <c r="T35" s="1854">
        <v>14337</v>
      </c>
      <c r="U35" s="1854">
        <v>17542</v>
      </c>
      <c r="V35" s="1854">
        <v>15103.732287700001</v>
      </c>
      <c r="W35" s="1854">
        <v>8338.7344353000008</v>
      </c>
    </row>
    <row r="36" spans="1:134" s="1890" customFormat="1" x14ac:dyDescent="0.3">
      <c r="A36" s="1885"/>
      <c r="B36" s="1886"/>
      <c r="C36" s="1887"/>
      <c r="D36" s="1888" t="s">
        <v>404</v>
      </c>
      <c r="E36" s="1889"/>
      <c r="F36" s="1858">
        <v>117127</v>
      </c>
      <c r="G36" s="1858">
        <v>78709</v>
      </c>
      <c r="H36" s="1858">
        <v>67727</v>
      </c>
      <c r="I36" s="1858">
        <v>107271</v>
      </c>
      <c r="J36" s="1858">
        <v>106054</v>
      </c>
      <c r="K36" s="1858">
        <v>87883</v>
      </c>
      <c r="L36" s="1858">
        <v>68042</v>
      </c>
      <c r="M36" s="1858">
        <v>41288</v>
      </c>
      <c r="N36" s="1858">
        <v>28410</v>
      </c>
      <c r="O36" s="1858">
        <v>16427</v>
      </c>
      <c r="P36" s="1858">
        <v>29872</v>
      </c>
      <c r="Q36" s="1858">
        <v>62931</v>
      </c>
      <c r="R36" s="1858">
        <v>50052</v>
      </c>
      <c r="S36" s="1858">
        <v>20800</v>
      </c>
      <c r="T36" s="1858">
        <v>20871</v>
      </c>
      <c r="U36" s="1858">
        <v>16498</v>
      </c>
      <c r="V36" s="1858">
        <v>17207.947703999998</v>
      </c>
      <c r="W36" s="1858">
        <v>21247.229483399999</v>
      </c>
    </row>
    <row r="37" spans="1:134" s="1890" customFormat="1" x14ac:dyDescent="0.3">
      <c r="A37" s="1885"/>
      <c r="B37" s="1886"/>
      <c r="C37" s="1887"/>
      <c r="D37" s="1888" t="s">
        <v>407</v>
      </c>
      <c r="E37" s="1889"/>
      <c r="F37" s="1858">
        <v>51236</v>
      </c>
      <c r="G37" s="1858">
        <v>10268</v>
      </c>
      <c r="H37" s="1858">
        <v>6866</v>
      </c>
      <c r="I37" s="1858">
        <v>7894</v>
      </c>
      <c r="J37" s="1858">
        <v>5374</v>
      </c>
      <c r="K37" s="1858">
        <v>9165</v>
      </c>
      <c r="L37" s="1858">
        <v>15514</v>
      </c>
      <c r="M37" s="1858">
        <v>25087</v>
      </c>
      <c r="N37" s="1858">
        <v>17861</v>
      </c>
      <c r="O37" s="1858">
        <v>7788</v>
      </c>
      <c r="P37" s="1858">
        <v>29448</v>
      </c>
      <c r="Q37" s="1858">
        <v>74596</v>
      </c>
      <c r="R37" s="1858">
        <v>47862</v>
      </c>
      <c r="S37" s="1858">
        <v>48339</v>
      </c>
      <c r="T37" s="1858">
        <v>73331</v>
      </c>
      <c r="U37" s="1858">
        <v>93192</v>
      </c>
      <c r="V37" s="1858">
        <v>74664.246893599993</v>
      </c>
      <c r="W37" s="1858">
        <v>92299.825635199988</v>
      </c>
    </row>
    <row r="38" spans="1:134" s="1890" customFormat="1" x14ac:dyDescent="0.3">
      <c r="A38" s="1885"/>
      <c r="B38" s="1886"/>
      <c r="C38" s="1887"/>
      <c r="D38" s="1888" t="s">
        <v>405</v>
      </c>
      <c r="E38" s="1889"/>
      <c r="F38" s="1858">
        <v>228166</v>
      </c>
      <c r="G38" s="1858">
        <v>7667</v>
      </c>
      <c r="H38" s="1858">
        <v>12729</v>
      </c>
      <c r="I38" s="1858">
        <v>3817</v>
      </c>
      <c r="J38" s="1858">
        <v>25693</v>
      </c>
      <c r="K38" s="1858">
        <v>10939</v>
      </c>
      <c r="L38" s="1858">
        <v>10268</v>
      </c>
      <c r="M38" s="1858">
        <v>846</v>
      </c>
      <c r="N38" s="1858">
        <v>7205</v>
      </c>
      <c r="O38" s="1858">
        <v>1795</v>
      </c>
      <c r="P38" s="1858">
        <v>30955</v>
      </c>
      <c r="Q38" s="1858">
        <v>139951</v>
      </c>
      <c r="R38" s="1858">
        <v>4024</v>
      </c>
      <c r="S38" s="1858">
        <v>10080</v>
      </c>
      <c r="T38" s="1858">
        <v>5966</v>
      </c>
      <c r="U38" s="1858">
        <v>11075</v>
      </c>
      <c r="V38" s="1858">
        <v>14937.926239099999</v>
      </c>
      <c r="W38" s="1858">
        <v>4752.2292992000002</v>
      </c>
    </row>
    <row r="39" spans="1:134" s="1890" customFormat="1" x14ac:dyDescent="0.3">
      <c r="A39" s="1885"/>
      <c r="B39" s="1886"/>
      <c r="C39" s="1887"/>
      <c r="D39" s="1888" t="s">
        <v>409</v>
      </c>
      <c r="E39" s="1889"/>
      <c r="F39" s="1858">
        <v>228303</v>
      </c>
      <c r="G39" s="1858">
        <v>533</v>
      </c>
      <c r="H39" s="1858">
        <v>702</v>
      </c>
      <c r="I39" s="1858">
        <v>1389</v>
      </c>
      <c r="J39" s="1858">
        <v>4780</v>
      </c>
      <c r="K39" s="1858">
        <v>2497</v>
      </c>
      <c r="L39" s="1858">
        <v>5855</v>
      </c>
      <c r="M39" s="1858">
        <v>1624</v>
      </c>
      <c r="N39" s="1858">
        <v>257</v>
      </c>
      <c r="O39" s="1858">
        <v>0</v>
      </c>
      <c r="P39" s="1858">
        <v>524</v>
      </c>
      <c r="Q39" s="1858">
        <v>101615</v>
      </c>
      <c r="R39" s="1858">
        <v>4893</v>
      </c>
      <c r="S39" s="1858">
        <v>2858</v>
      </c>
      <c r="T39" s="1858">
        <v>3332</v>
      </c>
      <c r="U39" s="1858">
        <v>2105</v>
      </c>
      <c r="V39" s="1858">
        <v>3959.0896026</v>
      </c>
      <c r="W39" s="1858">
        <v>1405.7401096000001</v>
      </c>
    </row>
    <row r="40" spans="1:134" s="1890" customFormat="1" x14ac:dyDescent="0.3">
      <c r="A40" s="1885"/>
      <c r="B40" s="1886"/>
      <c r="C40" s="1887"/>
      <c r="D40" s="1888" t="s">
        <v>408</v>
      </c>
      <c r="E40" s="1889"/>
      <c r="F40" s="1858">
        <v>59551</v>
      </c>
      <c r="G40" s="1858">
        <v>17603</v>
      </c>
      <c r="H40" s="1858">
        <v>19979</v>
      </c>
      <c r="I40" s="1858">
        <v>17798</v>
      </c>
      <c r="J40" s="1858">
        <v>7869</v>
      </c>
      <c r="K40" s="1858">
        <v>3015</v>
      </c>
      <c r="L40" s="1858">
        <v>3994</v>
      </c>
      <c r="M40" s="1858">
        <v>8144</v>
      </c>
      <c r="N40" s="1858">
        <v>1339</v>
      </c>
      <c r="O40" s="1858">
        <v>1351</v>
      </c>
      <c r="P40" s="1858">
        <v>0</v>
      </c>
      <c r="Q40" s="1858">
        <v>70218</v>
      </c>
      <c r="R40" s="1858">
        <v>2199</v>
      </c>
      <c r="S40" s="1858">
        <v>608</v>
      </c>
      <c r="T40" s="1858">
        <v>0</v>
      </c>
      <c r="U40" s="1858">
        <v>2690</v>
      </c>
      <c r="V40" s="1858">
        <v>0</v>
      </c>
      <c r="W40" s="1858">
        <v>880.96343690000003</v>
      </c>
    </row>
    <row r="41" spans="1:134" s="1890" customFormat="1" x14ac:dyDescent="0.3">
      <c r="A41" s="1885"/>
      <c r="B41" s="1886"/>
      <c r="C41" s="1887"/>
      <c r="D41" s="1888" t="s">
        <v>406</v>
      </c>
      <c r="E41" s="1889"/>
      <c r="F41" s="1858">
        <v>53791</v>
      </c>
      <c r="G41" s="1858">
        <v>15072</v>
      </c>
      <c r="H41" s="1858">
        <v>18859</v>
      </c>
      <c r="I41" s="1858">
        <v>30085</v>
      </c>
      <c r="J41" s="1858">
        <v>26945</v>
      </c>
      <c r="K41" s="1858">
        <v>13998</v>
      </c>
      <c r="L41" s="1858">
        <v>7313</v>
      </c>
      <c r="M41" s="1858">
        <v>3485</v>
      </c>
      <c r="N41" s="1858">
        <v>460</v>
      </c>
      <c r="O41" s="1858">
        <v>2123</v>
      </c>
      <c r="P41" s="1858">
        <v>2278</v>
      </c>
      <c r="Q41" s="1858">
        <v>51773</v>
      </c>
      <c r="R41" s="1858">
        <v>4511</v>
      </c>
      <c r="S41" s="1858">
        <v>2774</v>
      </c>
      <c r="T41" s="1858">
        <v>4382</v>
      </c>
      <c r="U41" s="1858">
        <v>2581</v>
      </c>
      <c r="V41" s="1858">
        <v>4104.5590088999998</v>
      </c>
      <c r="W41" s="1858">
        <v>0</v>
      </c>
    </row>
    <row r="42" spans="1:134" s="1890" customFormat="1" x14ac:dyDescent="0.3">
      <c r="A42" s="1885"/>
      <c r="B42" s="1886"/>
      <c r="C42" s="1887"/>
      <c r="D42" s="1888" t="s">
        <v>692</v>
      </c>
      <c r="E42" s="1889"/>
      <c r="F42" s="1858">
        <v>43615</v>
      </c>
      <c r="G42" s="1858">
        <v>22932</v>
      </c>
      <c r="H42" s="1858">
        <v>13326</v>
      </c>
      <c r="I42" s="1858">
        <v>13067</v>
      </c>
      <c r="J42" s="1858">
        <v>15578</v>
      </c>
      <c r="K42" s="1858">
        <v>10031</v>
      </c>
      <c r="L42" s="1858">
        <v>9633</v>
      </c>
      <c r="M42" s="1858">
        <v>6850</v>
      </c>
      <c r="N42" s="1858">
        <v>3251</v>
      </c>
      <c r="O42" s="1858">
        <v>6495</v>
      </c>
      <c r="P42" s="1858">
        <v>4817</v>
      </c>
      <c r="Q42" s="1858">
        <v>22964</v>
      </c>
      <c r="R42" s="1858">
        <v>10876</v>
      </c>
      <c r="S42" s="1858">
        <v>7401</v>
      </c>
      <c r="T42" s="1858">
        <v>4199</v>
      </c>
      <c r="U42" s="1858">
        <v>4573</v>
      </c>
      <c r="V42" s="1858">
        <v>3486.0126624</v>
      </c>
      <c r="W42" s="1858">
        <v>3735.0023376999998</v>
      </c>
    </row>
    <row r="43" spans="1:134" s="1890" customFormat="1" x14ac:dyDescent="0.3">
      <c r="A43" s="1885"/>
      <c r="B43" s="1886"/>
      <c r="C43" s="1887"/>
      <c r="D43" s="1888" t="s">
        <v>693</v>
      </c>
      <c r="E43" s="1889"/>
      <c r="F43" s="1858">
        <v>69924</v>
      </c>
      <c r="G43" s="1858">
        <v>24720</v>
      </c>
      <c r="H43" s="1858">
        <v>19146</v>
      </c>
      <c r="I43" s="1858">
        <v>28937</v>
      </c>
      <c r="J43" s="1858">
        <v>38398</v>
      </c>
      <c r="K43" s="1858">
        <v>21069</v>
      </c>
      <c r="L43" s="1858">
        <v>51924</v>
      </c>
      <c r="M43" s="1858">
        <v>42308</v>
      </c>
      <c r="N43" s="1858">
        <v>21282</v>
      </c>
      <c r="O43" s="1858">
        <v>30102</v>
      </c>
      <c r="P43" s="1858">
        <v>21837</v>
      </c>
      <c r="Q43" s="1858">
        <v>58818</v>
      </c>
      <c r="R43" s="1858">
        <v>48816</v>
      </c>
      <c r="S43" s="1858">
        <v>69113</v>
      </c>
      <c r="T43" s="1858">
        <v>73014</v>
      </c>
      <c r="U43" s="1858">
        <v>87978</v>
      </c>
      <c r="V43" s="1858">
        <v>92104.024345600003</v>
      </c>
      <c r="W43" s="1858">
        <v>54733.480311899999</v>
      </c>
    </row>
    <row r="44" spans="1:134" s="1900" customFormat="1" x14ac:dyDescent="0.3">
      <c r="A44" s="1885"/>
      <c r="B44" s="1891"/>
      <c r="C44" s="1891"/>
      <c r="D44" s="1892" t="s">
        <v>306</v>
      </c>
      <c r="E44" s="1893"/>
      <c r="F44" s="1894">
        <v>1404360</v>
      </c>
      <c r="G44" s="1894">
        <v>238909</v>
      </c>
      <c r="H44" s="1894">
        <v>231071</v>
      </c>
      <c r="I44" s="1894">
        <v>263721</v>
      </c>
      <c r="J44" s="1894">
        <v>283271</v>
      </c>
      <c r="K44" s="1894">
        <v>209090</v>
      </c>
      <c r="L44" s="1894">
        <v>188007</v>
      </c>
      <c r="M44" s="1894">
        <v>142647</v>
      </c>
      <c r="N44" s="1894">
        <v>90621</v>
      </c>
      <c r="O44" s="1894">
        <v>73313</v>
      </c>
      <c r="P44" s="1894">
        <v>132422</v>
      </c>
      <c r="Q44" s="1894">
        <v>741370</v>
      </c>
      <c r="R44" s="1894">
        <v>185545</v>
      </c>
      <c r="S44" s="1894">
        <v>173460</v>
      </c>
      <c r="T44" s="1894">
        <v>199433</v>
      </c>
      <c r="U44" s="1894">
        <v>238234</v>
      </c>
      <c r="V44" s="1894">
        <v>225567.53874379999</v>
      </c>
      <c r="W44" s="1894">
        <v>187393.20504920001</v>
      </c>
      <c r="X44" s="1895"/>
      <c r="Y44" s="1895"/>
      <c r="Z44" s="1895"/>
      <c r="AA44" s="1895"/>
      <c r="AB44" s="1895"/>
      <c r="AC44" s="1895"/>
      <c r="AD44" s="1895"/>
      <c r="AE44" s="1895"/>
      <c r="AF44" s="1895"/>
      <c r="AG44" s="1895"/>
      <c r="AH44" s="1895"/>
      <c r="AI44" s="1895"/>
      <c r="AJ44" s="1895"/>
      <c r="AK44" s="1895"/>
      <c r="AL44" s="1895"/>
      <c r="AM44" s="1895"/>
      <c r="AN44" s="1895"/>
      <c r="AO44" s="1895"/>
      <c r="AP44" s="1895"/>
      <c r="AQ44" s="1895"/>
      <c r="AR44" s="1895"/>
      <c r="AS44" s="1895"/>
      <c r="AT44" s="1895"/>
      <c r="AU44" s="1895"/>
      <c r="AV44" s="1895"/>
      <c r="AW44" s="1895"/>
      <c r="AX44" s="1895"/>
      <c r="AY44" s="1895"/>
      <c r="AZ44" s="1895"/>
      <c r="BA44" s="1895"/>
      <c r="BB44" s="1895"/>
      <c r="BC44" s="1895"/>
      <c r="BD44" s="1895"/>
      <c r="BE44" s="1895"/>
      <c r="BF44" s="1895"/>
      <c r="BG44" s="1895"/>
      <c r="BH44" s="1895"/>
      <c r="BI44" s="1895"/>
      <c r="BJ44" s="1895"/>
      <c r="BK44" s="1895"/>
      <c r="BL44" s="1895"/>
      <c r="BM44" s="1895"/>
      <c r="BN44" s="1895"/>
      <c r="BO44" s="1895"/>
      <c r="BP44" s="1895"/>
      <c r="BQ44" s="1895"/>
      <c r="BR44" s="1895"/>
      <c r="BS44" s="1895"/>
      <c r="BT44" s="1895"/>
      <c r="BU44" s="1895"/>
      <c r="BV44" s="1895"/>
      <c r="BW44" s="1895"/>
      <c r="BX44" s="1895"/>
      <c r="BY44" s="1895"/>
      <c r="BZ44" s="1895"/>
      <c r="CA44" s="1895"/>
      <c r="CB44" s="1895"/>
      <c r="CC44" s="1895"/>
      <c r="CD44" s="1895"/>
      <c r="CE44" s="1895"/>
      <c r="CF44" s="1895"/>
      <c r="CG44" s="1895"/>
      <c r="CH44" s="1895"/>
      <c r="CI44" s="1895"/>
      <c r="CJ44" s="1895"/>
      <c r="CK44" s="1895"/>
      <c r="CL44" s="1895"/>
      <c r="CM44" s="1895"/>
      <c r="CN44" s="1895"/>
      <c r="CO44" s="1895"/>
      <c r="CP44" s="1895"/>
      <c r="CQ44" s="1895"/>
      <c r="CR44" s="1895"/>
      <c r="CS44" s="1895"/>
      <c r="CT44" s="1895"/>
      <c r="CU44" s="1895"/>
      <c r="CV44" s="1895"/>
      <c r="CW44" s="1895"/>
      <c r="CX44" s="1895"/>
      <c r="CY44" s="1895"/>
      <c r="CZ44" s="1895"/>
      <c r="DA44" s="1895"/>
      <c r="DB44" s="1895"/>
      <c r="DC44" s="1895"/>
      <c r="DD44" s="1895"/>
      <c r="DE44" s="1895"/>
      <c r="DF44" s="1895"/>
      <c r="DG44" s="1895"/>
      <c r="DH44" s="1895"/>
      <c r="DI44" s="1895"/>
      <c r="DJ44" s="1895"/>
      <c r="DK44" s="1895"/>
      <c r="DL44" s="1895"/>
      <c r="DM44" s="1895"/>
      <c r="DN44" s="1895"/>
      <c r="DO44" s="1895"/>
      <c r="DP44" s="1895"/>
      <c r="DQ44" s="1895"/>
      <c r="DR44" s="1895"/>
      <c r="DS44" s="1895"/>
      <c r="DT44" s="1895"/>
      <c r="DU44" s="1895"/>
      <c r="DV44" s="1895"/>
      <c r="DW44" s="1895"/>
      <c r="DX44" s="1895"/>
      <c r="DY44" s="1895"/>
      <c r="DZ44" s="1895"/>
      <c r="EA44" s="1895"/>
      <c r="EB44" s="1895"/>
      <c r="EC44" s="1895"/>
      <c r="ED44" s="1895"/>
    </row>
    <row r="45" spans="1:134" s="1895" customFormat="1" x14ac:dyDescent="0.3">
      <c r="A45" s="1885"/>
      <c r="B45" s="1891"/>
      <c r="C45" s="1891"/>
      <c r="D45" s="1901"/>
      <c r="E45" s="1902"/>
      <c r="F45" s="1902"/>
      <c r="G45" s="1916"/>
      <c r="H45" s="1904"/>
      <c r="I45" s="1902"/>
      <c r="J45" s="1902"/>
      <c r="K45" s="1903"/>
      <c r="L45" s="1902"/>
      <c r="M45" s="1903"/>
      <c r="N45" s="1902"/>
      <c r="O45" s="1902"/>
      <c r="P45" s="1903"/>
      <c r="Q45" s="1902"/>
      <c r="R45" s="1905"/>
      <c r="S45" s="1902"/>
      <c r="T45" s="1902"/>
      <c r="U45" s="1903"/>
      <c r="V45" s="1902"/>
      <c r="W45" s="1905"/>
      <c r="X45" s="1902"/>
      <c r="Y45" s="1902"/>
      <c r="Z45" s="1902"/>
      <c r="AA45" s="1902"/>
      <c r="AB45" s="1905"/>
      <c r="AC45" s="1902"/>
      <c r="AD45" s="1902"/>
      <c r="AE45" s="1902"/>
      <c r="AF45" s="1902"/>
      <c r="AG45" s="1905"/>
      <c r="AH45" s="1902"/>
      <c r="AI45" s="1902"/>
      <c r="AJ45" s="1902"/>
      <c r="AK45" s="1902"/>
      <c r="AL45" s="1905"/>
      <c r="AM45" s="1902"/>
      <c r="AN45" s="1902"/>
      <c r="AO45" s="1902"/>
      <c r="AP45" s="1902"/>
      <c r="AQ45" s="1905"/>
      <c r="AR45" s="1904"/>
      <c r="AS45" s="1902"/>
      <c r="AT45" s="1902"/>
      <c r="AU45" s="1902"/>
      <c r="AV45" s="1905"/>
      <c r="AW45" s="1904"/>
      <c r="AX45" s="1902"/>
      <c r="AY45" s="1906"/>
      <c r="AZ45" s="1906"/>
      <c r="BA45" s="1905"/>
      <c r="BB45" s="1907"/>
      <c r="BC45" s="1906"/>
      <c r="BD45" s="1906"/>
      <c r="BE45" s="1906"/>
      <c r="BF45" s="1907"/>
      <c r="BG45" s="1907"/>
      <c r="BH45" s="1906"/>
      <c r="BI45" s="1906"/>
      <c r="BJ45" s="1906"/>
      <c r="BK45" s="1907"/>
      <c r="BL45" s="1907"/>
    </row>
    <row r="46" spans="1:134" s="1895" customFormat="1" x14ac:dyDescent="0.3">
      <c r="A46" s="1885"/>
      <c r="B46" s="1891"/>
      <c r="C46" s="1891"/>
      <c r="D46" s="1917" t="s">
        <v>705</v>
      </c>
      <c r="E46" s="1902"/>
      <c r="F46" s="1903"/>
      <c r="G46" s="1903"/>
      <c r="H46" s="1904"/>
      <c r="I46" s="1902"/>
      <c r="J46" s="1902"/>
      <c r="K46" s="1903"/>
      <c r="L46" s="1902"/>
      <c r="M46" s="1903"/>
      <c r="N46" s="1902"/>
      <c r="O46" s="1902"/>
      <c r="P46" s="1903"/>
      <c r="Q46" s="1902"/>
      <c r="R46" s="1905"/>
      <c r="S46" s="1902"/>
      <c r="T46" s="1902"/>
      <c r="U46" s="1903"/>
      <c r="V46" s="1902"/>
      <c r="W46" s="1905"/>
      <c r="X46" s="1902"/>
      <c r="Y46" s="1902"/>
      <c r="Z46" s="1902"/>
      <c r="AA46" s="1902"/>
      <c r="AB46" s="1905"/>
      <c r="AC46" s="1902"/>
      <c r="AD46" s="1902"/>
      <c r="AE46" s="1902"/>
      <c r="AF46" s="1902"/>
      <c r="AG46" s="1905"/>
      <c r="AH46" s="1902"/>
      <c r="AI46" s="1902"/>
      <c r="AJ46" s="1902"/>
      <c r="AK46" s="1902"/>
      <c r="AL46" s="1905"/>
      <c r="AM46" s="1902"/>
      <c r="AN46" s="1902"/>
      <c r="AO46" s="1902"/>
      <c r="AP46" s="1902"/>
      <c r="AQ46" s="1905"/>
      <c r="AR46" s="1904"/>
      <c r="AS46" s="1902"/>
      <c r="AT46" s="1902"/>
      <c r="AU46" s="1902"/>
      <c r="AV46" s="1905"/>
      <c r="AW46" s="1904"/>
      <c r="AX46" s="1902"/>
      <c r="AY46" s="1906"/>
      <c r="AZ46" s="1906"/>
      <c r="BA46" s="1905"/>
      <c r="BB46" s="1907"/>
      <c r="BC46" s="1906"/>
      <c r="BD46" s="1906"/>
      <c r="BE46" s="1906"/>
      <c r="BF46" s="1907"/>
      <c r="BG46" s="1907"/>
      <c r="BH46" s="1906"/>
      <c r="BI46" s="1906"/>
      <c r="BJ46" s="1906"/>
      <c r="BK46" s="1907"/>
      <c r="BL46" s="1907"/>
    </row>
    <row r="47" spans="1:134" s="1895" customFormat="1" x14ac:dyDescent="0.3">
      <c r="A47" s="1885"/>
      <c r="B47" s="1891"/>
      <c r="C47" s="1891"/>
      <c r="D47" s="1901"/>
      <c r="E47" s="1902"/>
      <c r="F47" s="1903"/>
      <c r="G47" s="1903"/>
      <c r="H47" s="1904"/>
      <c r="I47" s="1902"/>
      <c r="J47" s="1902"/>
      <c r="K47" s="1903"/>
      <c r="L47" s="1902"/>
      <c r="M47" s="1903"/>
      <c r="N47" s="1902"/>
      <c r="O47" s="1902"/>
      <c r="P47" s="1903"/>
      <c r="Q47" s="1902"/>
      <c r="R47" s="1905"/>
      <c r="S47" s="1902"/>
      <c r="T47" s="1902"/>
      <c r="U47" s="1903"/>
      <c r="V47" s="1902"/>
      <c r="W47" s="1905"/>
      <c r="X47" s="1902"/>
      <c r="Y47" s="1902"/>
      <c r="Z47" s="1902"/>
      <c r="AA47" s="1902"/>
      <c r="AB47" s="1905"/>
      <c r="AC47" s="1902"/>
      <c r="AD47" s="1902"/>
      <c r="AE47" s="1902"/>
      <c r="AF47" s="1902"/>
      <c r="AG47" s="1905"/>
      <c r="AH47" s="1902"/>
      <c r="AI47" s="1902"/>
      <c r="AJ47" s="1902"/>
      <c r="AK47" s="1902"/>
      <c r="AL47" s="1905"/>
      <c r="AM47" s="1902"/>
      <c r="AN47" s="1902"/>
      <c r="AO47" s="1902"/>
      <c r="AP47" s="1902"/>
      <c r="AQ47" s="1905"/>
      <c r="AR47" s="1904"/>
      <c r="AS47" s="1902"/>
      <c r="AT47" s="1902"/>
      <c r="AU47" s="1902"/>
      <c r="AV47" s="1905"/>
      <c r="AW47" s="1904"/>
      <c r="AX47" s="1902"/>
      <c r="AY47" s="1906"/>
      <c r="AZ47" s="1906"/>
      <c r="BA47" s="1905"/>
      <c r="BB47" s="1907"/>
      <c r="BC47" s="1906"/>
      <c r="BD47" s="1906"/>
      <c r="BE47" s="1906"/>
      <c r="BF47" s="1907"/>
      <c r="BG47" s="1907"/>
      <c r="BH47" s="1906"/>
      <c r="BI47" s="1906"/>
      <c r="BJ47" s="1906"/>
      <c r="BK47" s="1907"/>
      <c r="BL47" s="1907"/>
    </row>
    <row r="48" spans="1:134" s="1895" customFormat="1" x14ac:dyDescent="0.3">
      <c r="A48" s="1885"/>
      <c r="B48" s="1891"/>
      <c r="C48" s="1891"/>
      <c r="D48" s="1901"/>
      <c r="E48" s="1902"/>
      <c r="F48" s="1903"/>
      <c r="G48" s="1903"/>
      <c r="H48" s="1904"/>
      <c r="I48" s="1902"/>
      <c r="J48" s="1902"/>
      <c r="K48" s="1903"/>
      <c r="L48" s="1902"/>
      <c r="M48" s="1903"/>
      <c r="N48" s="1902"/>
      <c r="O48" s="1902"/>
      <c r="P48" s="1903"/>
      <c r="Q48" s="1902"/>
      <c r="R48" s="1905"/>
      <c r="S48" s="1902"/>
      <c r="T48" s="1902"/>
      <c r="U48" s="1903"/>
      <c r="V48" s="1902"/>
      <c r="W48" s="1905"/>
      <c r="X48" s="1902"/>
      <c r="Y48" s="1902"/>
      <c r="Z48" s="1902"/>
      <c r="AA48" s="1902"/>
      <c r="AB48" s="1905"/>
      <c r="AC48" s="1902"/>
      <c r="AD48" s="1902"/>
      <c r="AE48" s="1902"/>
      <c r="AF48" s="1902"/>
      <c r="AG48" s="1905"/>
      <c r="AH48" s="1902"/>
      <c r="AI48" s="1902"/>
      <c r="AJ48" s="1902"/>
      <c r="AK48" s="1902"/>
      <c r="AL48" s="1905"/>
      <c r="AM48" s="1902"/>
      <c r="AN48" s="1902"/>
      <c r="AO48" s="1902"/>
      <c r="AP48" s="1902"/>
      <c r="AQ48" s="1905"/>
      <c r="AR48" s="1904"/>
      <c r="AS48" s="1902"/>
      <c r="AT48" s="1902"/>
      <c r="AU48" s="1902"/>
      <c r="AV48" s="1905"/>
      <c r="AW48" s="1904"/>
      <c r="AX48" s="1902"/>
      <c r="AY48" s="1906"/>
      <c r="AZ48" s="1906"/>
      <c r="BA48" s="1905"/>
      <c r="BB48" s="1907"/>
      <c r="BC48" s="1906"/>
      <c r="BD48" s="1906"/>
      <c r="BE48" s="1906"/>
      <c r="BF48" s="1907"/>
      <c r="BG48" s="1907"/>
      <c r="BH48" s="1906"/>
      <c r="BI48" s="1906"/>
      <c r="BJ48" s="1906"/>
      <c r="BK48" s="1907"/>
      <c r="BL48" s="1907"/>
    </row>
    <row r="49" spans="1:64" s="1895" customFormat="1" x14ac:dyDescent="0.3">
      <c r="A49" s="1885"/>
      <c r="B49" s="1891"/>
      <c r="C49" s="1891"/>
      <c r="D49" s="1901"/>
      <c r="E49" s="1902"/>
      <c r="F49" s="1903"/>
      <c r="G49" s="1903"/>
      <c r="H49" s="1904"/>
      <c r="I49" s="1902"/>
      <c r="J49" s="1902"/>
      <c r="K49" s="1903"/>
      <c r="L49" s="1902"/>
      <c r="M49" s="1903"/>
      <c r="N49" s="1902"/>
      <c r="O49" s="1902"/>
      <c r="P49" s="1903"/>
      <c r="Q49" s="1902"/>
      <c r="R49" s="1905"/>
      <c r="S49" s="1902"/>
      <c r="T49" s="1902"/>
      <c r="U49" s="1903"/>
      <c r="V49" s="1902"/>
      <c r="W49" s="1905"/>
      <c r="X49" s="1902"/>
      <c r="Y49" s="1902"/>
      <c r="Z49" s="1902"/>
      <c r="AA49" s="1902"/>
      <c r="AB49" s="1905"/>
      <c r="AC49" s="1902"/>
      <c r="AD49" s="1902"/>
      <c r="AE49" s="1902"/>
      <c r="AF49" s="1902"/>
      <c r="AG49" s="1905"/>
      <c r="AH49" s="1902"/>
      <c r="AI49" s="1902"/>
      <c r="AJ49" s="1902"/>
      <c r="AK49" s="1902"/>
      <c r="AL49" s="1905"/>
      <c r="AM49" s="1902"/>
      <c r="AN49" s="1902"/>
      <c r="AO49" s="1902"/>
      <c r="AP49" s="1902"/>
      <c r="AQ49" s="1905"/>
      <c r="AR49" s="1904"/>
      <c r="AS49" s="1902"/>
      <c r="AT49" s="1902"/>
      <c r="AU49" s="1902"/>
      <c r="AV49" s="1905"/>
      <c r="AW49" s="1904"/>
      <c r="AX49" s="1902"/>
      <c r="AY49" s="1906"/>
      <c r="AZ49" s="1906"/>
      <c r="BA49" s="1905"/>
      <c r="BB49" s="1907"/>
      <c r="BC49" s="1906"/>
      <c r="BD49" s="1906"/>
      <c r="BE49" s="1906"/>
      <c r="BF49" s="1907"/>
      <c r="BG49" s="1907"/>
      <c r="BH49" s="1906"/>
      <c r="BI49" s="1906"/>
      <c r="BJ49" s="1906"/>
      <c r="BK49" s="1907"/>
      <c r="BL49" s="1907"/>
    </row>
    <row r="50" spans="1:64" s="1895" customFormat="1" x14ac:dyDescent="0.3">
      <c r="A50" s="1885"/>
      <c r="B50" s="1891"/>
      <c r="C50" s="1891"/>
      <c r="D50" s="1901"/>
      <c r="E50" s="1902"/>
      <c r="F50" s="1903"/>
      <c r="G50" s="1903"/>
      <c r="H50" s="1904"/>
      <c r="I50" s="1902"/>
      <c r="J50" s="1902"/>
      <c r="K50" s="1903"/>
      <c r="L50" s="1902"/>
      <c r="M50" s="1903"/>
      <c r="N50" s="1902"/>
      <c r="O50" s="1902"/>
      <c r="P50" s="1903"/>
      <c r="Q50" s="1902"/>
      <c r="R50" s="1905"/>
      <c r="S50" s="1902"/>
      <c r="T50" s="1902"/>
      <c r="U50" s="1903"/>
      <c r="V50" s="1902"/>
      <c r="W50" s="1905"/>
      <c r="X50" s="1902"/>
      <c r="Y50" s="1902"/>
      <c r="Z50" s="1902"/>
      <c r="AA50" s="1902"/>
      <c r="AB50" s="1905"/>
      <c r="AC50" s="1902"/>
      <c r="AD50" s="1902"/>
      <c r="AE50" s="1902"/>
      <c r="AF50" s="1902"/>
      <c r="AG50" s="1905"/>
      <c r="AH50" s="1902"/>
      <c r="AI50" s="1902"/>
      <c r="AJ50" s="1902"/>
      <c r="AK50" s="1902"/>
      <c r="AL50" s="1905"/>
      <c r="AM50" s="1902"/>
      <c r="AN50" s="1902"/>
      <c r="AO50" s="1902"/>
      <c r="AP50" s="1902"/>
      <c r="AQ50" s="1905"/>
      <c r="AR50" s="1904"/>
      <c r="AS50" s="1902"/>
      <c r="AT50" s="1902"/>
      <c r="AU50" s="1902"/>
      <c r="AV50" s="1905"/>
      <c r="AW50" s="1904"/>
      <c r="AX50" s="1902"/>
      <c r="AY50" s="1906"/>
      <c r="AZ50" s="1906"/>
      <c r="BA50" s="1905"/>
      <c r="BB50" s="1907"/>
      <c r="BC50" s="1906"/>
      <c r="BD50" s="1906"/>
      <c r="BE50" s="1906"/>
      <c r="BF50" s="1907"/>
      <c r="BG50" s="1907"/>
      <c r="BH50" s="1906"/>
      <c r="BI50" s="1906"/>
      <c r="BJ50" s="1906"/>
      <c r="BK50" s="1907"/>
      <c r="BL50" s="1907"/>
    </row>
    <row r="51" spans="1:64" s="1895" customFormat="1" x14ac:dyDescent="0.3">
      <c r="A51" s="1885"/>
      <c r="B51" s="1891"/>
      <c r="C51" s="1891"/>
      <c r="D51" s="1901"/>
      <c r="E51" s="1902"/>
      <c r="F51" s="1903"/>
      <c r="G51" s="1903"/>
      <c r="H51" s="1904"/>
      <c r="I51" s="1902"/>
      <c r="J51" s="1902"/>
      <c r="K51" s="1903"/>
      <c r="L51" s="1902"/>
      <c r="M51" s="1903"/>
      <c r="N51" s="1902"/>
      <c r="O51" s="1902"/>
      <c r="P51" s="1903"/>
      <c r="Q51" s="1902"/>
      <c r="R51" s="1905"/>
      <c r="S51" s="1902"/>
      <c r="T51" s="1902"/>
      <c r="U51" s="1903"/>
      <c r="V51" s="1902"/>
      <c r="W51" s="1905"/>
      <c r="X51" s="1902"/>
      <c r="Y51" s="1902"/>
      <c r="Z51" s="1902"/>
      <c r="AA51" s="1902"/>
      <c r="AB51" s="1905"/>
      <c r="AC51" s="1902"/>
      <c r="AD51" s="1902"/>
      <c r="AE51" s="1902"/>
      <c r="AF51" s="1902"/>
      <c r="AG51" s="1905"/>
      <c r="AH51" s="1902"/>
      <c r="AI51" s="1902"/>
      <c r="AJ51" s="1902"/>
      <c r="AK51" s="1902"/>
      <c r="AL51" s="1905"/>
      <c r="AM51" s="1902"/>
      <c r="AN51" s="1902"/>
      <c r="AO51" s="1902"/>
      <c r="AP51" s="1902"/>
      <c r="AQ51" s="1905"/>
      <c r="AR51" s="1904"/>
      <c r="AS51" s="1902"/>
      <c r="AT51" s="1902"/>
      <c r="AU51" s="1902"/>
      <c r="AV51" s="1905"/>
      <c r="AW51" s="1904"/>
      <c r="AX51" s="1902"/>
      <c r="AY51" s="1906"/>
      <c r="AZ51" s="1906"/>
      <c r="BA51" s="1905"/>
      <c r="BB51" s="1907"/>
      <c r="BC51" s="1906"/>
      <c r="BD51" s="1906"/>
      <c r="BE51" s="1906"/>
      <c r="BF51" s="1907"/>
      <c r="BG51" s="1907"/>
      <c r="BH51" s="1906"/>
      <c r="BI51" s="1906"/>
      <c r="BJ51" s="1906"/>
      <c r="BK51" s="1907"/>
      <c r="BL51" s="1907"/>
    </row>
    <row r="52" spans="1:64" s="1895" customFormat="1" x14ac:dyDescent="0.3">
      <c r="A52" s="1885"/>
      <c r="B52" s="1891"/>
      <c r="C52" s="1891"/>
      <c r="D52" s="1901"/>
      <c r="E52" s="1902"/>
      <c r="F52" s="1903"/>
      <c r="G52" s="1903"/>
      <c r="H52" s="1904"/>
      <c r="I52" s="1902"/>
      <c r="J52" s="1902"/>
      <c r="K52" s="1903"/>
      <c r="L52" s="1902"/>
      <c r="M52" s="1903"/>
      <c r="N52" s="1902"/>
      <c r="O52" s="1902"/>
      <c r="P52" s="1903"/>
      <c r="Q52" s="1902"/>
      <c r="R52" s="1905"/>
      <c r="S52" s="1902"/>
      <c r="T52" s="1902"/>
      <c r="U52" s="1903"/>
      <c r="V52" s="1902"/>
      <c r="W52" s="1905"/>
      <c r="X52" s="1902"/>
      <c r="Y52" s="1902"/>
      <c r="Z52" s="1902"/>
      <c r="AA52" s="1902"/>
      <c r="AB52" s="1905"/>
      <c r="AC52" s="1902"/>
      <c r="AD52" s="1902"/>
      <c r="AE52" s="1902"/>
      <c r="AF52" s="1902"/>
      <c r="AG52" s="1905"/>
      <c r="AH52" s="1902"/>
      <c r="AI52" s="1902"/>
      <c r="AJ52" s="1902"/>
      <c r="AK52" s="1902"/>
      <c r="AL52" s="1905"/>
      <c r="AM52" s="1902"/>
      <c r="AN52" s="1902"/>
      <c r="AO52" s="1902"/>
      <c r="AP52" s="1902"/>
      <c r="AQ52" s="1905"/>
      <c r="AR52" s="1904"/>
      <c r="AS52" s="1902"/>
      <c r="AT52" s="1902"/>
      <c r="AU52" s="1902"/>
      <c r="AV52" s="1905"/>
      <c r="AW52" s="1904"/>
      <c r="AX52" s="1902"/>
      <c r="AY52" s="1906"/>
      <c r="AZ52" s="1906"/>
      <c r="BA52" s="1905"/>
      <c r="BB52" s="1907"/>
      <c r="BC52" s="1906"/>
      <c r="BD52" s="1906"/>
      <c r="BE52" s="1906"/>
      <c r="BF52" s="1907"/>
      <c r="BG52" s="1907"/>
      <c r="BH52" s="1906"/>
      <c r="BI52" s="1906"/>
      <c r="BJ52" s="1906"/>
      <c r="BK52" s="1907"/>
      <c r="BL52" s="1907"/>
    </row>
    <row r="53" spans="1:64" s="1895" customFormat="1" x14ac:dyDescent="0.3">
      <c r="A53" s="1885"/>
      <c r="B53" s="1891"/>
      <c r="C53" s="1891"/>
      <c r="D53" s="1901"/>
      <c r="E53" s="1902"/>
      <c r="F53" s="1903"/>
      <c r="G53" s="1903"/>
      <c r="H53" s="1904"/>
      <c r="I53" s="1902"/>
      <c r="J53" s="1902"/>
      <c r="K53" s="1903"/>
      <c r="L53" s="1902"/>
      <c r="M53" s="1903"/>
      <c r="N53" s="1902"/>
      <c r="O53" s="1902"/>
      <c r="P53" s="1903"/>
      <c r="Q53" s="1902"/>
      <c r="R53" s="1905"/>
      <c r="S53" s="1902"/>
      <c r="T53" s="1902"/>
      <c r="U53" s="1903"/>
      <c r="V53" s="1902"/>
      <c r="W53" s="1905"/>
      <c r="X53" s="1902"/>
      <c r="Y53" s="1902"/>
      <c r="Z53" s="1902"/>
      <c r="AA53" s="1902"/>
      <c r="AB53" s="1905"/>
      <c r="AC53" s="1902"/>
      <c r="AD53" s="1902"/>
      <c r="AE53" s="1902"/>
      <c r="AF53" s="1902"/>
      <c r="AG53" s="1905"/>
      <c r="AH53" s="1902"/>
      <c r="AI53" s="1902"/>
      <c r="AJ53" s="1902"/>
      <c r="AK53" s="1902"/>
      <c r="AL53" s="1905"/>
      <c r="AM53" s="1902"/>
      <c r="AN53" s="1902"/>
      <c r="AO53" s="1902"/>
      <c r="AP53" s="1902"/>
      <c r="AQ53" s="1905"/>
      <c r="AR53" s="1904"/>
      <c r="AS53" s="1902"/>
      <c r="AT53" s="1902"/>
      <c r="AU53" s="1902"/>
      <c r="AV53" s="1905"/>
      <c r="AW53" s="1904"/>
      <c r="AX53" s="1902"/>
      <c r="AY53" s="1906"/>
      <c r="AZ53" s="1906"/>
      <c r="BA53" s="1905"/>
      <c r="BB53" s="1907"/>
      <c r="BC53" s="1906"/>
      <c r="BD53" s="1906"/>
      <c r="BE53" s="1906"/>
      <c r="BF53" s="1907"/>
      <c r="BG53" s="1907"/>
      <c r="BH53" s="1906"/>
      <c r="BI53" s="1906"/>
      <c r="BJ53" s="1906"/>
      <c r="BK53" s="1907"/>
      <c r="BL53" s="1907"/>
    </row>
    <row r="54" spans="1:64" s="1895" customFormat="1" x14ac:dyDescent="0.3">
      <c r="A54" s="1885"/>
      <c r="B54" s="1891"/>
      <c r="C54" s="1891"/>
      <c r="D54" s="1901"/>
      <c r="E54" s="1902"/>
      <c r="F54" s="1903"/>
      <c r="G54" s="1903"/>
      <c r="H54" s="1904"/>
      <c r="I54" s="1902"/>
      <c r="J54" s="1902"/>
      <c r="K54" s="1903"/>
      <c r="L54" s="1902"/>
      <c r="M54" s="1903"/>
      <c r="N54" s="1902"/>
      <c r="O54" s="1902"/>
      <c r="P54" s="1903"/>
      <c r="Q54" s="1902"/>
      <c r="R54" s="1905"/>
      <c r="S54" s="1902"/>
      <c r="T54" s="1902"/>
      <c r="U54" s="1903"/>
      <c r="V54" s="1902"/>
      <c r="W54" s="1905"/>
      <c r="X54" s="1902"/>
      <c r="Y54" s="1902"/>
      <c r="Z54" s="1902"/>
      <c r="AA54" s="1902"/>
      <c r="AB54" s="1905"/>
      <c r="AC54" s="1902"/>
      <c r="AD54" s="1902"/>
      <c r="AE54" s="1902"/>
      <c r="AF54" s="1902"/>
      <c r="AG54" s="1905"/>
      <c r="AH54" s="1902"/>
      <c r="AI54" s="1902"/>
      <c r="AJ54" s="1902"/>
      <c r="AK54" s="1902"/>
      <c r="AL54" s="1905"/>
      <c r="AM54" s="1902"/>
      <c r="AN54" s="1902"/>
      <c r="AO54" s="1902"/>
      <c r="AP54" s="1902"/>
      <c r="AQ54" s="1905"/>
      <c r="AR54" s="1904"/>
      <c r="AS54" s="1902"/>
      <c r="AT54" s="1902"/>
      <c r="AU54" s="1902"/>
      <c r="AV54" s="1905"/>
      <c r="AW54" s="1904"/>
      <c r="AX54" s="1902"/>
      <c r="AY54" s="1906"/>
      <c r="AZ54" s="1906"/>
      <c r="BA54" s="1905"/>
      <c r="BB54" s="1907"/>
      <c r="BC54" s="1906"/>
      <c r="BD54" s="1906"/>
      <c r="BE54" s="1906"/>
      <c r="BF54" s="1907"/>
      <c r="BG54" s="1907"/>
      <c r="BH54" s="1906"/>
      <c r="BI54" s="1906"/>
      <c r="BJ54" s="1906"/>
      <c r="BK54" s="1907"/>
      <c r="BL54" s="1907"/>
    </row>
    <row r="55" spans="1:64" s="1895" customFormat="1" x14ac:dyDescent="0.3">
      <c r="A55" s="1885"/>
      <c r="B55" s="1891"/>
      <c r="C55" s="1891"/>
      <c r="D55" s="1901"/>
      <c r="E55" s="1902"/>
      <c r="F55" s="1903"/>
      <c r="G55" s="1903"/>
      <c r="H55" s="1904"/>
      <c r="I55" s="1902"/>
      <c r="J55" s="1902"/>
      <c r="K55" s="1903"/>
      <c r="L55" s="1902"/>
      <c r="M55" s="1903"/>
      <c r="N55" s="1902"/>
      <c r="O55" s="1902"/>
      <c r="P55" s="1903"/>
      <c r="Q55" s="1902"/>
      <c r="R55" s="1905"/>
      <c r="S55" s="1902"/>
      <c r="T55" s="1902"/>
      <c r="U55" s="1903"/>
      <c r="V55" s="1902"/>
      <c r="W55" s="1905"/>
      <c r="X55" s="1902"/>
      <c r="Y55" s="1902"/>
      <c r="Z55" s="1902"/>
      <c r="AA55" s="1902"/>
      <c r="AB55" s="1905"/>
      <c r="AC55" s="1902"/>
      <c r="AD55" s="1902"/>
      <c r="AE55" s="1902"/>
      <c r="AF55" s="1902"/>
      <c r="AG55" s="1905"/>
      <c r="AH55" s="1902"/>
      <c r="AI55" s="1902"/>
      <c r="AJ55" s="1902"/>
      <c r="AK55" s="1902"/>
      <c r="AL55" s="1905"/>
      <c r="AM55" s="1902"/>
      <c r="AN55" s="1902"/>
      <c r="AO55" s="1902"/>
      <c r="AP55" s="1902"/>
      <c r="AQ55" s="1905"/>
      <c r="AR55" s="1904"/>
      <c r="AS55" s="1902"/>
      <c r="AT55" s="1902"/>
      <c r="AU55" s="1902"/>
      <c r="AV55" s="1905"/>
      <c r="AW55" s="1904"/>
      <c r="AX55" s="1902"/>
      <c r="AY55" s="1906"/>
      <c r="AZ55" s="1906"/>
      <c r="BA55" s="1905"/>
      <c r="BB55" s="1907"/>
      <c r="BC55" s="1906"/>
      <c r="BD55" s="1906"/>
      <c r="BE55" s="1906"/>
      <c r="BF55" s="1907"/>
      <c r="BG55" s="1907"/>
      <c r="BH55" s="1906"/>
      <c r="BI55" s="1906"/>
      <c r="BJ55" s="1906"/>
      <c r="BK55" s="1907"/>
      <c r="BL55" s="1907"/>
    </row>
    <row r="56" spans="1:64" s="1895" customFormat="1" x14ac:dyDescent="0.3">
      <c r="A56" s="1885"/>
      <c r="B56" s="1891"/>
      <c r="C56" s="1891"/>
      <c r="D56" s="1901"/>
      <c r="E56" s="1902"/>
      <c r="F56" s="1903"/>
      <c r="G56" s="1903"/>
      <c r="H56" s="1904"/>
      <c r="I56" s="1902"/>
      <c r="J56" s="1902"/>
      <c r="K56" s="1903"/>
      <c r="L56" s="1902"/>
      <c r="M56" s="1903"/>
      <c r="N56" s="1902"/>
      <c r="O56" s="1902"/>
      <c r="P56" s="1903"/>
      <c r="Q56" s="1902"/>
      <c r="R56" s="1905"/>
      <c r="S56" s="1902"/>
      <c r="T56" s="1902"/>
      <c r="U56" s="1903"/>
      <c r="V56" s="1902"/>
      <c r="W56" s="1905"/>
      <c r="X56" s="1902"/>
      <c r="Y56" s="1902"/>
      <c r="Z56" s="1902"/>
      <c r="AA56" s="1902"/>
      <c r="AB56" s="1905"/>
      <c r="AC56" s="1902"/>
      <c r="AD56" s="1902"/>
      <c r="AE56" s="1902"/>
      <c r="AF56" s="1902"/>
      <c r="AG56" s="1905"/>
      <c r="AH56" s="1902"/>
      <c r="AI56" s="1902"/>
      <c r="AJ56" s="1902"/>
      <c r="AK56" s="1902"/>
      <c r="AL56" s="1905"/>
      <c r="AM56" s="1902"/>
      <c r="AN56" s="1902"/>
      <c r="AO56" s="1902"/>
      <c r="AP56" s="1902"/>
      <c r="AQ56" s="1905"/>
      <c r="AR56" s="1904"/>
      <c r="AS56" s="1902"/>
      <c r="AT56" s="1902"/>
      <c r="AU56" s="1902"/>
      <c r="AV56" s="1905"/>
      <c r="AW56" s="1904"/>
      <c r="AX56" s="1902"/>
      <c r="AY56" s="1906"/>
      <c r="AZ56" s="1906"/>
      <c r="BA56" s="1905"/>
      <c r="BB56" s="1907"/>
      <c r="BC56" s="1906"/>
      <c r="BD56" s="1906"/>
      <c r="BE56" s="1906"/>
      <c r="BF56" s="1907"/>
      <c r="BG56" s="1907"/>
      <c r="BH56" s="1906"/>
      <c r="BI56" s="1906"/>
      <c r="BJ56" s="1906"/>
      <c r="BK56" s="1907"/>
      <c r="BL56" s="1907"/>
    </row>
    <row r="57" spans="1:64" s="1895" customFormat="1" x14ac:dyDescent="0.3">
      <c r="A57" s="1885"/>
      <c r="B57" s="1891"/>
      <c r="C57" s="1891"/>
      <c r="D57" s="1901"/>
      <c r="E57" s="1902"/>
      <c r="F57" s="1903"/>
      <c r="G57" s="1903"/>
      <c r="H57" s="1904"/>
      <c r="I57" s="1902"/>
      <c r="J57" s="1902"/>
      <c r="K57" s="1903"/>
      <c r="L57" s="1902"/>
      <c r="M57" s="1903"/>
      <c r="N57" s="1902"/>
      <c r="O57" s="1902"/>
      <c r="P57" s="1903"/>
      <c r="Q57" s="1902"/>
      <c r="R57" s="1905"/>
      <c r="S57" s="1902"/>
      <c r="T57" s="1902"/>
      <c r="U57" s="1903"/>
      <c r="V57" s="1902"/>
      <c r="W57" s="1905"/>
      <c r="X57" s="1902"/>
      <c r="Y57" s="1902"/>
      <c r="Z57" s="1902"/>
      <c r="AA57" s="1902"/>
      <c r="AB57" s="1905"/>
      <c r="AC57" s="1902"/>
      <c r="AD57" s="1902"/>
      <c r="AE57" s="1902"/>
      <c r="AF57" s="1902"/>
      <c r="AG57" s="1905"/>
      <c r="AH57" s="1902"/>
      <c r="AI57" s="1902"/>
      <c r="AJ57" s="1902"/>
      <c r="AK57" s="1902"/>
      <c r="AL57" s="1905"/>
      <c r="AM57" s="1902"/>
      <c r="AN57" s="1902"/>
      <c r="AO57" s="1902"/>
      <c r="AP57" s="1902"/>
      <c r="AQ57" s="1905"/>
      <c r="AR57" s="1904"/>
      <c r="AS57" s="1902"/>
      <c r="AT57" s="1902"/>
      <c r="AU57" s="1902"/>
      <c r="AV57" s="1905"/>
      <c r="AW57" s="1904"/>
      <c r="AX57" s="1902"/>
      <c r="AY57" s="1906"/>
      <c r="AZ57" s="1906"/>
      <c r="BA57" s="1905"/>
      <c r="BB57" s="1907"/>
      <c r="BC57" s="1906"/>
      <c r="BD57" s="1906"/>
      <c r="BE57" s="1906"/>
      <c r="BF57" s="1907"/>
      <c r="BG57" s="1907"/>
      <c r="BH57" s="1906"/>
      <c r="BI57" s="1906"/>
      <c r="BJ57" s="1906"/>
      <c r="BK57" s="1907"/>
      <c r="BL57" s="1907"/>
    </row>
    <row r="58" spans="1:64" s="1895" customFormat="1" x14ac:dyDescent="0.3">
      <c r="A58" s="1885"/>
      <c r="B58" s="1891"/>
      <c r="C58" s="1891"/>
      <c r="D58" s="1901"/>
      <c r="E58" s="1902"/>
      <c r="F58" s="1903"/>
      <c r="G58" s="1903"/>
      <c r="H58" s="1904"/>
      <c r="I58" s="1902"/>
      <c r="J58" s="1902"/>
      <c r="K58" s="1903"/>
      <c r="L58" s="1902"/>
      <c r="M58" s="1903"/>
      <c r="N58" s="1902"/>
      <c r="O58" s="1902"/>
      <c r="P58" s="1903"/>
      <c r="Q58" s="1902"/>
      <c r="R58" s="1905"/>
      <c r="S58" s="1902"/>
      <c r="T58" s="1902"/>
      <c r="U58" s="1903"/>
      <c r="V58" s="1902"/>
      <c r="W58" s="1905"/>
      <c r="X58" s="1902"/>
      <c r="Y58" s="1902"/>
      <c r="Z58" s="1902"/>
      <c r="AA58" s="1902"/>
      <c r="AB58" s="1905"/>
      <c r="AC58" s="1902"/>
      <c r="AD58" s="1902"/>
      <c r="AE58" s="1902"/>
      <c r="AF58" s="1902"/>
      <c r="AG58" s="1905"/>
      <c r="AH58" s="1902"/>
      <c r="AI58" s="1902"/>
      <c r="AJ58" s="1902"/>
      <c r="AK58" s="1902"/>
      <c r="AL58" s="1905"/>
      <c r="AM58" s="1902"/>
      <c r="AN58" s="1902"/>
      <c r="AO58" s="1902"/>
      <c r="AP58" s="1902"/>
      <c r="AQ58" s="1905"/>
      <c r="AR58" s="1904"/>
      <c r="AS58" s="1902"/>
      <c r="AT58" s="1902"/>
      <c r="AU58" s="1902"/>
      <c r="AV58" s="1905"/>
      <c r="AW58" s="1904"/>
      <c r="AX58" s="1902"/>
      <c r="AY58" s="1906"/>
      <c r="AZ58" s="1906"/>
      <c r="BA58" s="1905"/>
      <c r="BB58" s="1907"/>
      <c r="BC58" s="1906"/>
      <c r="BD58" s="1906"/>
      <c r="BE58" s="1906"/>
      <c r="BF58" s="1907"/>
      <c r="BG58" s="1907"/>
      <c r="BH58" s="1906"/>
      <c r="BI58" s="1906"/>
      <c r="BJ58" s="1906"/>
      <c r="BK58" s="1907"/>
      <c r="BL58" s="1907"/>
    </row>
    <row r="59" spans="1:64" s="1895" customFormat="1" x14ac:dyDescent="0.3">
      <c r="A59" s="1885"/>
      <c r="B59" s="1891"/>
      <c r="C59" s="1891"/>
      <c r="D59" s="1901"/>
      <c r="E59" s="1902"/>
      <c r="F59" s="1903"/>
      <c r="G59" s="1903"/>
      <c r="H59" s="1904"/>
      <c r="I59" s="1902"/>
      <c r="J59" s="1902"/>
      <c r="K59" s="1903"/>
      <c r="L59" s="1902"/>
      <c r="M59" s="1903"/>
      <c r="N59" s="1902"/>
      <c r="O59" s="1902"/>
      <c r="P59" s="1903"/>
      <c r="Q59" s="1902"/>
      <c r="R59" s="1905"/>
      <c r="S59" s="1902"/>
      <c r="T59" s="1902"/>
      <c r="U59" s="1903"/>
      <c r="V59" s="1902"/>
      <c r="W59" s="1905"/>
      <c r="X59" s="1902"/>
      <c r="Y59" s="1902"/>
      <c r="Z59" s="1902"/>
      <c r="AA59" s="1902"/>
      <c r="AB59" s="1905"/>
      <c r="AC59" s="1902"/>
      <c r="AD59" s="1902"/>
      <c r="AE59" s="1902"/>
      <c r="AF59" s="1902"/>
      <c r="AG59" s="1905"/>
      <c r="AH59" s="1902"/>
      <c r="AI59" s="1902"/>
      <c r="AJ59" s="1902"/>
      <c r="AK59" s="1902"/>
      <c r="AL59" s="1905"/>
      <c r="AM59" s="1902"/>
      <c r="AN59" s="1902"/>
      <c r="AO59" s="1902"/>
      <c r="AP59" s="1902"/>
      <c r="AQ59" s="1905"/>
      <c r="AR59" s="1904"/>
      <c r="AS59" s="1902"/>
      <c r="AT59" s="1902"/>
      <c r="AU59" s="1902"/>
      <c r="AV59" s="1905"/>
      <c r="AW59" s="1904"/>
      <c r="AX59" s="1902"/>
      <c r="AY59" s="1906"/>
      <c r="AZ59" s="1906"/>
      <c r="BA59" s="1905"/>
      <c r="BB59" s="1907"/>
      <c r="BC59" s="1906"/>
      <c r="BD59" s="1906"/>
      <c r="BE59" s="1906"/>
      <c r="BF59" s="1907"/>
      <c r="BG59" s="1907"/>
      <c r="BH59" s="1906"/>
      <c r="BI59" s="1906"/>
      <c r="BJ59" s="1906"/>
      <c r="BK59" s="1907"/>
      <c r="BL59" s="1907"/>
    </row>
    <row r="60" spans="1:64" s="1895" customFormat="1" x14ac:dyDescent="0.3">
      <c r="A60" s="1885"/>
      <c r="B60" s="1891"/>
      <c r="C60" s="1891"/>
      <c r="D60" s="1901"/>
      <c r="E60" s="1902"/>
      <c r="F60" s="1903"/>
      <c r="G60" s="1903"/>
      <c r="H60" s="1904"/>
      <c r="I60" s="1902"/>
      <c r="J60" s="1902"/>
      <c r="K60" s="1903"/>
      <c r="L60" s="1902"/>
      <c r="M60" s="1903"/>
      <c r="N60" s="1902"/>
      <c r="O60" s="1902"/>
      <c r="P60" s="1903"/>
      <c r="Q60" s="1902"/>
      <c r="R60" s="1905"/>
      <c r="S60" s="1902"/>
      <c r="T60" s="1902"/>
      <c r="U60" s="1903"/>
      <c r="V60" s="1902"/>
      <c r="W60" s="1905"/>
      <c r="X60" s="1902"/>
      <c r="Y60" s="1902"/>
      <c r="Z60" s="1902"/>
      <c r="AA60" s="1902"/>
      <c r="AB60" s="1905"/>
      <c r="AC60" s="1902"/>
      <c r="AD60" s="1902"/>
      <c r="AE60" s="1902"/>
      <c r="AF60" s="1902"/>
      <c r="AG60" s="1905"/>
      <c r="AH60" s="1902"/>
      <c r="AI60" s="1902"/>
      <c r="AJ60" s="1902"/>
      <c r="AK60" s="1902"/>
      <c r="AL60" s="1905"/>
      <c r="AM60" s="1902"/>
      <c r="AN60" s="1902"/>
      <c r="AO60" s="1902"/>
      <c r="AP60" s="1902"/>
      <c r="AQ60" s="1905"/>
      <c r="AR60" s="1904"/>
      <c r="AS60" s="1902"/>
      <c r="AT60" s="1902"/>
      <c r="AU60" s="1902"/>
      <c r="AV60" s="1905"/>
      <c r="AW60" s="1904"/>
      <c r="AX60" s="1902"/>
      <c r="AY60" s="1906"/>
      <c r="AZ60" s="1906"/>
      <c r="BA60" s="1905"/>
      <c r="BB60" s="1907"/>
      <c r="BC60" s="1906"/>
      <c r="BD60" s="1906"/>
      <c r="BE60" s="1906"/>
      <c r="BF60" s="1907"/>
      <c r="BG60" s="1907"/>
      <c r="BH60" s="1906"/>
      <c r="BI60" s="1906"/>
      <c r="BJ60" s="1906"/>
      <c r="BK60" s="1907"/>
      <c r="BL60" s="1907"/>
    </row>
    <row r="61" spans="1:64" ht="15" customHeight="1" x14ac:dyDescent="0.3">
      <c r="A61" s="1875">
        <v>5</v>
      </c>
      <c r="B61" s="819" t="s">
        <v>58</v>
      </c>
      <c r="C61" s="819"/>
      <c r="D61" s="4642" t="s">
        <v>696</v>
      </c>
      <c r="E61" s="4643"/>
      <c r="F61" s="4643"/>
      <c r="G61" s="4643"/>
      <c r="H61" s="4643"/>
      <c r="I61" s="4643"/>
      <c r="J61" s="4643"/>
      <c r="K61" s="4643"/>
      <c r="L61" s="4643"/>
      <c r="M61" s="4643"/>
      <c r="N61" s="4643"/>
      <c r="O61" s="4643"/>
      <c r="P61" s="4643"/>
      <c r="Q61" s="4643"/>
      <c r="R61" s="4643"/>
      <c r="S61" s="4643"/>
      <c r="T61" s="4643"/>
      <c r="U61" s="4643"/>
      <c r="V61" s="4644"/>
      <c r="W61" s="4558"/>
      <c r="X61" s="4558"/>
      <c r="Y61" s="4558"/>
      <c r="Z61" s="4558"/>
      <c r="AA61" s="4558"/>
      <c r="AB61" s="4558"/>
    </row>
    <row r="62" spans="1:64" x14ac:dyDescent="0.3">
      <c r="A62" s="1908">
        <v>6</v>
      </c>
      <c r="B62" s="870" t="s">
        <v>60</v>
      </c>
      <c r="C62" s="870"/>
      <c r="D62" s="4642" t="s">
        <v>706</v>
      </c>
      <c r="E62" s="4643"/>
      <c r="F62" s="4643"/>
      <c r="G62" s="4643"/>
      <c r="H62" s="4643"/>
      <c r="I62" s="4643"/>
      <c r="J62" s="4643"/>
      <c r="K62" s="4643"/>
      <c r="L62" s="4643"/>
      <c r="M62" s="4643"/>
      <c r="N62" s="4643"/>
      <c r="O62" s="4643"/>
      <c r="P62" s="4643"/>
      <c r="Q62" s="4643"/>
      <c r="R62" s="4643"/>
      <c r="S62" s="4643"/>
      <c r="T62" s="4643"/>
      <c r="U62" s="4643"/>
      <c r="V62" s="4644"/>
      <c r="W62" s="4558"/>
      <c r="X62" s="4558"/>
      <c r="Y62" s="4558"/>
      <c r="Z62" s="4558"/>
      <c r="AA62" s="4558"/>
      <c r="AB62" s="4558"/>
    </row>
    <row r="63" spans="1:64" ht="15" customHeight="1" x14ac:dyDescent="0.3">
      <c r="A63" s="1875">
        <v>7</v>
      </c>
      <c r="B63" s="819" t="s">
        <v>62</v>
      </c>
      <c r="C63" s="819"/>
      <c r="D63" s="4796" t="s">
        <v>1975</v>
      </c>
      <c r="E63" s="4797"/>
      <c r="F63" s="4797"/>
      <c r="G63" s="4797"/>
      <c r="H63" s="4797"/>
      <c r="I63" s="4797"/>
      <c r="J63" s="4797"/>
      <c r="K63" s="4797"/>
      <c r="L63" s="4797"/>
      <c r="M63" s="4797"/>
      <c r="N63" s="4797"/>
      <c r="O63" s="4797"/>
      <c r="P63" s="4797"/>
      <c r="Q63" s="4797"/>
      <c r="R63" s="4797"/>
      <c r="S63" s="4797"/>
      <c r="T63" s="4797"/>
      <c r="U63" s="4797"/>
      <c r="V63" s="4798"/>
      <c r="W63" s="4558"/>
      <c r="X63" s="4558"/>
      <c r="Y63" s="4558"/>
      <c r="Z63" s="4558"/>
      <c r="AA63" s="4558"/>
      <c r="AB63" s="4558"/>
    </row>
    <row r="64" spans="1:64" x14ac:dyDescent="0.3">
      <c r="A64" s="1909">
        <v>8</v>
      </c>
      <c r="B64" s="723" t="s">
        <v>134</v>
      </c>
      <c r="D64" s="4642" t="s">
        <v>697</v>
      </c>
      <c r="E64" s="4643"/>
      <c r="F64" s="4643"/>
      <c r="G64" s="4643"/>
      <c r="H64" s="4643"/>
      <c r="I64" s="4643"/>
      <c r="J64" s="4643"/>
      <c r="K64" s="4643"/>
      <c r="L64" s="4643"/>
      <c r="M64" s="4643"/>
      <c r="N64" s="4643"/>
      <c r="O64" s="4643"/>
      <c r="P64" s="4643"/>
      <c r="Q64" s="4643"/>
      <c r="R64" s="4643"/>
      <c r="S64" s="4643"/>
      <c r="T64" s="4643"/>
      <c r="U64" s="4643"/>
      <c r="V64" s="4644"/>
      <c r="W64" s="4558"/>
      <c r="X64" s="4558"/>
      <c r="Y64" s="4558"/>
      <c r="Z64" s="4558"/>
      <c r="AA64" s="4558"/>
      <c r="AB64" s="4558"/>
    </row>
    <row r="65" spans="4:23" ht="15" customHeight="1" x14ac:dyDescent="0.3">
      <c r="D65" s="1873"/>
      <c r="E65" s="1873"/>
      <c r="F65" s="1873"/>
      <c r="G65" s="1873"/>
      <c r="H65" s="1873"/>
      <c r="I65" s="1873"/>
      <c r="J65" s="1873"/>
      <c r="K65" s="1873"/>
      <c r="L65" s="1873"/>
      <c r="M65" s="1873"/>
      <c r="N65" s="1873"/>
      <c r="O65" s="1873"/>
      <c r="P65" s="1873"/>
      <c r="Q65" s="1873"/>
    </row>
    <row r="66" spans="4:23" x14ac:dyDescent="0.3">
      <c r="D66" s="1918" t="s">
        <v>707</v>
      </c>
    </row>
    <row r="68" spans="4:23" ht="91.5" customHeight="1" x14ac:dyDescent="0.3">
      <c r="D68" s="4801"/>
      <c r="E68" s="4801"/>
      <c r="F68" s="4801"/>
      <c r="G68" s="4801"/>
      <c r="H68" s="4801"/>
      <c r="I68" s="4801"/>
      <c r="J68" s="4801"/>
      <c r="K68" s="4801"/>
      <c r="L68" s="4801"/>
      <c r="M68" s="4801"/>
      <c r="N68" s="4801"/>
      <c r="O68" s="4801"/>
      <c r="P68" s="4801"/>
      <c r="Q68" s="4801"/>
      <c r="R68" s="4801"/>
      <c r="S68" s="4801"/>
      <c r="T68" s="4801"/>
      <c r="U68" s="4801"/>
      <c r="V68" s="4801"/>
      <c r="W68" s="4801"/>
    </row>
  </sheetData>
  <mergeCells count="9">
    <mergeCell ref="D63:V63"/>
    <mergeCell ref="D64:V64"/>
    <mergeCell ref="D68:W68"/>
    <mergeCell ref="D2:V2"/>
    <mergeCell ref="D3:V3"/>
    <mergeCell ref="D4:V4"/>
    <mergeCell ref="D6:P6"/>
    <mergeCell ref="D61:V61"/>
    <mergeCell ref="D62:V62"/>
  </mergeCells>
  <pageMargins left="0.74803149606299213" right="0.74803149606299213" top="0.98425196850393704" bottom="0.98425196850393704" header="0.51181102362204722" footer="0.51181102362204722"/>
  <pageSetup paperSize="8" scale="91"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3F87-0843-4DB4-AF94-903CD95DF39E}">
  <sheetPr>
    <tabColor rgb="FF00B050"/>
    <pageSetUpPr fitToPage="1"/>
  </sheetPr>
  <dimension ref="A2:GR54"/>
  <sheetViews>
    <sheetView showGridLines="0" view="pageBreakPreview" zoomScaleNormal="100" zoomScaleSheetLayoutView="100" workbookViewId="0">
      <selection activeCell="F33" sqref="F33"/>
    </sheetView>
  </sheetViews>
  <sheetFormatPr defaultColWidth="9.1796875" defaultRowHeight="14.5" x14ac:dyDescent="0.35"/>
  <cols>
    <col min="1" max="1" width="3.54296875" style="723" customWidth="1"/>
    <col min="2" max="2" width="14.453125" style="1980" customWidth="1"/>
    <col min="3" max="3" width="3.54296875" style="1980" customWidth="1"/>
    <col min="4" max="4" width="21" style="1982" customWidth="1"/>
    <col min="5" max="7" width="8.54296875" style="1982" customWidth="1"/>
    <col min="8" max="8" width="8.54296875" style="1982" bestFit="1" customWidth="1"/>
    <col min="9" max="9" width="8.54296875" style="1982" customWidth="1"/>
    <col min="10" max="17" width="8.54296875" style="1982" bestFit="1" customWidth="1"/>
    <col min="18" max="20" width="8.54296875" style="1982" customWidth="1"/>
    <col min="21" max="21" width="9.54296875" style="1982" customWidth="1"/>
    <col min="22" max="22" width="10.453125" style="1981" customWidth="1"/>
    <col min="23" max="23" width="10" style="1981" customWidth="1"/>
    <col min="24" max="49" width="9.1796875" style="1981"/>
    <col min="50" max="16384" width="9.1796875" style="1982"/>
  </cols>
  <sheetData>
    <row r="2" spans="1:200" s="1920" customFormat="1" ht="14.5" customHeight="1" x14ac:dyDescent="0.35">
      <c r="A2" s="1255">
        <v>1</v>
      </c>
      <c r="B2" s="1255" t="s">
        <v>0</v>
      </c>
      <c r="C2" s="1255">
        <v>29</v>
      </c>
      <c r="D2" s="4802" t="s">
        <v>708</v>
      </c>
      <c r="E2" s="4803"/>
      <c r="F2" s="4803"/>
      <c r="G2" s="4803"/>
      <c r="H2" s="4803"/>
      <c r="I2" s="4803"/>
      <c r="J2" s="4803"/>
      <c r="K2" s="4803"/>
      <c r="L2" s="4803"/>
      <c r="M2" s="4803"/>
      <c r="N2" s="4803"/>
      <c r="O2" s="4803"/>
      <c r="P2" s="4803"/>
      <c r="Q2" s="4803"/>
      <c r="R2" s="4803"/>
      <c r="S2" s="4803"/>
      <c r="T2" s="4803"/>
      <c r="U2" s="4804"/>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row>
    <row r="3" spans="1:200" s="1920" customFormat="1" ht="12.75" customHeight="1" x14ac:dyDescent="0.35">
      <c r="A3" s="1255">
        <v>2</v>
      </c>
      <c r="B3" s="1255" t="s">
        <v>2</v>
      </c>
      <c r="C3" s="1255"/>
      <c r="D3" s="4733" t="s">
        <v>688</v>
      </c>
      <c r="E3" s="4765"/>
      <c r="F3" s="4765"/>
      <c r="G3" s="4765"/>
      <c r="H3" s="4765"/>
      <c r="I3" s="4765"/>
      <c r="J3" s="4765"/>
      <c r="K3" s="4765"/>
      <c r="L3" s="4765"/>
      <c r="M3" s="4765"/>
      <c r="N3" s="4765"/>
      <c r="O3" s="4765"/>
      <c r="P3" s="4765"/>
      <c r="Q3" s="4765"/>
      <c r="R3" s="4765"/>
      <c r="S3" s="4765"/>
      <c r="T3" s="4765"/>
      <c r="U3" s="4766"/>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AW3" s="1919"/>
    </row>
    <row r="4" spans="1:200" s="1920" customFormat="1" ht="12.75" customHeight="1" x14ac:dyDescent="0.35">
      <c r="A4" s="1255">
        <v>3</v>
      </c>
      <c r="B4" s="1255" t="s">
        <v>4</v>
      </c>
      <c r="C4" s="1255"/>
      <c r="D4" s="4733" t="s">
        <v>709</v>
      </c>
      <c r="E4" s="4765"/>
      <c r="F4" s="4765"/>
      <c r="G4" s="4765"/>
      <c r="H4" s="4765"/>
      <c r="I4" s="4765"/>
      <c r="J4" s="4765"/>
      <c r="K4" s="4765"/>
      <c r="L4" s="4765"/>
      <c r="M4" s="4765"/>
      <c r="N4" s="4765"/>
      <c r="O4" s="4765"/>
      <c r="P4" s="4765"/>
      <c r="Q4" s="4765"/>
      <c r="R4" s="4765"/>
      <c r="S4" s="4765"/>
      <c r="T4" s="4765"/>
      <c r="U4" s="4766"/>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row>
    <row r="5" spans="1:200" s="1920" customFormat="1" ht="12.75" customHeight="1" x14ac:dyDescent="0.35">
      <c r="A5" s="1255"/>
      <c r="B5" s="1255"/>
      <c r="C5" s="1255"/>
      <c r="D5" s="1513"/>
      <c r="E5" s="724"/>
      <c r="F5" s="724"/>
      <c r="G5" s="724"/>
      <c r="H5" s="724"/>
      <c r="I5" s="724"/>
      <c r="J5" s="724"/>
      <c r="K5" s="724"/>
      <c r="L5" s="724"/>
      <c r="M5" s="724"/>
      <c r="N5" s="724"/>
      <c r="O5" s="724"/>
      <c r="P5" s="724"/>
      <c r="Q5" s="724"/>
      <c r="R5" s="724"/>
      <c r="S5" s="724"/>
      <c r="T5" s="724"/>
      <c r="U5" s="724"/>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AW5" s="1919"/>
    </row>
    <row r="6" spans="1:200" s="1765" customFormat="1" ht="14" x14ac:dyDescent="0.3">
      <c r="A6" s="1767">
        <v>4</v>
      </c>
      <c r="B6" s="728" t="s">
        <v>6</v>
      </c>
      <c r="C6" s="728"/>
      <c r="D6" s="4795"/>
      <c r="E6" s="4795"/>
      <c r="F6" s="4795"/>
      <c r="G6" s="4795"/>
      <c r="H6" s="4795"/>
      <c r="I6" s="4795"/>
      <c r="J6" s="4795"/>
      <c r="K6" s="4795"/>
      <c r="L6" s="4795"/>
      <c r="M6" s="4795"/>
      <c r="N6" s="4795"/>
      <c r="O6" s="4795"/>
      <c r="P6" s="4795"/>
      <c r="Q6" s="4795"/>
      <c r="R6" s="4795"/>
      <c r="S6" s="4795"/>
      <c r="T6" s="4795"/>
      <c r="U6" s="4795"/>
      <c r="V6" s="4795"/>
      <c r="W6" s="4795"/>
      <c r="X6" s="4795"/>
      <c r="Y6" s="4795"/>
      <c r="Z6" s="4795"/>
      <c r="AA6" s="4795"/>
      <c r="AB6" s="4795"/>
    </row>
    <row r="7" spans="1:200" s="1920" customFormat="1" x14ac:dyDescent="0.35">
      <c r="A7" s="723"/>
      <c r="B7" s="723"/>
      <c r="C7" s="1921"/>
      <c r="D7" s="89" t="s">
        <v>690</v>
      </c>
      <c r="E7" s="89" t="s">
        <v>710</v>
      </c>
      <c r="F7" s="89"/>
      <c r="G7" s="89"/>
      <c r="H7" s="89"/>
      <c r="I7" s="1896"/>
      <c r="J7" s="1896"/>
      <c r="K7" s="1898"/>
      <c r="L7" s="1898"/>
      <c r="M7" s="1898"/>
      <c r="N7" s="1898"/>
      <c r="O7" s="1898"/>
      <c r="P7" s="1898"/>
      <c r="Q7" s="1898"/>
      <c r="R7" s="1899"/>
      <c r="S7" s="1899"/>
      <c r="T7" s="1899"/>
      <c r="U7" s="1874"/>
      <c r="V7" s="1919"/>
      <c r="W7" s="1919"/>
      <c r="X7" s="1919"/>
      <c r="Y7" s="1919"/>
      <c r="Z7" s="1919"/>
      <c r="AA7" s="1919"/>
      <c r="AB7" s="1919"/>
      <c r="AC7" s="1919"/>
      <c r="AD7" s="1919"/>
      <c r="AE7" s="1919"/>
      <c r="AF7" s="1919"/>
      <c r="AG7" s="1919"/>
      <c r="AH7" s="1919"/>
      <c r="AI7" s="1919"/>
      <c r="AJ7" s="1919"/>
      <c r="AK7" s="1919"/>
      <c r="AL7" s="1919"/>
      <c r="AM7" s="1919"/>
      <c r="AN7" s="1919"/>
      <c r="AO7" s="1919"/>
      <c r="AP7" s="1919"/>
      <c r="AQ7" s="1919"/>
      <c r="AR7" s="1919"/>
      <c r="AS7" s="1919"/>
      <c r="AT7" s="1919"/>
      <c r="AU7" s="1919"/>
      <c r="AV7" s="1919"/>
      <c r="AW7" s="1919"/>
    </row>
    <row r="8" spans="1:200" s="1927" customFormat="1" ht="14.25" customHeight="1" x14ac:dyDescent="0.35">
      <c r="A8" s="1922"/>
      <c r="B8" s="1923"/>
      <c r="C8" s="1924"/>
      <c r="D8" s="1925"/>
      <c r="E8" s="1913">
        <v>2002</v>
      </c>
      <c r="F8" s="1913">
        <v>2003</v>
      </c>
      <c r="G8" s="1913">
        <v>2004</v>
      </c>
      <c r="H8" s="1913">
        <v>2005</v>
      </c>
      <c r="I8" s="1913">
        <v>2006</v>
      </c>
      <c r="J8" s="1913">
        <v>2007</v>
      </c>
      <c r="K8" s="1913">
        <v>2008</v>
      </c>
      <c r="L8" s="1913">
        <v>2009</v>
      </c>
      <c r="M8" s="1913">
        <v>2010</v>
      </c>
      <c r="N8" s="1913">
        <v>2011</v>
      </c>
      <c r="O8" s="1913">
        <v>2012</v>
      </c>
      <c r="P8" s="1913">
        <v>2013</v>
      </c>
      <c r="Q8" s="1913">
        <v>2014</v>
      </c>
      <c r="R8" s="1913">
        <v>2015</v>
      </c>
      <c r="S8" s="1913">
        <v>2016</v>
      </c>
      <c r="T8" s="1913">
        <v>2017</v>
      </c>
      <c r="U8" s="1913">
        <v>2018</v>
      </c>
      <c r="V8" s="1913">
        <v>2019</v>
      </c>
      <c r="W8" s="1926"/>
      <c r="X8" s="1926"/>
      <c r="Y8" s="1926"/>
      <c r="Z8" s="1926"/>
      <c r="AA8" s="1919"/>
      <c r="AB8" s="1926"/>
      <c r="AC8" s="1926"/>
      <c r="AD8" s="1926"/>
      <c r="AE8" s="1926"/>
      <c r="AF8" s="1926"/>
      <c r="AG8" s="1926"/>
      <c r="AH8" s="1926"/>
      <c r="AI8" s="1926"/>
      <c r="AJ8" s="1926"/>
      <c r="AK8" s="1926"/>
      <c r="AL8" s="1926"/>
      <c r="AM8" s="1926"/>
      <c r="AN8" s="1926"/>
      <c r="AO8" s="1926"/>
      <c r="AP8" s="1926"/>
      <c r="AQ8" s="1926"/>
      <c r="AR8" s="1926"/>
    </row>
    <row r="9" spans="1:200" s="1920" customFormat="1" ht="14.5" customHeight="1" x14ac:dyDescent="0.35">
      <c r="A9" s="1255"/>
      <c r="B9" s="1928"/>
      <c r="C9" s="1929"/>
      <c r="D9" s="1930" t="s">
        <v>711</v>
      </c>
      <c r="E9" s="1931">
        <v>11194350</v>
      </c>
      <c r="F9" s="1931">
        <v>11459337</v>
      </c>
      <c r="G9" s="1931">
        <v>11718329</v>
      </c>
      <c r="H9" s="1931">
        <v>11976990</v>
      </c>
      <c r="I9" s="1931">
        <v>12243215</v>
      </c>
      <c r="J9" s="1931">
        <v>12522491</v>
      </c>
      <c r="K9" s="1931">
        <v>12819285</v>
      </c>
      <c r="L9" s="1931">
        <v>13128396</v>
      </c>
      <c r="M9" s="1931">
        <v>13455659</v>
      </c>
      <c r="N9" s="1931">
        <v>13797320</v>
      </c>
      <c r="O9" s="1931">
        <v>14151736</v>
      </c>
      <c r="P9" s="1931">
        <v>14521185</v>
      </c>
      <c r="Q9" s="1931">
        <v>14903733</v>
      </c>
      <c r="R9" s="1931">
        <v>15307483</v>
      </c>
      <c r="S9" s="1787">
        <v>15743677</v>
      </c>
      <c r="T9" s="1787">
        <v>16199107</v>
      </c>
      <c r="U9" s="1787">
        <v>16670853.6913475</v>
      </c>
      <c r="V9" s="1787">
        <v>17162983.263316602</v>
      </c>
      <c r="W9" s="1919"/>
      <c r="X9" s="1919"/>
      <c r="Y9" s="1919"/>
      <c r="Z9" s="1919"/>
      <c r="AA9" s="1919"/>
      <c r="AB9" s="1919"/>
      <c r="AC9" s="1919"/>
      <c r="AD9" s="1919"/>
      <c r="AE9" s="1919"/>
      <c r="AF9" s="1919"/>
      <c r="AG9" s="1919"/>
      <c r="AH9" s="1919"/>
      <c r="AI9" s="1919"/>
      <c r="AJ9" s="1919"/>
      <c r="AK9" s="1919"/>
      <c r="AL9" s="1919"/>
      <c r="AM9" s="1919"/>
      <c r="AN9" s="1919"/>
      <c r="AO9" s="1919"/>
      <c r="AP9" s="1919"/>
      <c r="AQ9" s="1919"/>
      <c r="AR9" s="1919"/>
    </row>
    <row r="10" spans="1:200" s="1920" customFormat="1" x14ac:dyDescent="0.35">
      <c r="A10" s="1255"/>
      <c r="B10" s="1928"/>
      <c r="C10" s="1929"/>
      <c r="D10" s="1932" t="s">
        <v>712</v>
      </c>
      <c r="E10" s="1933">
        <f>+E25</f>
        <v>8573625</v>
      </c>
      <c r="F10" s="1933">
        <f>+F25</f>
        <v>8958676</v>
      </c>
      <c r="G10" s="1933">
        <f t="shared" ref="G10:V10" si="0">+G25</f>
        <v>9430014</v>
      </c>
      <c r="H10" s="1933">
        <f t="shared" si="0"/>
        <v>9667781</v>
      </c>
      <c r="I10" s="1933">
        <f t="shared" si="0"/>
        <v>9843537</v>
      </c>
      <c r="J10" s="1933">
        <f t="shared" si="0"/>
        <v>10233027</v>
      </c>
      <c r="K10" s="1933">
        <f t="shared" si="0"/>
        <v>10446746</v>
      </c>
      <c r="L10" s="1933">
        <f t="shared" si="0"/>
        <v>10840599</v>
      </c>
      <c r="M10" s="1933">
        <f t="shared" si="0"/>
        <v>11140702</v>
      </c>
      <c r="N10" s="1933">
        <f>+N25</f>
        <v>11529214</v>
      </c>
      <c r="O10" s="1933">
        <f t="shared" si="0"/>
        <v>11965896</v>
      </c>
      <c r="P10" s="1933">
        <f t="shared" si="0"/>
        <v>12346082.750905201</v>
      </c>
      <c r="Q10" s="1933">
        <f t="shared" si="0"/>
        <v>12790363.5485142</v>
      </c>
      <c r="R10" s="1933">
        <f t="shared" si="0"/>
        <v>13060958.2207803</v>
      </c>
      <c r="S10" s="1933">
        <f t="shared" si="0"/>
        <v>13207785.9578819</v>
      </c>
      <c r="T10" s="1933">
        <f>+T25</f>
        <v>13665517.840620499</v>
      </c>
      <c r="U10" s="1933">
        <f t="shared" si="0"/>
        <v>14105636.4483844</v>
      </c>
      <c r="V10" s="1933">
        <f t="shared" si="0"/>
        <v>14591740.6842364</v>
      </c>
      <c r="W10" s="1919"/>
      <c r="X10" s="1919"/>
      <c r="Y10" s="1919"/>
      <c r="Z10" s="1919"/>
      <c r="AA10" s="1919"/>
      <c r="AB10" s="1919"/>
      <c r="AC10" s="1919"/>
      <c r="AD10" s="1919"/>
      <c r="AE10" s="1919"/>
      <c r="AF10" s="1919"/>
      <c r="AG10" s="1919"/>
      <c r="AH10" s="1919"/>
      <c r="AI10" s="1919"/>
      <c r="AJ10" s="1919"/>
      <c r="AK10" s="1919"/>
      <c r="AL10" s="1919"/>
      <c r="AM10" s="1919"/>
      <c r="AN10" s="1919"/>
      <c r="AO10" s="1919"/>
      <c r="AP10" s="1919"/>
      <c r="AQ10" s="1919"/>
      <c r="AR10" s="1919"/>
    </row>
    <row r="11" spans="1:200" s="1940" customFormat="1" x14ac:dyDescent="0.35">
      <c r="A11" s="1934"/>
      <c r="B11" s="1935"/>
      <c r="C11" s="1936"/>
      <c r="D11" s="1937" t="s">
        <v>97</v>
      </c>
      <c r="E11" s="1938">
        <f>+(E10/E9)*100</f>
        <v>76.588859558616633</v>
      </c>
      <c r="F11" s="1938">
        <f t="shared" ref="F11:U11" si="1">+(F10/F9)*100</f>
        <v>78.177960906464307</v>
      </c>
      <c r="G11" s="1938">
        <f t="shared" si="1"/>
        <v>80.472343795774975</v>
      </c>
      <c r="H11" s="1938">
        <f t="shared" si="1"/>
        <v>80.719621540971474</v>
      </c>
      <c r="I11" s="1938">
        <f t="shared" si="1"/>
        <v>80.399935801176397</v>
      </c>
      <c r="J11" s="1938">
        <f>+(J10/J9)*100</f>
        <v>81.717183905342793</v>
      </c>
      <c r="K11" s="1938">
        <f t="shared" si="1"/>
        <v>81.492423329382262</v>
      </c>
      <c r="L11" s="1938">
        <f t="shared" si="1"/>
        <v>82.573674651495892</v>
      </c>
      <c r="M11" s="1938">
        <f t="shared" si="1"/>
        <v>82.795662404940558</v>
      </c>
      <c r="N11" s="1938">
        <f t="shared" si="1"/>
        <v>83.561256823788966</v>
      </c>
      <c r="O11" s="1938">
        <f t="shared" si="1"/>
        <v>84.554262459390145</v>
      </c>
      <c r="P11" s="1938">
        <f>+(P10/P9)*100</f>
        <v>85.021179407226072</v>
      </c>
      <c r="Q11" s="1938">
        <f t="shared" si="1"/>
        <v>85.819865053367508</v>
      </c>
      <c r="R11" s="1938">
        <f>+(R10/R9)*100</f>
        <v>85.324009314792633</v>
      </c>
      <c r="S11" s="1938">
        <f t="shared" si="1"/>
        <v>83.892638027837464</v>
      </c>
      <c r="T11" s="1938">
        <f>+(T10/T9)*100</f>
        <v>84.359698597092418</v>
      </c>
      <c r="U11" s="1938">
        <f t="shared" si="1"/>
        <v>84.612562197132718</v>
      </c>
      <c r="V11" s="1938">
        <v>85</v>
      </c>
      <c r="W11" s="1939"/>
      <c r="X11" s="1939"/>
      <c r="Y11" s="1939"/>
      <c r="Z11" s="1939"/>
      <c r="AA11" s="1939"/>
      <c r="AB11" s="1939"/>
      <c r="AC11" s="1939"/>
      <c r="AD11" s="1939"/>
      <c r="AE11" s="1939"/>
      <c r="AF11" s="1939"/>
      <c r="AG11" s="1939"/>
      <c r="AH11" s="1939"/>
      <c r="AI11" s="1939"/>
      <c r="AJ11" s="1939"/>
      <c r="AK11" s="1939"/>
      <c r="AL11" s="1939"/>
      <c r="AM11" s="1939"/>
      <c r="AN11" s="1939"/>
      <c r="AO11" s="1939"/>
      <c r="AP11" s="1939"/>
      <c r="AQ11" s="1939"/>
      <c r="AR11" s="1939"/>
    </row>
    <row r="12" spans="1:200" s="1947" customFormat="1" ht="22" customHeight="1" x14ac:dyDescent="0.35">
      <c r="A12" s="1941"/>
      <c r="B12" s="1942"/>
      <c r="C12" s="1943"/>
      <c r="D12" s="1944" t="s">
        <v>713</v>
      </c>
      <c r="E12" s="1945">
        <v>2475032</v>
      </c>
      <c r="F12" s="1945">
        <v>2367357</v>
      </c>
      <c r="G12" s="1945">
        <v>2181302</v>
      </c>
      <c r="H12" s="1945">
        <v>2238815</v>
      </c>
      <c r="I12" s="1945">
        <v>2327557</v>
      </c>
      <c r="J12" s="1945">
        <v>2240968</v>
      </c>
      <c r="K12" s="1945">
        <v>2320584</v>
      </c>
      <c r="L12" s="1945">
        <v>2312342</v>
      </c>
      <c r="M12" s="1945">
        <v>2345038</v>
      </c>
      <c r="N12" s="1945">
        <v>2309659</v>
      </c>
      <c r="O12" s="1945">
        <v>2130819</v>
      </c>
      <c r="P12" s="1945">
        <v>2207027</v>
      </c>
      <c r="Q12" s="1945">
        <v>2175139</v>
      </c>
      <c r="R12" s="1945">
        <f>R9-R10</f>
        <v>2246524.7792197</v>
      </c>
      <c r="S12" s="1945">
        <f>S9-S10</f>
        <v>2535891.0421181004</v>
      </c>
      <c r="T12" s="1945">
        <f>T9-T10</f>
        <v>2533589.1593795009</v>
      </c>
      <c r="U12" s="1945">
        <f>U9-U10</f>
        <v>2565217.2429630999</v>
      </c>
      <c r="V12" s="1945">
        <f>V9-V10</f>
        <v>2571242.5790802017</v>
      </c>
      <c r="W12" s="1946"/>
      <c r="X12" s="1946"/>
      <c r="Y12" s="1946"/>
      <c r="Z12" s="1946"/>
      <c r="AA12" s="1946"/>
      <c r="AB12" s="1946"/>
      <c r="AC12" s="1946"/>
      <c r="AD12" s="1946"/>
      <c r="AE12" s="1946"/>
      <c r="AF12" s="1946"/>
      <c r="AG12" s="1946"/>
      <c r="AH12" s="1946"/>
      <c r="AI12" s="1946"/>
      <c r="AJ12" s="1946"/>
      <c r="AK12" s="1946"/>
      <c r="AL12" s="1946"/>
      <c r="AM12" s="1946"/>
      <c r="AN12" s="1946"/>
      <c r="AO12" s="1946"/>
      <c r="AP12" s="1946"/>
      <c r="AQ12" s="1946"/>
      <c r="AR12" s="1946"/>
    </row>
    <row r="13" spans="1:200" s="1920" customFormat="1" x14ac:dyDescent="0.35">
      <c r="A13" s="1255"/>
      <c r="B13" s="1928"/>
      <c r="C13" s="1929"/>
      <c r="D13" s="1930"/>
      <c r="E13" s="1948"/>
      <c r="F13" s="1592"/>
      <c r="G13" s="1592"/>
      <c r="H13" s="1592"/>
      <c r="I13" s="1592"/>
      <c r="J13" s="1592"/>
      <c r="K13" s="1592"/>
      <c r="L13" s="1282"/>
      <c r="M13" s="1282"/>
      <c r="N13" s="1282"/>
      <c r="O13" s="1282"/>
      <c r="P13" s="1282"/>
      <c r="Q13" s="1282"/>
      <c r="R13" s="1282"/>
      <c r="S13" s="1282"/>
      <c r="T13" s="1283"/>
      <c r="U13" s="1949"/>
      <c r="V13" s="1949"/>
      <c r="W13" s="1919"/>
      <c r="X13" s="1919"/>
      <c r="Y13" s="1919"/>
      <c r="Z13" s="1919"/>
      <c r="AA13" s="1919"/>
      <c r="AB13" s="1919"/>
      <c r="AC13" s="1919"/>
      <c r="AD13" s="1919"/>
      <c r="AE13" s="1919"/>
      <c r="AF13" s="1919"/>
      <c r="AG13" s="1919"/>
      <c r="AH13" s="1919"/>
      <c r="AI13" s="1919"/>
      <c r="AJ13" s="1919"/>
      <c r="AK13" s="1919"/>
      <c r="AL13" s="1919"/>
      <c r="AM13" s="1919"/>
      <c r="AN13" s="1919"/>
      <c r="AO13" s="1919"/>
      <c r="AP13" s="1919"/>
      <c r="AQ13" s="1919"/>
      <c r="AR13" s="1919"/>
      <c r="AS13" s="1919"/>
      <c r="AT13" s="1919"/>
      <c r="AU13" s="1919"/>
      <c r="AV13" s="1919"/>
      <c r="AW13" s="1919"/>
    </row>
    <row r="14" spans="1:200" s="326" customFormat="1" ht="14" x14ac:dyDescent="0.3">
      <c r="A14" s="1950"/>
      <c r="B14" s="1951"/>
      <c r="D14" s="89" t="s">
        <v>35</v>
      </c>
      <c r="E14" s="89" t="s">
        <v>714</v>
      </c>
      <c r="F14" s="89"/>
      <c r="G14" s="89"/>
      <c r="H14" s="89"/>
      <c r="I14" s="1886"/>
      <c r="J14" s="1886"/>
      <c r="K14" s="1952"/>
      <c r="L14" s="1952"/>
      <c r="M14" s="1952"/>
      <c r="N14" s="1952"/>
      <c r="O14" s="1952"/>
      <c r="P14" s="1952"/>
      <c r="Q14" s="1952"/>
      <c r="R14" s="1953"/>
      <c r="S14" s="1953"/>
      <c r="T14" s="1914"/>
      <c r="U14" s="1914"/>
      <c r="V14" s="1914"/>
      <c r="W14" s="1881"/>
      <c r="X14" s="1881"/>
      <c r="Y14" s="1881"/>
      <c r="Z14" s="1881"/>
      <c r="AA14" s="1881"/>
      <c r="AB14" s="1881"/>
      <c r="AC14" s="1881"/>
      <c r="AD14" s="1881"/>
      <c r="AE14" s="1881"/>
      <c r="AF14" s="1881"/>
      <c r="AG14" s="1881"/>
      <c r="AH14" s="1881"/>
      <c r="AI14" s="1881"/>
      <c r="AJ14" s="1881"/>
      <c r="AK14" s="1881"/>
      <c r="AL14" s="1881"/>
      <c r="AM14" s="1881"/>
      <c r="AN14" s="1881"/>
      <c r="AO14" s="1881"/>
      <c r="AP14" s="1881"/>
      <c r="AQ14" s="1881"/>
      <c r="AR14" s="1881"/>
      <c r="AS14" s="1881"/>
      <c r="AT14" s="1881"/>
      <c r="AU14" s="1881"/>
      <c r="AV14" s="1881"/>
      <c r="AW14" s="1881"/>
    </row>
    <row r="15" spans="1:200" s="1873" customFormat="1" ht="14" x14ac:dyDescent="0.3">
      <c r="A15" s="1867"/>
      <c r="B15" s="1882"/>
      <c r="C15" s="1882"/>
      <c r="D15" s="587"/>
      <c r="E15" s="1913">
        <v>2002</v>
      </c>
      <c r="F15" s="1913">
        <v>2003</v>
      </c>
      <c r="G15" s="1913">
        <v>2004</v>
      </c>
      <c r="H15" s="1913">
        <v>2005</v>
      </c>
      <c r="I15" s="1913">
        <v>2006</v>
      </c>
      <c r="J15" s="1913">
        <v>2007</v>
      </c>
      <c r="K15" s="1913">
        <v>2008</v>
      </c>
      <c r="L15" s="1913">
        <v>2009</v>
      </c>
      <c r="M15" s="1913">
        <v>2010</v>
      </c>
      <c r="N15" s="1913">
        <v>2011</v>
      </c>
      <c r="O15" s="1913">
        <v>2012</v>
      </c>
      <c r="P15" s="1913">
        <v>2013</v>
      </c>
      <c r="Q15" s="1913">
        <v>2014</v>
      </c>
      <c r="R15" s="1913">
        <v>2015</v>
      </c>
      <c r="S15" s="1913">
        <v>2016</v>
      </c>
      <c r="T15" s="1913">
        <v>2017</v>
      </c>
      <c r="U15" s="1913">
        <v>2018</v>
      </c>
      <c r="V15" s="1913">
        <v>2019</v>
      </c>
      <c r="W15" s="1954"/>
      <c r="X15" s="1874"/>
      <c r="Y15" s="1874"/>
      <c r="Z15" s="1874"/>
      <c r="AA15" s="1874"/>
      <c r="AB15" s="1874"/>
      <c r="AC15" s="1874"/>
      <c r="AD15" s="1874"/>
      <c r="AE15" s="1874"/>
      <c r="AF15" s="1874"/>
      <c r="AG15" s="1874"/>
      <c r="AH15" s="1874"/>
      <c r="BN15" s="1874"/>
      <c r="BO15" s="1874"/>
      <c r="BP15" s="1874"/>
      <c r="BQ15" s="1874"/>
      <c r="BR15" s="1874"/>
      <c r="BS15" s="1874"/>
      <c r="BT15" s="1874"/>
      <c r="BU15" s="1874"/>
      <c r="BV15" s="1874"/>
      <c r="BW15" s="1874"/>
      <c r="BX15" s="1874"/>
      <c r="BY15" s="1874"/>
      <c r="BZ15" s="1874"/>
      <c r="CA15" s="1874"/>
      <c r="CB15" s="1874"/>
      <c r="CC15" s="1874"/>
      <c r="CD15" s="1874"/>
      <c r="CE15" s="1874"/>
      <c r="CF15" s="1874"/>
      <c r="CG15" s="1874"/>
      <c r="CH15" s="1874"/>
      <c r="CI15" s="1874"/>
      <c r="CJ15" s="1874"/>
      <c r="CK15" s="1874"/>
      <c r="CL15" s="1874"/>
      <c r="CM15" s="1874"/>
      <c r="CN15" s="1874"/>
      <c r="CO15" s="1874"/>
      <c r="CP15" s="1874"/>
      <c r="CQ15" s="1874"/>
      <c r="CR15" s="1874"/>
      <c r="CS15" s="1874"/>
      <c r="CT15" s="1874"/>
      <c r="CU15" s="1874"/>
      <c r="CV15" s="1874"/>
      <c r="CW15" s="1874"/>
      <c r="CX15" s="1874"/>
      <c r="CY15" s="1874"/>
      <c r="CZ15" s="1874"/>
      <c r="DA15" s="1874"/>
      <c r="DB15" s="1874"/>
      <c r="DC15" s="1874"/>
      <c r="DD15" s="1874"/>
      <c r="DE15" s="1874"/>
      <c r="DF15" s="1874"/>
      <c r="DG15" s="1874"/>
      <c r="DH15" s="1874"/>
      <c r="DI15" s="1874"/>
      <c r="DJ15" s="1874"/>
      <c r="DK15" s="1874"/>
      <c r="DL15" s="1874"/>
      <c r="DM15" s="1874"/>
      <c r="DN15" s="1874"/>
      <c r="DO15" s="1874"/>
      <c r="DP15" s="1874"/>
      <c r="DQ15" s="1874"/>
      <c r="DR15" s="1874"/>
      <c r="DS15" s="1874"/>
      <c r="DT15" s="1874"/>
      <c r="DU15" s="1874"/>
      <c r="DV15" s="1874"/>
      <c r="DW15" s="1874"/>
      <c r="DX15" s="1874"/>
      <c r="DY15" s="1874"/>
      <c r="DZ15" s="1874"/>
      <c r="EA15" s="1874"/>
      <c r="EB15" s="1874"/>
      <c r="EC15" s="1874"/>
      <c r="ED15" s="1874"/>
      <c r="EE15" s="1874"/>
      <c r="EF15" s="1874"/>
      <c r="EG15" s="1874"/>
      <c r="EH15" s="1874"/>
      <c r="EI15" s="1874"/>
      <c r="EJ15" s="1874"/>
      <c r="EK15" s="1874"/>
      <c r="EL15" s="1874"/>
      <c r="EM15" s="1874"/>
      <c r="EN15" s="1874"/>
      <c r="EO15" s="1874"/>
      <c r="EP15" s="1874"/>
      <c r="EQ15" s="1874"/>
      <c r="ER15" s="1874"/>
      <c r="ES15" s="1874"/>
      <c r="ET15" s="1874"/>
      <c r="EU15" s="1874"/>
      <c r="EV15" s="1874"/>
      <c r="EW15" s="1874"/>
      <c r="EX15" s="1874"/>
      <c r="EY15" s="1874"/>
      <c r="EZ15" s="1874"/>
      <c r="FA15" s="1874"/>
      <c r="FB15" s="1874"/>
      <c r="FC15" s="1874"/>
      <c r="FD15" s="1874"/>
      <c r="FE15" s="1874"/>
      <c r="FF15" s="1874"/>
      <c r="FG15" s="1874"/>
      <c r="FH15" s="1874"/>
      <c r="FI15" s="1874"/>
      <c r="FJ15" s="1874"/>
      <c r="FK15" s="1874"/>
      <c r="FL15" s="1874"/>
      <c r="FM15" s="1874"/>
      <c r="FN15" s="1874"/>
      <c r="FO15" s="1874"/>
      <c r="FP15" s="1874"/>
      <c r="FQ15" s="1874"/>
      <c r="FR15" s="1874"/>
      <c r="FS15" s="1874"/>
      <c r="FT15" s="1874"/>
      <c r="FU15" s="1874"/>
      <c r="FV15" s="1874"/>
      <c r="FW15" s="1874"/>
      <c r="FX15" s="1874"/>
      <c r="FY15" s="1874"/>
      <c r="FZ15" s="1874"/>
      <c r="GA15" s="1874"/>
      <c r="GB15" s="1874"/>
      <c r="GC15" s="1874"/>
      <c r="GD15" s="1874"/>
      <c r="GE15" s="1874"/>
      <c r="GF15" s="1874"/>
      <c r="GG15" s="1874"/>
      <c r="GH15" s="1874"/>
      <c r="GI15" s="1874"/>
      <c r="GJ15" s="1874"/>
      <c r="GK15" s="1874"/>
      <c r="GL15" s="1874"/>
      <c r="GM15" s="1874"/>
      <c r="GN15" s="1874"/>
      <c r="GO15" s="1874"/>
      <c r="GP15" s="1874"/>
      <c r="GQ15" s="1874"/>
      <c r="GR15" s="1874"/>
    </row>
    <row r="16" spans="1:200" s="1881" customFormat="1" ht="10.5" x14ac:dyDescent="0.2">
      <c r="A16" s="1955"/>
      <c r="B16" s="1956"/>
      <c r="D16" s="1957" t="s">
        <v>402</v>
      </c>
      <c r="E16" s="1854">
        <v>832673</v>
      </c>
      <c r="F16" s="1854">
        <v>875839</v>
      </c>
      <c r="G16" s="1854">
        <v>920164</v>
      </c>
      <c r="H16" s="1854">
        <v>1038615</v>
      </c>
      <c r="I16" s="1854">
        <v>1061005</v>
      </c>
      <c r="J16" s="1854">
        <v>1076766</v>
      </c>
      <c r="K16" s="1854">
        <v>1037351</v>
      </c>
      <c r="L16" s="1854">
        <v>1090430</v>
      </c>
      <c r="M16" s="1854">
        <v>1147575</v>
      </c>
      <c r="N16" s="1854">
        <v>1210971</v>
      </c>
      <c r="O16" s="1854">
        <v>1279017</v>
      </c>
      <c r="P16" s="1854">
        <v>1313505.2654354</v>
      </c>
      <c r="Q16" s="1854">
        <v>1358549.666671</v>
      </c>
      <c r="R16" s="1854">
        <v>1352519.8441322001</v>
      </c>
      <c r="S16" s="1854">
        <v>1379681.9984200001</v>
      </c>
      <c r="T16" s="1854">
        <v>1423278.3083621</v>
      </c>
      <c r="U16" s="1854">
        <v>1471411.0926951</v>
      </c>
      <c r="V16" s="1854">
        <v>1519680.1881482999</v>
      </c>
      <c r="W16" s="4581"/>
      <c r="X16" s="1958"/>
    </row>
    <row r="17" spans="1:55" s="1960" customFormat="1" ht="10.5" x14ac:dyDescent="0.2">
      <c r="A17" s="1959"/>
      <c r="D17" s="1957" t="s">
        <v>404</v>
      </c>
      <c r="E17" s="1858">
        <v>577999</v>
      </c>
      <c r="F17" s="1858">
        <v>581827</v>
      </c>
      <c r="G17" s="1858">
        <v>618258</v>
      </c>
      <c r="H17" s="1858">
        <v>632661</v>
      </c>
      <c r="I17" s="1858">
        <v>638510</v>
      </c>
      <c r="J17" s="1858">
        <v>646002</v>
      </c>
      <c r="K17" s="1858">
        <v>671154</v>
      </c>
      <c r="L17" s="1858">
        <v>700888</v>
      </c>
      <c r="M17" s="1858">
        <v>718708</v>
      </c>
      <c r="N17" s="1858">
        <v>737823</v>
      </c>
      <c r="O17" s="1858">
        <v>729003</v>
      </c>
      <c r="P17" s="1858">
        <v>745425.53892880003</v>
      </c>
      <c r="Q17" s="1858">
        <v>764039.870123</v>
      </c>
      <c r="R17" s="1858">
        <v>752516.72904809995</v>
      </c>
      <c r="S17" s="1858">
        <v>761766.51619620004</v>
      </c>
      <c r="T17" s="1858">
        <v>797260.49376410001</v>
      </c>
      <c r="U17" s="1858">
        <v>822442.88647679996</v>
      </c>
      <c r="V17" s="1858">
        <v>843243.22482879995</v>
      </c>
      <c r="W17" s="4581"/>
      <c r="X17" s="1958"/>
    </row>
    <row r="18" spans="1:55" s="1960" customFormat="1" ht="10.5" x14ac:dyDescent="0.2">
      <c r="A18" s="1959"/>
      <c r="D18" s="1957" t="s">
        <v>407</v>
      </c>
      <c r="E18" s="1858">
        <v>2421066</v>
      </c>
      <c r="F18" s="1858">
        <v>2511260</v>
      </c>
      <c r="G18" s="1858">
        <v>2626604</v>
      </c>
      <c r="H18" s="1858">
        <v>2573635</v>
      </c>
      <c r="I18" s="1858">
        <v>2516475</v>
      </c>
      <c r="J18" s="1858">
        <v>2643983</v>
      </c>
      <c r="K18" s="1858">
        <v>2956238</v>
      </c>
      <c r="L18" s="1858">
        <v>3039693</v>
      </c>
      <c r="M18" s="1858">
        <v>3053807</v>
      </c>
      <c r="N18" s="1858">
        <v>3108361</v>
      </c>
      <c r="O18" s="1858">
        <v>3285055</v>
      </c>
      <c r="P18" s="1858">
        <v>3378843.1952487002</v>
      </c>
      <c r="Q18" s="1858">
        <v>3513365.9764020001</v>
      </c>
      <c r="R18" s="1858">
        <v>3612528.8566922001</v>
      </c>
      <c r="S18" s="1858">
        <v>3615206.9271681001</v>
      </c>
      <c r="T18" s="1858">
        <v>3763822.1735204002</v>
      </c>
      <c r="U18" s="1858">
        <v>3784616.0679108002</v>
      </c>
      <c r="V18" s="1858">
        <v>3883217.7778451</v>
      </c>
      <c r="W18" s="4581"/>
      <c r="X18" s="1958"/>
    </row>
    <row r="19" spans="1:55" s="1960" customFormat="1" ht="10.5" x14ac:dyDescent="0.2">
      <c r="A19" s="1959"/>
      <c r="D19" s="1957" t="s">
        <v>405</v>
      </c>
      <c r="E19" s="1858">
        <v>1416175</v>
      </c>
      <c r="F19" s="1858">
        <v>1473421</v>
      </c>
      <c r="G19" s="1858">
        <v>1554380</v>
      </c>
      <c r="H19" s="1858">
        <v>1572564</v>
      </c>
      <c r="I19" s="1858">
        <v>1642220</v>
      </c>
      <c r="J19" s="1858">
        <v>1695530</v>
      </c>
      <c r="K19" s="1858">
        <v>1675984</v>
      </c>
      <c r="L19" s="1858">
        <v>1778099</v>
      </c>
      <c r="M19" s="1858">
        <v>1837376</v>
      </c>
      <c r="N19" s="1858">
        <v>1908822</v>
      </c>
      <c r="O19" s="1858">
        <v>1968188</v>
      </c>
      <c r="P19" s="1858">
        <v>2041701.6211614001</v>
      </c>
      <c r="Q19" s="1858">
        <v>2150130.7483390002</v>
      </c>
      <c r="R19" s="1858">
        <v>2197870.6589211999</v>
      </c>
      <c r="S19" s="1858">
        <v>2240597.5487297</v>
      </c>
      <c r="T19" s="1858">
        <v>2343663.2160719</v>
      </c>
      <c r="U19" s="1858">
        <v>2425342.7003019</v>
      </c>
      <c r="V19" s="1858">
        <v>2587601.4066980002</v>
      </c>
      <c r="W19" s="4581"/>
      <c r="X19" s="1958"/>
    </row>
    <row r="20" spans="1:55" s="1960" customFormat="1" ht="10.5" x14ac:dyDescent="0.2">
      <c r="A20" s="1959"/>
      <c r="D20" s="1957" t="s">
        <v>409</v>
      </c>
      <c r="E20" s="1858">
        <v>813729</v>
      </c>
      <c r="F20" s="1858">
        <v>861324</v>
      </c>
      <c r="G20" s="1858">
        <v>895812</v>
      </c>
      <c r="H20" s="1858">
        <v>976706</v>
      </c>
      <c r="I20" s="1858">
        <v>997753</v>
      </c>
      <c r="J20" s="1858">
        <v>1054471</v>
      </c>
      <c r="K20" s="1858">
        <v>1016381</v>
      </c>
      <c r="L20" s="1858">
        <v>1071621</v>
      </c>
      <c r="M20" s="1858">
        <v>1140476</v>
      </c>
      <c r="N20" s="1858">
        <v>1204418</v>
      </c>
      <c r="O20" s="1858">
        <v>1213831</v>
      </c>
      <c r="P20" s="1858">
        <v>1252895.5193753</v>
      </c>
      <c r="Q20" s="1858">
        <v>1309829.0106176999</v>
      </c>
      <c r="R20" s="1858">
        <v>1354012.6927759</v>
      </c>
      <c r="S20" s="1858">
        <v>1404844.6489568001</v>
      </c>
      <c r="T20" s="1858">
        <v>1396077.9339513001</v>
      </c>
      <c r="U20" s="1858">
        <v>1461447.8922426</v>
      </c>
      <c r="V20" s="1858">
        <v>1513080.8622791001</v>
      </c>
      <c r="W20" s="4581"/>
      <c r="X20" s="1958"/>
    </row>
    <row r="21" spans="1:55" s="1960" customFormat="1" ht="10.5" x14ac:dyDescent="0.2">
      <c r="A21" s="1959"/>
      <c r="D21" s="1957" t="s">
        <v>408</v>
      </c>
      <c r="E21" s="1858">
        <v>609389</v>
      </c>
      <c r="F21" s="1858">
        <v>669007</v>
      </c>
      <c r="G21" s="1858">
        <v>711170</v>
      </c>
      <c r="H21" s="1858">
        <v>715143</v>
      </c>
      <c r="I21" s="1858">
        <v>749462</v>
      </c>
      <c r="J21" s="1858">
        <v>791141</v>
      </c>
      <c r="K21" s="1858">
        <v>782593</v>
      </c>
      <c r="L21" s="1858">
        <v>841766</v>
      </c>
      <c r="M21" s="1858">
        <v>882575</v>
      </c>
      <c r="N21" s="1858">
        <v>914516</v>
      </c>
      <c r="O21" s="1858">
        <v>935300</v>
      </c>
      <c r="P21" s="1858">
        <v>984232.91390120005</v>
      </c>
      <c r="Q21" s="1858">
        <v>1023251.4837301</v>
      </c>
      <c r="R21" s="1858">
        <v>1029363.276061</v>
      </c>
      <c r="S21" s="1858">
        <v>1052631.1160625</v>
      </c>
      <c r="T21" s="1858">
        <v>1107590.5139631999</v>
      </c>
      <c r="U21" s="1858">
        <v>1168101.2150932001</v>
      </c>
      <c r="V21" s="1858">
        <v>1199546.7039546</v>
      </c>
      <c r="W21" s="4581"/>
      <c r="X21" s="1958"/>
    </row>
    <row r="22" spans="1:55" s="1960" customFormat="1" ht="10.5" x14ac:dyDescent="0.2">
      <c r="A22" s="1959"/>
      <c r="D22" s="1957" t="s">
        <v>406</v>
      </c>
      <c r="E22" s="1858">
        <v>626120</v>
      </c>
      <c r="F22" s="1858">
        <v>670168</v>
      </c>
      <c r="G22" s="1858">
        <v>721514</v>
      </c>
      <c r="H22" s="1858">
        <v>708947</v>
      </c>
      <c r="I22" s="1858">
        <v>735402</v>
      </c>
      <c r="J22" s="1858">
        <v>750069</v>
      </c>
      <c r="K22" s="1858">
        <v>731112</v>
      </c>
      <c r="L22" s="1858">
        <v>754204</v>
      </c>
      <c r="M22" s="1858">
        <v>800520</v>
      </c>
      <c r="N22" s="1858">
        <v>847542</v>
      </c>
      <c r="O22" s="1858">
        <v>854602</v>
      </c>
      <c r="P22" s="1858">
        <v>916639.915316</v>
      </c>
      <c r="Q22" s="1858">
        <v>936354.38917830004</v>
      </c>
      <c r="R22" s="1858">
        <v>925072.90178129997</v>
      </c>
      <c r="S22" s="1858">
        <v>921569.98324820003</v>
      </c>
      <c r="T22" s="1858">
        <v>948149.25470100006</v>
      </c>
      <c r="U22" s="1858">
        <v>1012407.2840191</v>
      </c>
      <c r="V22" s="1858">
        <v>1017818.4206915</v>
      </c>
      <c r="W22" s="4581"/>
      <c r="X22" s="1958"/>
    </row>
    <row r="23" spans="1:55" s="1960" customFormat="1" ht="10.5" x14ac:dyDescent="0.2">
      <c r="A23" s="1959"/>
      <c r="D23" s="1957" t="s">
        <v>403</v>
      </c>
      <c r="E23" s="1858">
        <v>201731</v>
      </c>
      <c r="F23" s="1858">
        <v>199855</v>
      </c>
      <c r="G23" s="1858">
        <v>213136</v>
      </c>
      <c r="H23" s="1858">
        <v>231566</v>
      </c>
      <c r="I23" s="1858">
        <v>233085</v>
      </c>
      <c r="J23" s="1858">
        <v>240678</v>
      </c>
      <c r="K23" s="1858">
        <v>241910</v>
      </c>
      <c r="L23" s="1858">
        <v>252872</v>
      </c>
      <c r="M23" s="1858">
        <v>254132</v>
      </c>
      <c r="N23" s="1858">
        <v>267379</v>
      </c>
      <c r="O23" s="1858">
        <v>273702</v>
      </c>
      <c r="P23" s="1858">
        <v>273014.2789955</v>
      </c>
      <c r="Q23" s="1858">
        <v>281322.4945042</v>
      </c>
      <c r="R23" s="1858">
        <v>293971.73916489998</v>
      </c>
      <c r="S23" s="1858">
        <v>298848.15972639999</v>
      </c>
      <c r="T23" s="1858">
        <v>306715.95985460002</v>
      </c>
      <c r="U23" s="1858">
        <v>313262.07010690001</v>
      </c>
      <c r="V23" s="1858">
        <v>318622.26620160002</v>
      </c>
      <c r="W23" s="4581"/>
      <c r="X23" s="1958"/>
    </row>
    <row r="24" spans="1:55" s="1960" customFormat="1" ht="10.5" x14ac:dyDescent="0.2">
      <c r="A24" s="1959"/>
      <c r="B24" s="1956"/>
      <c r="D24" s="1957" t="s">
        <v>401</v>
      </c>
      <c r="E24" s="1858">
        <v>1074743</v>
      </c>
      <c r="F24" s="1858">
        <v>1115975</v>
      </c>
      <c r="G24" s="1858">
        <v>1168976</v>
      </c>
      <c r="H24" s="1858">
        <v>1217944</v>
      </c>
      <c r="I24" s="1858">
        <v>1269626</v>
      </c>
      <c r="J24" s="1858">
        <v>1334386</v>
      </c>
      <c r="K24" s="1858">
        <v>1334023</v>
      </c>
      <c r="L24" s="1858">
        <v>1311026</v>
      </c>
      <c r="M24" s="1858">
        <v>1305533</v>
      </c>
      <c r="N24" s="1858">
        <v>1329382</v>
      </c>
      <c r="O24" s="1858">
        <v>1427200</v>
      </c>
      <c r="P24" s="1858">
        <v>1439824.5025426</v>
      </c>
      <c r="Q24" s="1858">
        <v>1453519.9089492999</v>
      </c>
      <c r="R24" s="1858">
        <v>1543101.5222032</v>
      </c>
      <c r="S24" s="1858">
        <v>1532639.0593735001</v>
      </c>
      <c r="T24" s="1858">
        <v>1578959.9864318999</v>
      </c>
      <c r="U24" s="1858">
        <v>1646605.2395384</v>
      </c>
      <c r="V24" s="1858">
        <v>1708929.8335899001</v>
      </c>
      <c r="W24" s="4581"/>
      <c r="X24" s="1958"/>
    </row>
    <row r="25" spans="1:55" s="1920" customFormat="1" x14ac:dyDescent="0.35">
      <c r="A25" s="1255"/>
      <c r="B25" s="1928"/>
      <c r="D25" s="1961" t="s">
        <v>306</v>
      </c>
      <c r="E25" s="1894">
        <v>8573625</v>
      </c>
      <c r="F25" s="1894">
        <v>8958676</v>
      </c>
      <c r="G25" s="1894">
        <v>9430014</v>
      </c>
      <c r="H25" s="1894">
        <v>9667781</v>
      </c>
      <c r="I25" s="1894">
        <v>9843537</v>
      </c>
      <c r="J25" s="1894">
        <v>10233027</v>
      </c>
      <c r="K25" s="1894">
        <v>10446746</v>
      </c>
      <c r="L25" s="1894">
        <v>10840599</v>
      </c>
      <c r="M25" s="1894">
        <v>11140702</v>
      </c>
      <c r="N25" s="1894">
        <v>11529214</v>
      </c>
      <c r="O25" s="1894">
        <v>11965896</v>
      </c>
      <c r="P25" s="1894">
        <v>12346082.750905201</v>
      </c>
      <c r="Q25" s="1894">
        <v>12790363.5485142</v>
      </c>
      <c r="R25" s="1894">
        <v>13060958.2207803</v>
      </c>
      <c r="S25" s="1894">
        <v>13207785.9578819</v>
      </c>
      <c r="T25" s="1894">
        <v>13665517.840620499</v>
      </c>
      <c r="U25" s="1894">
        <v>14105636.4483844</v>
      </c>
      <c r="V25" s="1894">
        <v>14591740.6842364</v>
      </c>
      <c r="W25" s="1919"/>
      <c r="X25" s="1919"/>
      <c r="Y25" s="1919"/>
      <c r="Z25" s="1919"/>
      <c r="AA25" s="1919"/>
      <c r="AB25" s="1919"/>
      <c r="AC25" s="1919"/>
      <c r="AD25" s="1919"/>
      <c r="AE25" s="1919"/>
      <c r="AF25" s="1919"/>
      <c r="AG25" s="1919"/>
      <c r="AH25" s="1919"/>
      <c r="AI25" s="1919"/>
      <c r="AJ25" s="1919"/>
      <c r="AK25" s="1919"/>
      <c r="AL25" s="1919"/>
      <c r="AM25" s="1919"/>
      <c r="AN25" s="1919"/>
      <c r="AO25" s="1919"/>
      <c r="AP25" s="1919"/>
      <c r="AQ25" s="1919"/>
      <c r="AR25" s="1919"/>
      <c r="AS25" s="1919"/>
      <c r="AT25" s="1919"/>
      <c r="AU25" s="1919"/>
      <c r="AV25" s="1919"/>
      <c r="AW25" s="1919"/>
      <c r="AX25" s="1919"/>
      <c r="AY25" s="1919"/>
      <c r="AZ25" s="1919"/>
      <c r="BA25" s="1919"/>
    </row>
    <row r="26" spans="1:55" s="1920" customFormat="1" x14ac:dyDescent="0.35">
      <c r="A26" s="1255"/>
      <c r="B26" s="1928"/>
      <c r="K26" s="1962"/>
      <c r="O26" s="1962"/>
      <c r="P26" s="1592"/>
      <c r="Q26" s="1592"/>
      <c r="R26" s="1592"/>
      <c r="S26" s="1963"/>
      <c r="T26" s="1963"/>
      <c r="U26" s="1592"/>
      <c r="V26" s="1919"/>
      <c r="W26" s="1919"/>
      <c r="X26" s="1919"/>
      <c r="Y26" s="1919"/>
      <c r="Z26" s="1919"/>
      <c r="AA26" s="1919"/>
      <c r="AB26" s="1919"/>
      <c r="AC26" s="1919"/>
      <c r="AD26" s="1919"/>
      <c r="AE26" s="1919"/>
      <c r="AF26" s="1919"/>
      <c r="AG26" s="1919"/>
      <c r="AH26" s="1919"/>
      <c r="AI26" s="1919"/>
      <c r="AJ26" s="1919"/>
      <c r="AK26" s="1919"/>
      <c r="AL26" s="1919"/>
      <c r="AM26" s="1919"/>
      <c r="AN26" s="1919"/>
      <c r="AO26" s="1919"/>
      <c r="AP26" s="1919"/>
      <c r="AQ26" s="1919"/>
      <c r="AR26" s="1919"/>
      <c r="AS26" s="1919"/>
      <c r="AT26" s="1919"/>
      <c r="AU26" s="1919"/>
      <c r="AV26" s="1919"/>
      <c r="AW26" s="1919"/>
      <c r="AX26" s="1919"/>
      <c r="AY26" s="1919"/>
      <c r="AZ26" s="1919"/>
      <c r="BA26" s="1919"/>
    </row>
    <row r="27" spans="1:55" s="1920" customFormat="1" x14ac:dyDescent="0.35">
      <c r="A27" s="1255"/>
      <c r="B27" s="1928"/>
      <c r="D27" s="89" t="s">
        <v>234</v>
      </c>
      <c r="E27" s="89" t="s">
        <v>715</v>
      </c>
      <c r="F27" s="89"/>
      <c r="G27" s="89"/>
      <c r="H27" s="89"/>
      <c r="I27" s="1896"/>
      <c r="J27" s="1896"/>
      <c r="K27" s="1898"/>
      <c r="L27" s="1898"/>
      <c r="M27" s="1898"/>
      <c r="N27" s="1898"/>
      <c r="O27" s="1898"/>
      <c r="P27" s="1898"/>
      <c r="Q27" s="1898"/>
      <c r="R27" s="1899"/>
      <c r="S27" s="1899"/>
      <c r="T27" s="1899"/>
      <c r="U27" s="1874"/>
      <c r="V27" s="1919"/>
      <c r="W27" s="1919"/>
      <c r="X27" s="1919"/>
      <c r="Y27" s="1919"/>
      <c r="Z27" s="1919"/>
      <c r="AA27" s="1919"/>
      <c r="AB27" s="1919"/>
      <c r="AC27" s="1919"/>
      <c r="AD27" s="1919"/>
      <c r="AE27" s="1919"/>
      <c r="AF27" s="1919"/>
      <c r="AG27" s="1919"/>
      <c r="AH27" s="1919"/>
      <c r="AI27" s="1919"/>
      <c r="AJ27" s="1919"/>
      <c r="AK27" s="1919"/>
      <c r="AL27" s="1919"/>
      <c r="AM27" s="1919"/>
      <c r="AN27" s="1919"/>
      <c r="AO27" s="1919"/>
      <c r="AP27" s="1919"/>
      <c r="AQ27" s="1919"/>
      <c r="AR27" s="1919"/>
      <c r="AS27" s="1919"/>
      <c r="AT27" s="1919"/>
      <c r="AU27" s="1919"/>
      <c r="AV27" s="1919"/>
      <c r="AW27" s="1919"/>
      <c r="AX27" s="1919"/>
      <c r="AY27" s="1919"/>
      <c r="AZ27" s="1919"/>
      <c r="BA27" s="1919"/>
    </row>
    <row r="28" spans="1:55" s="1920" customFormat="1" x14ac:dyDescent="0.35">
      <c r="A28" s="1255"/>
      <c r="B28" s="1928"/>
      <c r="D28" s="1964"/>
      <c r="E28" s="1965" t="s">
        <v>111</v>
      </c>
      <c r="F28" s="1966" t="s">
        <v>112</v>
      </c>
      <c r="G28" s="1966" t="s">
        <v>113</v>
      </c>
      <c r="H28" s="1966" t="s">
        <v>114</v>
      </c>
      <c r="I28" s="1966" t="s">
        <v>115</v>
      </c>
      <c r="J28" s="1967" t="s">
        <v>116</v>
      </c>
      <c r="K28" s="1966" t="s">
        <v>117</v>
      </c>
      <c r="L28" s="1966" t="s">
        <v>118</v>
      </c>
      <c r="M28" s="1966" t="s">
        <v>119</v>
      </c>
      <c r="N28" s="1967" t="s">
        <v>120</v>
      </c>
      <c r="O28" s="1968" t="s">
        <v>121</v>
      </c>
      <c r="P28" s="1968" t="s">
        <v>122</v>
      </c>
      <c r="Q28" s="1968" t="s">
        <v>123</v>
      </c>
      <c r="R28" s="1968" t="s">
        <v>124</v>
      </c>
      <c r="S28" s="1968" t="s">
        <v>125</v>
      </c>
      <c r="T28" s="1969" t="s">
        <v>126</v>
      </c>
      <c r="U28" s="1969" t="s">
        <v>302</v>
      </c>
      <c r="V28" s="1970"/>
      <c r="W28" s="1919"/>
      <c r="X28" s="1919"/>
      <c r="Y28" s="1919"/>
      <c r="Z28" s="1919"/>
      <c r="AA28" s="1919"/>
      <c r="AB28" s="1919"/>
      <c r="AC28" s="1919"/>
      <c r="AD28" s="1919"/>
      <c r="AE28" s="1919"/>
      <c r="AF28" s="1919"/>
      <c r="AG28" s="1919"/>
      <c r="AH28" s="1919"/>
      <c r="AI28" s="1919"/>
      <c r="AJ28" s="1919"/>
      <c r="AK28" s="1919"/>
      <c r="AL28" s="1919"/>
      <c r="AM28" s="1919"/>
      <c r="AN28" s="1919"/>
      <c r="AO28" s="1919"/>
      <c r="AP28" s="1919"/>
      <c r="AQ28" s="1919"/>
      <c r="AR28" s="1919"/>
      <c r="AS28" s="1919"/>
      <c r="AT28" s="1919"/>
      <c r="AU28" s="1919"/>
      <c r="AV28" s="1919"/>
      <c r="AW28" s="1919"/>
      <c r="AX28" s="1919"/>
      <c r="AY28" s="1919"/>
      <c r="AZ28" s="1919"/>
      <c r="BA28" s="1919"/>
      <c r="BB28" s="1919"/>
      <c r="BC28" s="1919"/>
    </row>
    <row r="29" spans="1:55" s="1920" customFormat="1" x14ac:dyDescent="0.35">
      <c r="A29" s="1255"/>
      <c r="B29" s="1928"/>
      <c r="D29" s="1960" t="s">
        <v>716</v>
      </c>
      <c r="E29" s="1971">
        <v>312187</v>
      </c>
      <c r="F29" s="1971">
        <v>285521</v>
      </c>
      <c r="G29" s="1971">
        <v>248451</v>
      </c>
      <c r="H29" s="1971">
        <v>241703</v>
      </c>
      <c r="I29" s="1971">
        <v>185833</v>
      </c>
      <c r="J29" s="1971">
        <v>122711</v>
      </c>
      <c r="K29" s="1971">
        <v>295470</v>
      </c>
      <c r="L29" s="1971">
        <v>181873</v>
      </c>
      <c r="M29" s="1971">
        <v>167322</v>
      </c>
      <c r="N29" s="1971">
        <v>202835</v>
      </c>
      <c r="O29" s="1971">
        <v>306773</v>
      </c>
      <c r="P29" s="1971">
        <v>233455</v>
      </c>
      <c r="Q29" s="1971">
        <v>260000</v>
      </c>
      <c r="R29" s="1971">
        <v>301976</v>
      </c>
      <c r="S29" s="1971">
        <v>275830</v>
      </c>
      <c r="T29" s="1971">
        <v>242905</v>
      </c>
      <c r="U29" s="1971">
        <v>215343</v>
      </c>
      <c r="V29" s="1970"/>
      <c r="W29" s="1919"/>
      <c r="X29" s="1919"/>
      <c r="Y29" s="1919"/>
      <c r="Z29" s="1919"/>
      <c r="AA29" s="1919"/>
      <c r="AB29" s="1919"/>
      <c r="AC29" s="1919"/>
      <c r="AD29" s="1919"/>
      <c r="AE29" s="1919"/>
      <c r="AF29" s="1919"/>
      <c r="AG29" s="1919"/>
      <c r="AH29" s="1919"/>
      <c r="AI29" s="1919"/>
      <c r="AJ29" s="1919"/>
      <c r="AK29" s="1919"/>
      <c r="AL29" s="1919"/>
      <c r="AM29" s="1919"/>
      <c r="AN29" s="1919"/>
      <c r="AO29" s="1919"/>
      <c r="AP29" s="1919"/>
      <c r="AQ29" s="1919"/>
      <c r="AR29" s="1919"/>
      <c r="AS29" s="1919"/>
      <c r="AT29" s="1919"/>
      <c r="AU29" s="1919"/>
      <c r="AV29" s="1919"/>
      <c r="AW29" s="1919"/>
      <c r="AX29" s="1919"/>
      <c r="AY29" s="1919"/>
      <c r="AZ29" s="1919"/>
      <c r="BA29" s="1919"/>
      <c r="BB29" s="1919"/>
      <c r="BC29" s="1919"/>
    </row>
    <row r="30" spans="1:55" s="1920" customFormat="1" x14ac:dyDescent="0.35">
      <c r="A30" s="1255"/>
      <c r="B30" s="1928"/>
      <c r="D30" s="1972" t="s">
        <v>717</v>
      </c>
      <c r="E30" s="1973">
        <v>4066796</v>
      </c>
      <c r="F30" s="1973">
        <f t="shared" ref="F30:Q30" si="2">+E30+F29</f>
        <v>4352317</v>
      </c>
      <c r="G30" s="1973">
        <f t="shared" si="2"/>
        <v>4600768</v>
      </c>
      <c r="H30" s="1973">
        <f t="shared" si="2"/>
        <v>4842471</v>
      </c>
      <c r="I30" s="1973">
        <f t="shared" si="2"/>
        <v>5028304</v>
      </c>
      <c r="J30" s="1973">
        <f t="shared" si="2"/>
        <v>5151015</v>
      </c>
      <c r="K30" s="1973">
        <f t="shared" si="2"/>
        <v>5446485</v>
      </c>
      <c r="L30" s="1973">
        <f t="shared" si="2"/>
        <v>5628358</v>
      </c>
      <c r="M30" s="1973">
        <f t="shared" si="2"/>
        <v>5795680</v>
      </c>
      <c r="N30" s="1973">
        <f t="shared" si="2"/>
        <v>5998515</v>
      </c>
      <c r="O30" s="1973">
        <f t="shared" si="2"/>
        <v>6305288</v>
      </c>
      <c r="P30" s="1973">
        <f t="shared" si="2"/>
        <v>6538743</v>
      </c>
      <c r="Q30" s="1973">
        <f t="shared" si="2"/>
        <v>6798743</v>
      </c>
      <c r="R30" s="1973">
        <f>+Q30+R29</f>
        <v>7100719</v>
      </c>
      <c r="S30" s="1973">
        <f>+R30+S29</f>
        <v>7376549</v>
      </c>
      <c r="T30" s="1973">
        <f>+S30+T29</f>
        <v>7619454</v>
      </c>
      <c r="U30" s="1973">
        <f>+T30+U29</f>
        <v>7834797</v>
      </c>
      <c r="V30" s="1970"/>
      <c r="W30" s="1919"/>
      <c r="X30" s="1919"/>
      <c r="Y30" s="1919"/>
      <c r="Z30" s="1919"/>
      <c r="AA30" s="1919"/>
      <c r="AB30" s="1919"/>
      <c r="AC30" s="1919"/>
      <c r="AD30" s="1919"/>
      <c r="AE30" s="1919"/>
      <c r="AF30" s="1919"/>
      <c r="AG30" s="1919"/>
      <c r="AH30" s="1919"/>
      <c r="AI30" s="1919"/>
      <c r="AJ30" s="1919"/>
      <c r="AK30" s="1919"/>
      <c r="AL30" s="1919"/>
      <c r="AM30" s="1919"/>
      <c r="AN30" s="1919"/>
      <c r="AO30" s="1919"/>
      <c r="AP30" s="1919"/>
      <c r="AQ30" s="1919"/>
      <c r="AR30" s="1919"/>
      <c r="AS30" s="1919"/>
      <c r="AT30" s="1919"/>
      <c r="AU30" s="1919"/>
      <c r="AV30" s="1919"/>
      <c r="AW30" s="1919"/>
      <c r="AX30" s="1919"/>
      <c r="AY30" s="1919"/>
      <c r="AZ30" s="1919"/>
      <c r="BA30" s="1919"/>
      <c r="BB30" s="1919"/>
      <c r="BC30" s="1919"/>
    </row>
    <row r="31" spans="1:55" s="1920" customFormat="1" x14ac:dyDescent="0.35">
      <c r="A31" s="1255"/>
      <c r="B31" s="1928"/>
      <c r="D31" s="1974"/>
      <c r="E31" s="1974"/>
      <c r="F31" s="1974"/>
      <c r="G31" s="1974"/>
      <c r="H31" s="1974"/>
      <c r="I31" s="1974"/>
      <c r="J31" s="1974"/>
      <c r="K31" s="1974"/>
      <c r="L31" s="1974"/>
      <c r="M31" s="1974"/>
      <c r="N31" s="1974"/>
      <c r="O31" s="1974"/>
      <c r="P31" s="1282"/>
      <c r="Q31" s="1282"/>
      <c r="R31" s="1282"/>
      <c r="S31" s="1975"/>
      <c r="T31" s="1971"/>
      <c r="U31" s="1971"/>
      <c r="V31" s="1919"/>
      <c r="W31" s="1919"/>
      <c r="X31" s="1919"/>
      <c r="Y31" s="1919"/>
      <c r="Z31" s="1919"/>
      <c r="AA31" s="1919"/>
      <c r="AB31" s="1919"/>
      <c r="AC31" s="1919"/>
      <c r="AD31" s="1919"/>
      <c r="AE31" s="1919"/>
      <c r="AF31" s="1919"/>
      <c r="AG31" s="1919"/>
      <c r="AH31" s="1919"/>
      <c r="AI31" s="1919"/>
      <c r="AJ31" s="1919"/>
      <c r="AK31" s="1919"/>
      <c r="AL31" s="1919"/>
      <c r="AM31" s="1919"/>
      <c r="AN31" s="1919"/>
      <c r="AO31" s="1919"/>
      <c r="AP31" s="1919"/>
      <c r="AQ31" s="1919"/>
      <c r="AR31" s="1919"/>
      <c r="AS31" s="1919"/>
      <c r="AT31" s="1919"/>
      <c r="AU31" s="1919"/>
      <c r="AV31" s="1919"/>
      <c r="AW31" s="1919"/>
      <c r="AX31" s="1919"/>
      <c r="AY31" s="1919"/>
      <c r="AZ31" s="1919"/>
      <c r="BA31" s="1919"/>
    </row>
    <row r="32" spans="1:55" s="1920" customFormat="1" x14ac:dyDescent="0.35">
      <c r="A32" s="1255"/>
      <c r="B32" s="1928"/>
      <c r="D32" s="89" t="s">
        <v>252</v>
      </c>
      <c r="E32" s="89" t="s">
        <v>718</v>
      </c>
      <c r="F32" s="89"/>
      <c r="G32" s="89"/>
      <c r="H32" s="89"/>
      <c r="I32" s="1896"/>
      <c r="J32" s="1896"/>
      <c r="K32" s="1898"/>
      <c r="L32" s="1898"/>
      <c r="M32" s="1974"/>
      <c r="N32" s="1974"/>
      <c r="O32" s="1974"/>
      <c r="P32" s="1282"/>
      <c r="Q32" s="1282"/>
      <c r="R32" s="1282"/>
      <c r="S32" s="1975"/>
      <c r="T32" s="1976"/>
      <c r="U32" s="1976"/>
      <c r="V32" s="1919"/>
      <c r="W32" s="1919"/>
      <c r="X32" s="1919"/>
      <c r="Y32" s="1919"/>
      <c r="Z32" s="1919"/>
      <c r="AA32" s="1919"/>
      <c r="AB32" s="1919"/>
      <c r="AC32" s="1919"/>
      <c r="AD32" s="1919"/>
      <c r="AE32" s="1919"/>
      <c r="AF32" s="1919"/>
      <c r="AG32" s="1919"/>
      <c r="AH32" s="1919"/>
      <c r="AI32" s="1919"/>
      <c r="AJ32" s="1919"/>
      <c r="AK32" s="1919"/>
      <c r="AL32" s="1919"/>
      <c r="AM32" s="1919"/>
      <c r="AN32" s="1919"/>
      <c r="AO32" s="1919"/>
      <c r="AP32" s="1919"/>
      <c r="AQ32" s="1919"/>
      <c r="AR32" s="1919"/>
      <c r="AS32" s="1919"/>
      <c r="AT32" s="1919"/>
      <c r="AU32" s="1919"/>
      <c r="AV32" s="1919"/>
      <c r="AW32" s="1919"/>
      <c r="AX32" s="1919"/>
      <c r="AY32" s="1919"/>
      <c r="AZ32" s="1919"/>
      <c r="BA32" s="1919"/>
    </row>
    <row r="33" spans="1:53" s="1920" customFormat="1" x14ac:dyDescent="0.35">
      <c r="A33" s="1255"/>
      <c r="B33" s="1928"/>
      <c r="D33" s="1964"/>
      <c r="E33" s="1965" t="s">
        <v>111</v>
      </c>
      <c r="F33" s="1965" t="s">
        <v>112</v>
      </c>
      <c r="G33" s="1965" t="s">
        <v>113</v>
      </c>
      <c r="H33" s="1965" t="s">
        <v>114</v>
      </c>
      <c r="I33" s="1965" t="s">
        <v>115</v>
      </c>
      <c r="J33" s="1965" t="s">
        <v>116</v>
      </c>
      <c r="K33" s="1965" t="s">
        <v>117</v>
      </c>
      <c r="L33" s="1965" t="s">
        <v>118</v>
      </c>
      <c r="M33" s="1966" t="s">
        <v>119</v>
      </c>
      <c r="N33" s="1967" t="s">
        <v>120</v>
      </c>
      <c r="O33" s="1968" t="s">
        <v>121</v>
      </c>
      <c r="P33" s="1968" t="s">
        <v>122</v>
      </c>
      <c r="Q33" s="1968" t="s">
        <v>123</v>
      </c>
      <c r="R33" s="1968" t="s">
        <v>124</v>
      </c>
      <c r="S33" s="1968" t="s">
        <v>125</v>
      </c>
      <c r="T33" s="1969" t="s">
        <v>126</v>
      </c>
      <c r="U33" s="1969" t="s">
        <v>302</v>
      </c>
      <c r="V33" s="1919"/>
      <c r="W33" s="1919"/>
      <c r="X33" s="1919"/>
      <c r="Y33" s="1919"/>
      <c r="Z33" s="1919"/>
      <c r="AA33" s="1919"/>
      <c r="AB33" s="1919"/>
      <c r="AC33" s="1919"/>
      <c r="AD33" s="1919"/>
      <c r="AE33" s="1919"/>
      <c r="AF33" s="1919"/>
      <c r="AG33" s="1919"/>
      <c r="AH33" s="1919"/>
      <c r="AI33" s="1919"/>
      <c r="AJ33" s="1919"/>
      <c r="AK33" s="1919"/>
      <c r="AL33" s="1919"/>
      <c r="AM33" s="1919"/>
      <c r="AN33" s="1919"/>
      <c r="AO33" s="1919"/>
      <c r="AP33" s="1919"/>
      <c r="AQ33" s="1919"/>
      <c r="AR33" s="1919"/>
      <c r="AS33" s="1919"/>
      <c r="AT33" s="1919"/>
      <c r="AU33" s="1919"/>
      <c r="AV33" s="1919"/>
      <c r="AW33" s="1919"/>
      <c r="AX33" s="1919"/>
      <c r="AY33" s="1919"/>
      <c r="AZ33" s="1919"/>
      <c r="BA33" s="1919"/>
    </row>
    <row r="34" spans="1:53" s="1920" customFormat="1" x14ac:dyDescent="0.35">
      <c r="A34" s="1255"/>
      <c r="B34" s="1928"/>
      <c r="D34" s="1960" t="s">
        <v>716</v>
      </c>
      <c r="E34" s="1971">
        <v>12361</v>
      </c>
      <c r="F34" s="1971">
        <v>4386</v>
      </c>
      <c r="G34" s="1971">
        <v>4386</v>
      </c>
      <c r="H34" s="1971">
        <v>4386</v>
      </c>
      <c r="I34" s="1971">
        <v>4388</v>
      </c>
      <c r="J34" s="1971">
        <v>781</v>
      </c>
      <c r="K34" s="1971">
        <v>2152</v>
      </c>
      <c r="L34" s="1971">
        <v>5141</v>
      </c>
      <c r="M34" s="1971">
        <v>24307</v>
      </c>
      <c r="N34" s="1971">
        <v>9343</v>
      </c>
      <c r="O34" s="1971">
        <v>14059</v>
      </c>
      <c r="P34" s="1971">
        <v>14030</v>
      </c>
      <c r="Q34" s="1971">
        <v>25075</v>
      </c>
      <c r="R34" s="1971">
        <v>16922</v>
      </c>
      <c r="S34" s="1971">
        <v>16875</v>
      </c>
      <c r="T34" s="1971">
        <v>13090</v>
      </c>
      <c r="U34" s="1971">
        <v>1364</v>
      </c>
      <c r="V34" s="1919"/>
      <c r="W34" s="1919"/>
      <c r="X34" s="1919"/>
      <c r="Y34" s="1919"/>
      <c r="Z34" s="1919"/>
      <c r="AA34" s="1919"/>
      <c r="AB34" s="1919"/>
      <c r="AC34" s="1919"/>
      <c r="AD34" s="1919"/>
      <c r="AE34" s="1919"/>
      <c r="AF34" s="1919"/>
      <c r="AG34" s="1919"/>
      <c r="AH34" s="1919"/>
      <c r="AI34" s="1919"/>
      <c r="AJ34" s="1919"/>
      <c r="AK34" s="1919"/>
      <c r="AL34" s="1919"/>
      <c r="AM34" s="1919"/>
      <c r="AN34" s="1919"/>
      <c r="AO34" s="1919"/>
      <c r="AP34" s="1919"/>
      <c r="AQ34" s="1919"/>
      <c r="AR34" s="1919"/>
      <c r="AS34" s="1919"/>
      <c r="AT34" s="1919"/>
      <c r="AU34" s="1919"/>
      <c r="AV34" s="1919"/>
      <c r="AW34" s="1919"/>
      <c r="AX34" s="1919"/>
      <c r="AY34" s="1919"/>
      <c r="AZ34" s="1919"/>
      <c r="BA34" s="1919"/>
    </row>
    <row r="35" spans="1:53" s="1920" customFormat="1" x14ac:dyDescent="0.35">
      <c r="A35" s="1255"/>
      <c r="B35" s="1928"/>
      <c r="D35" s="1972" t="s">
        <v>717</v>
      </c>
      <c r="E35" s="1973">
        <v>14097</v>
      </c>
      <c r="F35" s="1973">
        <f>E35+F34</f>
        <v>18483</v>
      </c>
      <c r="G35" s="1973">
        <f t="shared" ref="G35:U35" si="3">F35+G34</f>
        <v>22869</v>
      </c>
      <c r="H35" s="1973">
        <f t="shared" si="3"/>
        <v>27255</v>
      </c>
      <c r="I35" s="1973">
        <f t="shared" si="3"/>
        <v>31643</v>
      </c>
      <c r="J35" s="1973">
        <f t="shared" si="3"/>
        <v>32424</v>
      </c>
      <c r="K35" s="1973">
        <f t="shared" si="3"/>
        <v>34576</v>
      </c>
      <c r="L35" s="1973">
        <f t="shared" si="3"/>
        <v>39717</v>
      </c>
      <c r="M35" s="1973">
        <f t="shared" si="3"/>
        <v>64024</v>
      </c>
      <c r="N35" s="1973">
        <f t="shared" si="3"/>
        <v>73367</v>
      </c>
      <c r="O35" s="1973">
        <f t="shared" si="3"/>
        <v>87426</v>
      </c>
      <c r="P35" s="1973">
        <f t="shared" si="3"/>
        <v>101456</v>
      </c>
      <c r="Q35" s="1973">
        <f t="shared" si="3"/>
        <v>126531</v>
      </c>
      <c r="R35" s="1973">
        <f t="shared" si="3"/>
        <v>143453</v>
      </c>
      <c r="S35" s="1973">
        <f t="shared" si="3"/>
        <v>160328</v>
      </c>
      <c r="T35" s="1973">
        <f t="shared" si="3"/>
        <v>173418</v>
      </c>
      <c r="U35" s="1973">
        <f t="shared" si="3"/>
        <v>174782</v>
      </c>
      <c r="V35" s="1919"/>
      <c r="W35" s="1919"/>
      <c r="X35" s="1919"/>
      <c r="Y35" s="1919"/>
      <c r="Z35" s="1919"/>
      <c r="AA35" s="1919"/>
      <c r="AB35" s="1919"/>
      <c r="AC35" s="1919"/>
      <c r="AD35" s="1919"/>
      <c r="AE35" s="1919"/>
      <c r="AF35" s="1919"/>
      <c r="AG35" s="1919"/>
      <c r="AH35" s="1919"/>
      <c r="AI35" s="1919"/>
      <c r="AJ35" s="1919"/>
      <c r="AK35" s="1919"/>
      <c r="AL35" s="1919"/>
      <c r="AM35" s="1919"/>
      <c r="AN35" s="1919"/>
      <c r="AO35" s="1919"/>
      <c r="AP35" s="1919"/>
      <c r="AQ35" s="1919"/>
      <c r="AR35" s="1919"/>
      <c r="AS35" s="1919"/>
      <c r="AT35" s="1919"/>
      <c r="AU35" s="1919"/>
      <c r="AV35" s="1919"/>
      <c r="AW35" s="1919"/>
      <c r="AX35" s="1919"/>
      <c r="AY35" s="1919"/>
      <c r="AZ35" s="1919"/>
      <c r="BA35" s="1919"/>
    </row>
    <row r="36" spans="1:53" s="1920" customFormat="1" x14ac:dyDescent="0.35">
      <c r="A36" s="1255"/>
      <c r="B36" s="1928"/>
      <c r="D36" s="1960"/>
      <c r="E36" s="1971"/>
      <c r="F36" s="1971"/>
      <c r="G36" s="1971"/>
      <c r="H36" s="1971"/>
      <c r="I36" s="1971"/>
      <c r="J36" s="1971"/>
      <c r="K36" s="1971"/>
      <c r="L36" s="1971"/>
      <c r="M36" s="1971"/>
      <c r="N36" s="1971"/>
      <c r="O36" s="1971"/>
      <c r="P36" s="1971"/>
      <c r="Q36" s="1971"/>
      <c r="R36" s="1971"/>
      <c r="S36" s="1971"/>
      <c r="T36" s="1971"/>
      <c r="U36" s="1592"/>
      <c r="V36" s="1919"/>
      <c r="W36" s="1919"/>
      <c r="X36" s="1919"/>
      <c r="Y36" s="1919"/>
      <c r="Z36" s="1919"/>
      <c r="AA36" s="1919"/>
      <c r="AB36" s="1919"/>
      <c r="AC36" s="1919"/>
      <c r="AD36" s="1919"/>
      <c r="AE36" s="1919"/>
      <c r="AF36" s="1919"/>
      <c r="AG36" s="1919"/>
      <c r="AH36" s="1919"/>
      <c r="AI36" s="1919"/>
      <c r="AJ36" s="1919"/>
      <c r="AK36" s="1919"/>
      <c r="AL36" s="1919"/>
      <c r="AM36" s="1919"/>
      <c r="AN36" s="1919"/>
      <c r="AO36" s="1919"/>
      <c r="AP36" s="1919"/>
      <c r="AQ36" s="1919"/>
      <c r="AR36" s="1919"/>
      <c r="AS36" s="1919"/>
      <c r="AT36" s="1919"/>
      <c r="AU36" s="1919"/>
      <c r="AV36" s="1919"/>
      <c r="AW36" s="1919"/>
      <c r="AX36" s="1919"/>
      <c r="AY36" s="1919"/>
      <c r="AZ36" s="1919"/>
      <c r="BA36" s="1919"/>
    </row>
    <row r="37" spans="1:53" s="1920" customFormat="1" x14ac:dyDescent="0.35">
      <c r="A37" s="1255"/>
      <c r="B37" s="1928"/>
      <c r="D37" s="89" t="s">
        <v>719</v>
      </c>
      <c r="K37" s="1962"/>
      <c r="O37" s="1962"/>
      <c r="P37" s="1592"/>
      <c r="Q37" s="1592"/>
      <c r="R37" s="1592"/>
      <c r="S37" s="1963"/>
      <c r="T37" s="1963"/>
      <c r="U37" s="1592"/>
      <c r="V37" s="1919"/>
      <c r="W37" s="1919"/>
      <c r="X37" s="1919"/>
      <c r="Y37" s="1919"/>
      <c r="Z37" s="1919"/>
      <c r="AA37" s="1919"/>
      <c r="AB37" s="1919"/>
      <c r="AC37" s="1919"/>
      <c r="AD37" s="1919"/>
      <c r="AE37" s="1919"/>
      <c r="AF37" s="1919"/>
      <c r="AG37" s="1919"/>
      <c r="AH37" s="1919"/>
      <c r="AI37" s="1919"/>
      <c r="AJ37" s="1919"/>
      <c r="AK37" s="1919"/>
      <c r="AL37" s="1919"/>
      <c r="AM37" s="1919"/>
      <c r="AN37" s="1919"/>
      <c r="AO37" s="1919"/>
      <c r="AP37" s="1919"/>
      <c r="AQ37" s="1919"/>
      <c r="AR37" s="1919"/>
      <c r="AS37" s="1919"/>
      <c r="AT37" s="1919"/>
      <c r="AU37" s="1919"/>
      <c r="AV37" s="1919"/>
      <c r="AW37" s="1919"/>
      <c r="AX37" s="1919"/>
      <c r="AY37" s="1919"/>
      <c r="AZ37" s="1919"/>
      <c r="BA37" s="1919"/>
    </row>
    <row r="38" spans="1:53" s="1920" customFormat="1" x14ac:dyDescent="0.35">
      <c r="A38" s="1255"/>
      <c r="B38" s="1928"/>
      <c r="G38" s="1962"/>
      <c r="K38" s="1962"/>
      <c r="L38" s="1592"/>
      <c r="M38" s="1592"/>
      <c r="N38" s="1592"/>
      <c r="O38" s="1963"/>
      <c r="P38" s="1592"/>
      <c r="Q38" s="1592"/>
      <c r="R38" s="1592"/>
      <c r="S38" s="1592"/>
      <c r="T38" s="1592"/>
      <c r="U38" s="1592"/>
      <c r="V38" s="1919"/>
      <c r="W38" s="1919"/>
      <c r="X38" s="1919"/>
      <c r="Y38" s="1919"/>
      <c r="Z38" s="1919"/>
      <c r="AA38" s="1919"/>
      <c r="AB38" s="1919"/>
      <c r="AC38" s="1919"/>
      <c r="AD38" s="1919"/>
      <c r="AE38" s="1919"/>
      <c r="AF38" s="1919"/>
      <c r="AG38" s="1919"/>
      <c r="AH38" s="1919"/>
      <c r="AI38" s="1919"/>
      <c r="AJ38" s="1919"/>
      <c r="AK38" s="1919"/>
      <c r="AL38" s="1919"/>
      <c r="AM38" s="1919"/>
      <c r="AN38" s="1919"/>
      <c r="AO38" s="1919"/>
      <c r="AP38" s="1919"/>
      <c r="AQ38" s="1919"/>
      <c r="AR38" s="1919"/>
      <c r="AS38" s="1919"/>
      <c r="AT38" s="1919"/>
      <c r="AU38" s="1919"/>
      <c r="AV38" s="1919"/>
      <c r="AW38" s="1919"/>
    </row>
    <row r="39" spans="1:53" s="1920" customFormat="1" x14ac:dyDescent="0.35">
      <c r="A39" s="1255"/>
      <c r="B39" s="1928"/>
      <c r="G39" s="1962"/>
      <c r="K39" s="1962"/>
      <c r="L39" s="1592"/>
      <c r="M39" s="1592"/>
      <c r="N39" s="1592"/>
      <c r="O39" s="1963"/>
      <c r="P39" s="1592"/>
      <c r="Q39" s="1592"/>
      <c r="R39" s="1592"/>
      <c r="S39" s="1592"/>
      <c r="T39" s="1592"/>
      <c r="U39" s="1592"/>
      <c r="V39" s="1919"/>
      <c r="W39" s="1919"/>
      <c r="X39" s="1919"/>
      <c r="Y39" s="1919"/>
      <c r="Z39" s="1919"/>
      <c r="AA39" s="1919"/>
      <c r="AB39" s="1919"/>
      <c r="AC39" s="1919"/>
      <c r="AD39" s="1919"/>
      <c r="AE39" s="1919"/>
      <c r="AF39" s="1919"/>
      <c r="AG39" s="1919"/>
      <c r="AH39" s="1919"/>
      <c r="AI39" s="1919"/>
      <c r="AJ39" s="1919"/>
      <c r="AK39" s="1919"/>
      <c r="AL39" s="1919"/>
      <c r="AM39" s="1919"/>
      <c r="AN39" s="1919"/>
      <c r="AO39" s="1919"/>
      <c r="AP39" s="1919"/>
      <c r="AQ39" s="1919"/>
      <c r="AR39" s="1919"/>
      <c r="AS39" s="1919"/>
      <c r="AT39" s="1919"/>
      <c r="AU39" s="1919"/>
      <c r="AV39" s="1919"/>
      <c r="AW39" s="1919"/>
    </row>
    <row r="40" spans="1:53" s="1920" customFormat="1" x14ac:dyDescent="0.35">
      <c r="A40" s="1255"/>
      <c r="B40" s="1928"/>
      <c r="G40" s="1962"/>
      <c r="K40" s="1962"/>
      <c r="L40" s="1592"/>
      <c r="M40" s="1592"/>
      <c r="N40" s="1592"/>
      <c r="O40" s="1963"/>
      <c r="P40" s="1592"/>
      <c r="Q40" s="1592"/>
      <c r="R40" s="1592"/>
      <c r="S40" s="1592"/>
      <c r="T40" s="1592"/>
      <c r="U40" s="1592"/>
      <c r="V40" s="1919"/>
      <c r="W40" s="1919"/>
      <c r="X40" s="1919"/>
      <c r="Y40" s="1919"/>
      <c r="Z40" s="1919"/>
      <c r="AA40" s="1919"/>
      <c r="AB40" s="1919"/>
      <c r="AC40" s="1919"/>
      <c r="AD40" s="1919"/>
      <c r="AE40" s="1919"/>
      <c r="AF40" s="1919"/>
      <c r="AG40" s="1919"/>
      <c r="AH40" s="1919"/>
      <c r="AI40" s="1919"/>
      <c r="AJ40" s="1919"/>
      <c r="AK40" s="1919"/>
      <c r="AL40" s="1919"/>
      <c r="AM40" s="1919"/>
      <c r="AN40" s="1919"/>
      <c r="AO40" s="1919"/>
      <c r="AP40" s="1919"/>
      <c r="AQ40" s="1919"/>
      <c r="AR40" s="1919"/>
      <c r="AS40" s="1919"/>
      <c r="AT40" s="1919"/>
      <c r="AU40" s="1919"/>
      <c r="AV40" s="1919"/>
      <c r="AW40" s="1919"/>
    </row>
    <row r="41" spans="1:53" s="1920" customFormat="1" x14ac:dyDescent="0.35">
      <c r="A41" s="1255"/>
      <c r="B41" s="1928"/>
      <c r="G41" s="1962"/>
      <c r="K41" s="1962"/>
      <c r="L41" s="1592"/>
      <c r="M41" s="1592"/>
      <c r="N41" s="1592"/>
      <c r="O41" s="1963"/>
      <c r="P41" s="1592"/>
      <c r="Q41" s="1592"/>
      <c r="R41" s="1592"/>
      <c r="S41" s="1592"/>
      <c r="T41" s="1592"/>
      <c r="U41" s="1592"/>
      <c r="V41" s="1919"/>
      <c r="W41" s="1919"/>
      <c r="X41" s="1919"/>
      <c r="Y41" s="1919"/>
      <c r="Z41" s="1919"/>
      <c r="AA41" s="1919"/>
      <c r="AB41" s="1919"/>
      <c r="AC41" s="1919"/>
      <c r="AD41" s="1919"/>
      <c r="AE41" s="1919"/>
      <c r="AF41" s="1919"/>
      <c r="AG41" s="1919"/>
      <c r="AH41" s="1919"/>
      <c r="AI41" s="1919"/>
      <c r="AJ41" s="1919"/>
      <c r="AK41" s="1919"/>
      <c r="AL41" s="1919"/>
      <c r="AM41" s="1919"/>
      <c r="AN41" s="1919"/>
      <c r="AO41" s="1919"/>
      <c r="AP41" s="1919"/>
      <c r="AQ41" s="1919"/>
      <c r="AR41" s="1919"/>
      <c r="AS41" s="1919"/>
      <c r="AT41" s="1919"/>
      <c r="AU41" s="1919"/>
      <c r="AV41" s="1919"/>
      <c r="AW41" s="1919"/>
    </row>
    <row r="42" spans="1:53" s="1920" customFormat="1" x14ac:dyDescent="0.35">
      <c r="A42" s="1255"/>
      <c r="B42" s="1928"/>
      <c r="G42" s="1962"/>
      <c r="K42" s="1962"/>
      <c r="L42" s="1592"/>
      <c r="M42" s="1592"/>
      <c r="N42" s="1592"/>
      <c r="O42" s="1963"/>
      <c r="P42" s="1592"/>
      <c r="Q42" s="1592"/>
      <c r="R42" s="1592"/>
      <c r="S42" s="1592"/>
      <c r="T42" s="1592"/>
      <c r="U42" s="1592"/>
      <c r="V42" s="1919"/>
      <c r="W42" s="1919"/>
      <c r="X42" s="1919"/>
      <c r="Y42" s="1919"/>
      <c r="Z42" s="1919"/>
      <c r="AA42" s="1919"/>
      <c r="AB42" s="1919"/>
      <c r="AC42" s="1919"/>
      <c r="AD42" s="1919"/>
      <c r="AE42" s="1919"/>
      <c r="AF42" s="1919"/>
      <c r="AG42" s="1919"/>
      <c r="AH42" s="1919"/>
      <c r="AI42" s="1919"/>
      <c r="AJ42" s="1919"/>
      <c r="AK42" s="1919"/>
      <c r="AL42" s="1919"/>
      <c r="AM42" s="1919"/>
      <c r="AN42" s="1919"/>
      <c r="AO42" s="1919"/>
      <c r="AP42" s="1919"/>
      <c r="AQ42" s="1919"/>
      <c r="AR42" s="1919"/>
      <c r="AS42" s="1919"/>
      <c r="AT42" s="1919"/>
      <c r="AU42" s="1919"/>
      <c r="AV42" s="1919"/>
      <c r="AW42" s="1919"/>
    </row>
    <row r="43" spans="1:53" s="1920" customFormat="1" x14ac:dyDescent="0.35">
      <c r="A43" s="1255"/>
      <c r="B43" s="1928"/>
      <c r="G43" s="1962"/>
      <c r="K43" s="1962"/>
      <c r="L43" s="1592"/>
      <c r="M43" s="1592"/>
      <c r="N43" s="1592"/>
      <c r="O43" s="1963"/>
      <c r="P43" s="1592"/>
      <c r="Q43" s="1592"/>
      <c r="R43" s="1592"/>
      <c r="S43" s="1592"/>
      <c r="T43" s="1592"/>
      <c r="U43" s="1592"/>
      <c r="V43" s="1919"/>
      <c r="W43" s="1919"/>
      <c r="X43" s="1919"/>
      <c r="Y43" s="1919"/>
      <c r="Z43" s="1919"/>
      <c r="AA43" s="1919"/>
      <c r="AB43" s="1919"/>
      <c r="AC43" s="1919"/>
      <c r="AD43" s="1919"/>
      <c r="AE43" s="1919"/>
      <c r="AF43" s="1919"/>
      <c r="AG43" s="1919"/>
      <c r="AH43" s="1919"/>
      <c r="AI43" s="1919"/>
      <c r="AJ43" s="1919"/>
      <c r="AK43" s="1919"/>
      <c r="AL43" s="1919"/>
      <c r="AM43" s="1919"/>
      <c r="AN43" s="1919"/>
      <c r="AO43" s="1919"/>
      <c r="AP43" s="1919"/>
      <c r="AQ43" s="1919"/>
      <c r="AR43" s="1919"/>
      <c r="AS43" s="1919"/>
      <c r="AT43" s="1919"/>
      <c r="AU43" s="1919"/>
      <c r="AV43" s="1919"/>
      <c r="AW43" s="1919"/>
    </row>
    <row r="44" spans="1:53" s="1920" customFormat="1" x14ac:dyDescent="0.35">
      <c r="A44" s="1255"/>
      <c r="B44" s="1928"/>
      <c r="G44" s="1962"/>
      <c r="K44" s="1962"/>
      <c r="L44" s="1592"/>
      <c r="M44" s="1592"/>
      <c r="N44" s="1592"/>
      <c r="O44" s="1963"/>
      <c r="P44" s="1592"/>
      <c r="Q44" s="1592"/>
      <c r="R44" s="1592"/>
      <c r="S44" s="1592"/>
      <c r="T44" s="1592"/>
      <c r="U44" s="1592"/>
      <c r="V44" s="1919"/>
      <c r="W44" s="1919"/>
      <c r="X44" s="1919"/>
      <c r="Y44" s="1919"/>
      <c r="Z44" s="1919"/>
      <c r="AA44" s="1919"/>
      <c r="AB44" s="1919"/>
      <c r="AC44" s="1919"/>
      <c r="AD44" s="1919"/>
      <c r="AE44" s="1919"/>
      <c r="AF44" s="1919"/>
      <c r="AG44" s="1919"/>
      <c r="AH44" s="1919"/>
      <c r="AI44" s="1919"/>
      <c r="AJ44" s="1919"/>
      <c r="AK44" s="1919"/>
      <c r="AL44" s="1919"/>
      <c r="AM44" s="1919"/>
      <c r="AN44" s="1919"/>
      <c r="AO44" s="1919"/>
      <c r="AP44" s="1919"/>
      <c r="AQ44" s="1919"/>
      <c r="AR44" s="1919"/>
      <c r="AS44" s="1919"/>
      <c r="AT44" s="1919"/>
      <c r="AU44" s="1919"/>
      <c r="AV44" s="1919"/>
      <c r="AW44" s="1919"/>
    </row>
    <row r="45" spans="1:53" s="1920" customFormat="1" x14ac:dyDescent="0.35">
      <c r="A45" s="1255"/>
      <c r="B45" s="1928"/>
      <c r="G45" s="1962"/>
      <c r="K45" s="1962"/>
      <c r="L45" s="1592"/>
      <c r="M45" s="1592"/>
      <c r="N45" s="1592"/>
      <c r="O45" s="1963"/>
      <c r="P45" s="1592"/>
      <c r="Q45" s="1592"/>
      <c r="R45" s="1592"/>
      <c r="S45" s="1592"/>
      <c r="T45" s="1592"/>
      <c r="U45" s="1592"/>
      <c r="V45" s="1919"/>
      <c r="W45" s="1919"/>
      <c r="X45" s="1919"/>
      <c r="Y45" s="1919"/>
      <c r="Z45" s="1919"/>
      <c r="AA45" s="1919"/>
      <c r="AB45" s="1919"/>
      <c r="AC45" s="1919"/>
      <c r="AD45" s="1919"/>
      <c r="AE45" s="1919"/>
      <c r="AF45" s="1919"/>
      <c r="AG45" s="1919"/>
      <c r="AH45" s="1919"/>
      <c r="AI45" s="1919"/>
      <c r="AJ45" s="1919"/>
      <c r="AK45" s="1919"/>
      <c r="AL45" s="1919"/>
      <c r="AM45" s="1919"/>
      <c r="AN45" s="1919"/>
      <c r="AO45" s="1919"/>
      <c r="AP45" s="1919"/>
      <c r="AQ45" s="1919"/>
      <c r="AR45" s="1919"/>
      <c r="AS45" s="1919"/>
      <c r="AT45" s="1919"/>
      <c r="AU45" s="1919"/>
      <c r="AV45" s="1919"/>
      <c r="AW45" s="1919"/>
    </row>
    <row r="46" spans="1:53" s="1920" customFormat="1" x14ac:dyDescent="0.35">
      <c r="A46" s="1255"/>
      <c r="B46" s="1928"/>
      <c r="D46" s="1257" t="s">
        <v>720</v>
      </c>
      <c r="G46" s="1962"/>
      <c r="K46" s="1962"/>
      <c r="L46" s="1592"/>
      <c r="M46" s="1592"/>
      <c r="N46" s="1592"/>
      <c r="O46" s="1963"/>
      <c r="P46" s="1592"/>
      <c r="Q46" s="1592"/>
      <c r="R46" s="1592"/>
      <c r="S46" s="1592"/>
      <c r="T46" s="1592"/>
      <c r="U46" s="1592"/>
      <c r="V46" s="1919"/>
      <c r="W46" s="1919"/>
      <c r="X46" s="1919"/>
      <c r="Y46" s="1919"/>
      <c r="Z46" s="1919"/>
      <c r="AA46" s="1919"/>
      <c r="AB46" s="1919"/>
      <c r="AC46" s="1919"/>
      <c r="AD46" s="1919"/>
      <c r="AE46" s="1919"/>
      <c r="AF46" s="1919"/>
      <c r="AG46" s="1919"/>
      <c r="AH46" s="1919"/>
      <c r="AI46" s="1919"/>
      <c r="AJ46" s="1919"/>
      <c r="AK46" s="1919"/>
      <c r="AL46" s="1919"/>
      <c r="AM46" s="1919"/>
      <c r="AN46" s="1919"/>
      <c r="AO46" s="1919"/>
      <c r="AP46" s="1919"/>
      <c r="AQ46" s="1919"/>
      <c r="AR46" s="1919"/>
      <c r="AS46" s="1919"/>
      <c r="AT46" s="1919"/>
      <c r="AU46" s="1919"/>
      <c r="AV46" s="1919"/>
      <c r="AW46" s="1919"/>
    </row>
    <row r="47" spans="1:53" s="1920" customFormat="1" x14ac:dyDescent="0.35">
      <c r="A47" s="1255"/>
      <c r="B47" s="1928"/>
      <c r="G47" s="1962"/>
      <c r="K47" s="1962"/>
      <c r="L47" s="1592"/>
      <c r="M47" s="1592"/>
      <c r="N47" s="1592"/>
      <c r="O47" s="1963"/>
      <c r="P47" s="1592"/>
      <c r="Q47" s="1592"/>
      <c r="R47" s="1592"/>
      <c r="S47" s="1592"/>
      <c r="T47" s="1592"/>
      <c r="U47" s="1592"/>
      <c r="V47" s="1919"/>
      <c r="W47" s="1919"/>
      <c r="X47" s="1919"/>
      <c r="Y47" s="1919"/>
      <c r="Z47" s="1919"/>
      <c r="AA47" s="1919"/>
      <c r="AB47" s="1919"/>
      <c r="AC47" s="1919"/>
      <c r="AD47" s="1919"/>
      <c r="AE47" s="1919"/>
      <c r="AF47" s="1919"/>
      <c r="AG47" s="1919"/>
      <c r="AH47" s="1919"/>
      <c r="AI47" s="1919"/>
      <c r="AJ47" s="1919"/>
      <c r="AK47" s="1919"/>
      <c r="AL47" s="1919"/>
      <c r="AM47" s="1919"/>
      <c r="AN47" s="1919"/>
      <c r="AO47" s="1919"/>
      <c r="AP47" s="1919"/>
      <c r="AQ47" s="1919"/>
      <c r="AR47" s="1919"/>
      <c r="AS47" s="1919"/>
      <c r="AT47" s="1919"/>
      <c r="AU47" s="1919"/>
      <c r="AV47" s="1919"/>
      <c r="AW47" s="1919"/>
    </row>
    <row r="48" spans="1:53" s="1920" customFormat="1" x14ac:dyDescent="0.35">
      <c r="A48" s="1255"/>
      <c r="B48" s="1928"/>
      <c r="G48" s="1962"/>
      <c r="K48" s="1962"/>
      <c r="L48" s="1592"/>
      <c r="M48" s="1592"/>
      <c r="N48" s="1592"/>
      <c r="O48" s="1963"/>
      <c r="P48" s="1592"/>
      <c r="Q48" s="1592"/>
      <c r="R48" s="1592"/>
      <c r="S48" s="1592"/>
      <c r="T48" s="1592"/>
      <c r="U48" s="1592"/>
      <c r="V48" s="1919"/>
      <c r="W48" s="1919"/>
      <c r="X48" s="1919"/>
      <c r="Y48" s="1919"/>
      <c r="Z48" s="1919"/>
      <c r="AA48" s="1919"/>
      <c r="AB48" s="1919"/>
      <c r="AC48" s="1919"/>
      <c r="AD48" s="1919"/>
      <c r="AE48" s="1919"/>
      <c r="AF48" s="1919"/>
      <c r="AG48" s="1919"/>
      <c r="AH48" s="1919"/>
      <c r="AI48" s="1919"/>
      <c r="AJ48" s="1919"/>
      <c r="AK48" s="1919"/>
      <c r="AL48" s="1919"/>
      <c r="AM48" s="1919"/>
      <c r="AN48" s="1919"/>
      <c r="AO48" s="1919"/>
      <c r="AP48" s="1919"/>
      <c r="AQ48" s="1919"/>
      <c r="AR48" s="1919"/>
      <c r="AS48" s="1919"/>
      <c r="AT48" s="1919"/>
      <c r="AU48" s="1919"/>
      <c r="AV48" s="1919"/>
      <c r="AW48" s="1919"/>
    </row>
    <row r="49" spans="1:49" s="1920" customFormat="1" x14ac:dyDescent="0.35">
      <c r="A49" s="1255"/>
      <c r="B49" s="1928"/>
      <c r="G49" s="1962"/>
      <c r="K49" s="1962"/>
      <c r="L49" s="1592"/>
      <c r="M49" s="1592"/>
      <c r="N49" s="1592"/>
      <c r="O49" s="1963"/>
      <c r="P49" s="1592"/>
      <c r="Q49" s="1592"/>
      <c r="R49" s="1592"/>
      <c r="S49" s="1592"/>
      <c r="T49" s="1592"/>
      <c r="U49" s="1592"/>
      <c r="V49" s="1919"/>
      <c r="W49" s="1919"/>
      <c r="X49" s="1919"/>
      <c r="Y49" s="1919"/>
      <c r="Z49" s="1919"/>
      <c r="AA49" s="1919"/>
      <c r="AB49" s="1919"/>
      <c r="AC49" s="1919"/>
      <c r="AD49" s="1919"/>
      <c r="AE49" s="1919"/>
      <c r="AF49" s="1919"/>
      <c r="AG49" s="1919"/>
      <c r="AH49" s="1919"/>
      <c r="AI49" s="1919"/>
      <c r="AJ49" s="1919"/>
      <c r="AK49" s="1919"/>
      <c r="AL49" s="1919"/>
      <c r="AM49" s="1919"/>
      <c r="AN49" s="1919"/>
      <c r="AO49" s="1919"/>
      <c r="AP49" s="1919"/>
      <c r="AQ49" s="1919"/>
      <c r="AR49" s="1919"/>
      <c r="AS49" s="1919"/>
      <c r="AT49" s="1919"/>
      <c r="AU49" s="1919"/>
      <c r="AV49" s="1919"/>
      <c r="AW49" s="1919"/>
    </row>
    <row r="50" spans="1:49" s="1920" customFormat="1" x14ac:dyDescent="0.35">
      <c r="A50" s="1255"/>
      <c r="B50" s="1928"/>
      <c r="G50" s="1962"/>
      <c r="K50" s="1962"/>
      <c r="L50" s="1592"/>
      <c r="M50" s="1592"/>
      <c r="N50" s="1592"/>
      <c r="O50" s="1963"/>
      <c r="P50" s="1592"/>
      <c r="Q50" s="1592"/>
      <c r="R50" s="1592"/>
      <c r="S50" s="1592"/>
      <c r="T50" s="1592"/>
      <c r="U50" s="1592"/>
      <c r="V50" s="1919"/>
      <c r="W50" s="1919"/>
      <c r="X50" s="1919"/>
      <c r="Y50" s="1919"/>
      <c r="Z50" s="1919"/>
      <c r="AA50" s="1919"/>
      <c r="AB50" s="1919"/>
      <c r="AC50" s="1919"/>
      <c r="AD50" s="1919"/>
      <c r="AE50" s="1919"/>
      <c r="AF50" s="1919"/>
      <c r="AG50" s="1919"/>
      <c r="AH50" s="1919"/>
      <c r="AI50" s="1919"/>
      <c r="AJ50" s="1919"/>
      <c r="AK50" s="1919"/>
      <c r="AL50" s="1919"/>
      <c r="AM50" s="1919"/>
      <c r="AN50" s="1919"/>
      <c r="AO50" s="1919"/>
      <c r="AP50" s="1919"/>
      <c r="AQ50" s="1919"/>
      <c r="AR50" s="1919"/>
      <c r="AS50" s="1919"/>
      <c r="AT50" s="1919"/>
      <c r="AU50" s="1919"/>
      <c r="AV50" s="1919"/>
      <c r="AW50" s="1919"/>
    </row>
    <row r="51" spans="1:49" s="1979" customFormat="1" ht="13" x14ac:dyDescent="0.3">
      <c r="A51" s="723">
        <v>5</v>
      </c>
      <c r="B51" s="1977" t="s">
        <v>58</v>
      </c>
      <c r="C51" s="1977"/>
      <c r="D51" s="4733" t="s">
        <v>721</v>
      </c>
      <c r="E51" s="4765"/>
      <c r="F51" s="4765"/>
      <c r="G51" s="4765"/>
      <c r="H51" s="4765"/>
      <c r="I51" s="4765"/>
      <c r="J51" s="4765"/>
      <c r="K51" s="4765"/>
      <c r="L51" s="4765"/>
      <c r="M51" s="4765"/>
      <c r="N51" s="4765"/>
      <c r="O51" s="4765"/>
      <c r="P51" s="4765"/>
      <c r="Q51" s="4765"/>
      <c r="R51" s="4765"/>
      <c r="S51" s="4765"/>
      <c r="T51" s="4765"/>
      <c r="U51" s="4766"/>
      <c r="V51" s="1978"/>
      <c r="W51" s="1978"/>
      <c r="X51" s="1978"/>
      <c r="Y51" s="1978"/>
      <c r="Z51" s="1978"/>
      <c r="AA51" s="1978"/>
      <c r="AB51" s="1978"/>
      <c r="AC51" s="1978"/>
      <c r="AD51" s="1978"/>
      <c r="AE51" s="1978"/>
      <c r="AF51" s="1978"/>
      <c r="AG51" s="1978"/>
      <c r="AH51" s="1978"/>
      <c r="AI51" s="1978"/>
      <c r="AJ51" s="1978"/>
      <c r="AK51" s="1978"/>
      <c r="AL51" s="1978"/>
      <c r="AM51" s="1978"/>
      <c r="AN51" s="1978"/>
      <c r="AO51" s="1978"/>
      <c r="AP51" s="1978"/>
      <c r="AQ51" s="1978"/>
      <c r="AR51" s="1978"/>
      <c r="AS51" s="1978"/>
      <c r="AT51" s="1978"/>
      <c r="AU51" s="1978"/>
      <c r="AV51" s="1978"/>
      <c r="AW51" s="1978"/>
    </row>
    <row r="52" spans="1:49" s="1979" customFormat="1" ht="13" x14ac:dyDescent="0.3">
      <c r="A52" s="788">
        <v>6</v>
      </c>
      <c r="B52" s="788" t="s">
        <v>60</v>
      </c>
      <c r="C52" s="788"/>
      <c r="D52" s="4733" t="s">
        <v>722</v>
      </c>
      <c r="E52" s="4765"/>
      <c r="F52" s="4765"/>
      <c r="G52" s="4765"/>
      <c r="H52" s="4765"/>
      <c r="I52" s="4765"/>
      <c r="J52" s="4765"/>
      <c r="K52" s="4765"/>
      <c r="L52" s="4765"/>
      <c r="M52" s="4765"/>
      <c r="N52" s="4765"/>
      <c r="O52" s="4765"/>
      <c r="P52" s="4765"/>
      <c r="Q52" s="4765"/>
      <c r="R52" s="4765"/>
      <c r="S52" s="4765"/>
      <c r="T52" s="4765"/>
      <c r="U52" s="4766"/>
      <c r="V52" s="1978"/>
      <c r="W52" s="1978"/>
      <c r="X52" s="1978"/>
      <c r="Y52" s="1978"/>
      <c r="Z52" s="1978"/>
      <c r="AA52" s="1978"/>
      <c r="AB52" s="1978"/>
      <c r="AC52" s="1978"/>
      <c r="AD52" s="1978"/>
      <c r="AE52" s="1978"/>
      <c r="AF52" s="1978"/>
      <c r="AG52" s="1978"/>
      <c r="AH52" s="1978"/>
      <c r="AI52" s="1978"/>
      <c r="AJ52" s="1978"/>
      <c r="AK52" s="1978"/>
      <c r="AL52" s="1978"/>
      <c r="AM52" s="1978"/>
      <c r="AN52" s="1978"/>
      <c r="AO52" s="1978"/>
      <c r="AP52" s="1978"/>
      <c r="AQ52" s="1978"/>
      <c r="AR52" s="1978"/>
      <c r="AS52" s="1978"/>
      <c r="AT52" s="1978"/>
      <c r="AU52" s="1978"/>
      <c r="AV52" s="1978"/>
      <c r="AW52" s="1978"/>
    </row>
    <row r="53" spans="1:49" s="1920" customFormat="1" x14ac:dyDescent="0.35">
      <c r="A53" s="723">
        <v>7</v>
      </c>
      <c r="B53" s="723" t="s">
        <v>62</v>
      </c>
      <c r="C53" s="723"/>
      <c r="D53" s="4733" t="s">
        <v>723</v>
      </c>
      <c r="E53" s="4765"/>
      <c r="F53" s="4765"/>
      <c r="G53" s="4765"/>
      <c r="H53" s="4765"/>
      <c r="I53" s="4765"/>
      <c r="J53" s="4765"/>
      <c r="K53" s="4765"/>
      <c r="L53" s="4765"/>
      <c r="M53" s="4765"/>
      <c r="N53" s="4765"/>
      <c r="O53" s="4765"/>
      <c r="P53" s="4765"/>
      <c r="Q53" s="4765"/>
      <c r="R53" s="4765"/>
      <c r="S53" s="4765"/>
      <c r="T53" s="4765"/>
      <c r="U53" s="4766"/>
      <c r="V53" s="1919"/>
      <c r="W53" s="1919"/>
      <c r="X53" s="1919"/>
      <c r="Y53" s="1919"/>
      <c r="Z53" s="1919"/>
      <c r="AA53" s="1919"/>
      <c r="AB53" s="1919"/>
      <c r="AC53" s="1919"/>
      <c r="AD53" s="1919"/>
      <c r="AE53" s="1919"/>
      <c r="AF53" s="1919"/>
      <c r="AG53" s="1919"/>
      <c r="AH53" s="1919"/>
      <c r="AI53" s="1919"/>
      <c r="AJ53" s="1919"/>
      <c r="AK53" s="1919"/>
      <c r="AL53" s="1919"/>
      <c r="AM53" s="1919"/>
      <c r="AN53" s="1919"/>
      <c r="AO53" s="1919"/>
      <c r="AP53" s="1919"/>
      <c r="AQ53" s="1919"/>
      <c r="AR53" s="1919"/>
      <c r="AS53" s="1919"/>
      <c r="AT53" s="1919"/>
      <c r="AU53" s="1919"/>
      <c r="AV53" s="1919"/>
      <c r="AW53" s="1919"/>
    </row>
    <row r="54" spans="1:49" ht="46.5" customHeight="1" x14ac:dyDescent="0.35">
      <c r="A54" s="1909">
        <v>8</v>
      </c>
      <c r="B54" s="723" t="s">
        <v>134</v>
      </c>
      <c r="D54" s="4733" t="s">
        <v>724</v>
      </c>
      <c r="E54" s="4765"/>
      <c r="F54" s="4765"/>
      <c r="G54" s="4765"/>
      <c r="H54" s="4765"/>
      <c r="I54" s="4765"/>
      <c r="J54" s="4765"/>
      <c r="K54" s="4765"/>
      <c r="L54" s="4765"/>
      <c r="M54" s="4765"/>
      <c r="N54" s="4765"/>
      <c r="O54" s="4765"/>
      <c r="P54" s="4765"/>
      <c r="Q54" s="4765"/>
      <c r="R54" s="4765"/>
      <c r="S54" s="4765"/>
      <c r="T54" s="4765"/>
      <c r="U54" s="4766"/>
    </row>
  </sheetData>
  <mergeCells count="8">
    <mergeCell ref="D53:U53"/>
    <mergeCell ref="D54:U54"/>
    <mergeCell ref="D2:U2"/>
    <mergeCell ref="D3:U3"/>
    <mergeCell ref="D4:U4"/>
    <mergeCell ref="D6:AB6"/>
    <mergeCell ref="D51:U51"/>
    <mergeCell ref="D52:U52"/>
  </mergeCells>
  <pageMargins left="0.74803149606299213" right="0.74803149606299213" top="0.98425196850393704" bottom="0.98425196850393704" header="0.51181102362204722" footer="0.51181102362204722"/>
  <pageSetup paperSize="9" scale="62"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D62"/>
  <sheetViews>
    <sheetView showGridLines="0" view="pageBreakPreview" topLeftCell="A4" zoomScaleNormal="100" zoomScaleSheetLayoutView="100" workbookViewId="0">
      <selection activeCell="B19" sqref="B19"/>
    </sheetView>
  </sheetViews>
  <sheetFormatPr defaultColWidth="9.1796875" defaultRowHeight="14.5" x14ac:dyDescent="0.35"/>
  <cols>
    <col min="1" max="1" width="3.81640625" style="86" customWidth="1"/>
    <col min="2" max="2" width="14.453125" style="83" customWidth="1"/>
    <col min="3" max="3" width="3.81640625" style="84" customWidth="1"/>
    <col min="4" max="4" width="9.453125" style="4" customWidth="1"/>
    <col min="5" max="5" width="6.81640625" style="4" customWidth="1"/>
    <col min="6" max="25" width="8.1796875" style="4" customWidth="1"/>
    <col min="26" max="26" width="7" style="4" customWidth="1"/>
    <col min="27" max="27" width="7.1796875" style="4" customWidth="1"/>
    <col min="28" max="28" width="7.453125" style="4" customWidth="1"/>
    <col min="29" max="29" width="8.1796875" style="4" customWidth="1"/>
    <col min="30" max="16384" width="9.1796875" style="4"/>
  </cols>
  <sheetData>
    <row r="1" spans="1:30" x14ac:dyDescent="0.35">
      <c r="A1" s="82"/>
      <c r="D1" s="85"/>
      <c r="E1" s="85"/>
      <c r="F1" s="85"/>
      <c r="G1" s="85"/>
      <c r="H1" s="85"/>
      <c r="I1" s="85"/>
      <c r="J1" s="85"/>
      <c r="K1" s="85"/>
      <c r="L1" s="85"/>
      <c r="M1" s="85"/>
      <c r="N1" s="85"/>
      <c r="O1" s="85"/>
      <c r="P1" s="85"/>
      <c r="Q1" s="85"/>
      <c r="R1" s="85"/>
      <c r="S1" s="85"/>
      <c r="T1" s="85"/>
      <c r="U1" s="85"/>
      <c r="V1" s="85"/>
      <c r="W1" s="85"/>
    </row>
    <row r="2" spans="1:30" ht="12.75" customHeight="1" x14ac:dyDescent="0.35">
      <c r="A2" s="86">
        <v>1</v>
      </c>
      <c r="B2" s="87" t="s">
        <v>0</v>
      </c>
      <c r="C2" s="86">
        <f>'[1]GDP per Capita'!C2+1</f>
        <v>3</v>
      </c>
      <c r="D2" s="4648" t="s">
        <v>82</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50"/>
    </row>
    <row r="3" spans="1:30" ht="12.75" customHeight="1" x14ac:dyDescent="0.35">
      <c r="A3" s="86">
        <v>2</v>
      </c>
      <c r="B3" s="87" t="s">
        <v>2</v>
      </c>
      <c r="C3" s="86"/>
      <c r="D3" s="4651" t="s">
        <v>83</v>
      </c>
      <c r="E3" s="4652"/>
      <c r="F3" s="4652"/>
      <c r="G3" s="4652"/>
      <c r="H3" s="4652"/>
      <c r="I3" s="4652"/>
      <c r="J3" s="4652"/>
      <c r="K3" s="4652"/>
      <c r="L3" s="4652"/>
      <c r="M3" s="4652"/>
      <c r="N3" s="4652"/>
      <c r="O3" s="4652"/>
      <c r="P3" s="4652"/>
      <c r="Q3" s="4652"/>
      <c r="R3" s="4652"/>
      <c r="S3" s="4652"/>
      <c r="T3" s="4652"/>
      <c r="U3" s="4652"/>
      <c r="V3" s="4652"/>
      <c r="W3" s="4652"/>
      <c r="X3" s="4652"/>
      <c r="Y3" s="4652"/>
      <c r="Z3" s="4652"/>
      <c r="AA3" s="4652"/>
      <c r="AB3" s="4652"/>
      <c r="AC3" s="4653"/>
    </row>
    <row r="4" spans="1:30" ht="12.75" customHeight="1" x14ac:dyDescent="0.35">
      <c r="A4" s="86">
        <v>3</v>
      </c>
      <c r="B4" s="87" t="s">
        <v>4</v>
      </c>
      <c r="C4" s="86"/>
      <c r="D4" s="4648" t="s">
        <v>84</v>
      </c>
      <c r="E4" s="4649"/>
      <c r="F4" s="4649"/>
      <c r="G4" s="4649"/>
      <c r="H4" s="4649"/>
      <c r="I4" s="4649"/>
      <c r="J4" s="4649"/>
      <c r="K4" s="4649"/>
      <c r="L4" s="4649"/>
      <c r="M4" s="4649"/>
      <c r="N4" s="4649"/>
      <c r="O4" s="4649"/>
      <c r="P4" s="4649"/>
      <c r="Q4" s="4649"/>
      <c r="R4" s="4649"/>
      <c r="S4" s="4649"/>
      <c r="T4" s="4649"/>
      <c r="U4" s="4649"/>
      <c r="V4" s="4649"/>
      <c r="W4" s="4649"/>
      <c r="X4" s="4649"/>
      <c r="Y4" s="4649"/>
      <c r="Z4" s="4649"/>
      <c r="AA4" s="4649"/>
      <c r="AB4" s="4649"/>
      <c r="AC4" s="4650"/>
    </row>
    <row r="5" spans="1:30" ht="11.25" customHeight="1" x14ac:dyDescent="0.35">
      <c r="B5" s="87"/>
      <c r="C5" s="86"/>
      <c r="D5" s="4656"/>
      <c r="E5" s="4656"/>
      <c r="F5" s="4656"/>
      <c r="G5" s="4656"/>
      <c r="H5" s="4656"/>
      <c r="I5" s="4656"/>
      <c r="J5" s="4656"/>
      <c r="K5" s="4656"/>
      <c r="L5" s="4656"/>
      <c r="M5" s="4656"/>
      <c r="N5" s="4656"/>
      <c r="O5" s="4656"/>
      <c r="P5" s="4656"/>
      <c r="Q5" s="4656"/>
      <c r="R5" s="4656"/>
      <c r="S5" s="4656"/>
      <c r="T5" s="4656"/>
      <c r="U5" s="4656"/>
      <c r="V5" s="4656"/>
      <c r="W5" s="4656"/>
      <c r="X5" s="4656"/>
      <c r="Y5" s="4656"/>
      <c r="Z5" s="4656"/>
      <c r="AA5" s="4656"/>
      <c r="AB5" s="4656"/>
    </row>
    <row r="6" spans="1:30" x14ac:dyDescent="0.35">
      <c r="A6" s="86">
        <v>4</v>
      </c>
      <c r="B6" s="88" t="s">
        <v>6</v>
      </c>
      <c r="D6" s="90" t="s">
        <v>85</v>
      </c>
      <c r="E6" s="90"/>
      <c r="F6" s="90" t="str">
        <f>D2</f>
        <v>Net Foreign Direct Investment (Net FDI)</v>
      </c>
      <c r="G6" s="90"/>
      <c r="H6" s="90"/>
      <c r="I6" s="90"/>
      <c r="J6" s="90"/>
      <c r="K6" s="90"/>
      <c r="L6" s="90"/>
      <c r="M6" s="90"/>
      <c r="N6" s="120"/>
      <c r="O6" s="120"/>
      <c r="P6" s="120"/>
      <c r="Q6" s="120"/>
      <c r="R6" s="120"/>
      <c r="S6" s="120"/>
      <c r="T6" s="120"/>
      <c r="U6" s="108"/>
      <c r="V6" s="108"/>
      <c r="W6" s="108"/>
    </row>
    <row r="7" spans="1:30" s="128" customFormat="1" x14ac:dyDescent="0.35">
      <c r="A7" s="121"/>
      <c r="B7" s="122"/>
      <c r="C7" s="123"/>
      <c r="D7" s="124" t="s">
        <v>86</v>
      </c>
      <c r="E7" s="125" t="s">
        <v>8</v>
      </c>
      <c r="F7" s="125" t="s">
        <v>9</v>
      </c>
      <c r="G7" s="125" t="s">
        <v>10</v>
      </c>
      <c r="H7" s="125" t="s">
        <v>11</v>
      </c>
      <c r="I7" s="125" t="s">
        <v>12</v>
      </c>
      <c r="J7" s="125" t="s">
        <v>13</v>
      </c>
      <c r="K7" s="125" t="s">
        <v>14</v>
      </c>
      <c r="L7" s="125" t="s">
        <v>15</v>
      </c>
      <c r="M7" s="125" t="s">
        <v>16</v>
      </c>
      <c r="N7" s="125" t="s">
        <v>17</v>
      </c>
      <c r="O7" s="125" t="s">
        <v>18</v>
      </c>
      <c r="P7" s="125" t="s">
        <v>19</v>
      </c>
      <c r="Q7" s="126" t="s">
        <v>20</v>
      </c>
      <c r="R7" s="126" t="s">
        <v>21</v>
      </c>
      <c r="S7" s="126" t="s">
        <v>22</v>
      </c>
      <c r="T7" s="126" t="s">
        <v>23</v>
      </c>
      <c r="U7" s="126" t="s">
        <v>24</v>
      </c>
      <c r="V7" s="126" t="s">
        <v>25</v>
      </c>
      <c r="W7" s="126" t="s">
        <v>26</v>
      </c>
      <c r="X7" s="126" t="s">
        <v>27</v>
      </c>
      <c r="Y7" s="126" t="s">
        <v>28</v>
      </c>
      <c r="Z7" s="126" t="s">
        <v>29</v>
      </c>
      <c r="AA7" s="126" t="s">
        <v>30</v>
      </c>
      <c r="AB7" s="126" t="s">
        <v>31</v>
      </c>
      <c r="AC7" s="126" t="s">
        <v>32</v>
      </c>
      <c r="AD7" s="127" t="s">
        <v>33</v>
      </c>
    </row>
    <row r="8" spans="1:30" x14ac:dyDescent="0.35">
      <c r="D8" s="102" t="s">
        <v>87</v>
      </c>
      <c r="E8" s="129">
        <v>-3.04</v>
      </c>
      <c r="F8" s="129">
        <v>-4.5570000000000004</v>
      </c>
      <c r="G8" s="129">
        <v>-0.97</v>
      </c>
      <c r="H8" s="129">
        <v>6.7560000000000002</v>
      </c>
      <c r="I8" s="129">
        <v>-6.7370000000000001</v>
      </c>
      <c r="J8" s="129">
        <v>-0.47499999999999998</v>
      </c>
      <c r="K8" s="129">
        <v>4.28</v>
      </c>
      <c r="L8" s="130">
        <v>85.763000000000005</v>
      </c>
      <c r="M8" s="130">
        <v>20.734999999999999</v>
      </c>
      <c r="N8" s="130">
        <v>1.2749999999999999</v>
      </c>
      <c r="O8" s="130">
        <v>-3.5659999999999998</v>
      </c>
      <c r="P8" s="130">
        <v>36.353999999999999</v>
      </c>
      <c r="Q8" s="131">
        <v>-38.948999999999998</v>
      </c>
      <c r="R8" s="131">
        <v>25.167000000000002</v>
      </c>
      <c r="S8" s="131">
        <v>101.967</v>
      </c>
      <c r="T8" s="132">
        <v>53.813000000000002</v>
      </c>
      <c r="U8" s="133">
        <v>27.170999999999999</v>
      </c>
      <c r="V8" s="131">
        <v>32.673000000000002</v>
      </c>
      <c r="W8" s="131">
        <v>12.9</v>
      </c>
      <c r="X8" s="131">
        <v>15.942</v>
      </c>
      <c r="Y8" s="131">
        <v>-20.606999999999999</v>
      </c>
      <c r="Z8" s="131">
        <v>-51.216999999999999</v>
      </c>
      <c r="AA8" s="131">
        <v>-32.942</v>
      </c>
      <c r="AB8" s="131">
        <v>-71.453000000000003</v>
      </c>
      <c r="AC8" s="131">
        <v>18.18</v>
      </c>
      <c r="AD8" s="134">
        <v>21.76</v>
      </c>
    </row>
    <row r="9" spans="1:30" ht="17" customHeight="1" x14ac:dyDescent="0.35">
      <c r="D9" s="107"/>
      <c r="E9" s="107"/>
      <c r="F9" s="135"/>
      <c r="G9" s="135"/>
      <c r="H9" s="135"/>
      <c r="I9" s="135"/>
      <c r="J9" s="135"/>
      <c r="K9" s="135"/>
      <c r="L9" s="135"/>
      <c r="M9" s="135"/>
      <c r="N9" s="135"/>
      <c r="O9" s="135"/>
      <c r="P9" s="135"/>
      <c r="Q9" s="135"/>
      <c r="R9" s="136"/>
      <c r="S9" s="136"/>
      <c r="T9" s="85"/>
      <c r="U9" s="85"/>
      <c r="V9" s="85"/>
      <c r="W9" s="85"/>
      <c r="X9" s="85"/>
      <c r="Y9" s="85"/>
      <c r="Z9" s="85"/>
      <c r="AA9" s="85"/>
      <c r="AB9" s="85"/>
      <c r="AC9" s="85"/>
    </row>
    <row r="10" spans="1:30" x14ac:dyDescent="0.35">
      <c r="A10" s="86">
        <v>5</v>
      </c>
      <c r="B10" s="87" t="s">
        <v>56</v>
      </c>
      <c r="C10" s="86"/>
      <c r="D10" s="85"/>
      <c r="E10" s="85"/>
      <c r="F10" s="109"/>
      <c r="G10" s="109"/>
      <c r="H10" s="109"/>
      <c r="I10" s="109"/>
      <c r="J10" s="109"/>
      <c r="K10" s="109"/>
      <c r="L10" s="109"/>
      <c r="M10" s="109"/>
      <c r="N10" s="109"/>
      <c r="O10" s="109"/>
      <c r="P10" s="109"/>
      <c r="Q10" s="109"/>
      <c r="R10" s="109"/>
      <c r="S10" s="109"/>
      <c r="T10" s="85"/>
      <c r="U10" s="85"/>
      <c r="V10" s="85"/>
      <c r="W10" s="85"/>
      <c r="Z10" s="137"/>
      <c r="AA10" s="138"/>
      <c r="AB10" s="138"/>
      <c r="AC10" s="139"/>
    </row>
    <row r="11" spans="1:30" x14ac:dyDescent="0.35">
      <c r="D11" s="85"/>
      <c r="E11" s="85"/>
      <c r="F11" s="109"/>
      <c r="G11" s="109"/>
      <c r="H11" s="109"/>
      <c r="I11" s="109"/>
      <c r="J11" s="109"/>
      <c r="K11" s="109"/>
      <c r="L11" s="109"/>
      <c r="M11" s="109"/>
      <c r="N11" s="109"/>
      <c r="O11" s="109"/>
      <c r="P11" s="109"/>
      <c r="Q11" s="109"/>
      <c r="R11" s="109"/>
      <c r="S11" s="109"/>
      <c r="T11" s="85"/>
      <c r="U11" s="85"/>
      <c r="V11" s="85"/>
      <c r="W11" s="85"/>
      <c r="Z11" s="137"/>
      <c r="AA11" s="138"/>
      <c r="AB11" s="138"/>
      <c r="AC11" s="139"/>
      <c r="AD11" s="140"/>
    </row>
    <row r="12" spans="1:30" x14ac:dyDescent="0.35">
      <c r="D12" s="85"/>
      <c r="E12" s="85"/>
      <c r="F12" s="109"/>
      <c r="G12" s="109"/>
      <c r="H12" s="109"/>
      <c r="I12" s="109"/>
      <c r="J12" s="109"/>
      <c r="K12" s="109"/>
      <c r="L12" s="109"/>
      <c r="M12" s="109"/>
      <c r="N12" s="109"/>
      <c r="O12" s="109"/>
      <c r="P12" s="109"/>
      <c r="Q12" s="109"/>
      <c r="R12" s="109"/>
      <c r="S12" s="109"/>
      <c r="T12" s="85"/>
      <c r="U12" s="85"/>
      <c r="V12" s="85"/>
      <c r="W12" s="85"/>
      <c r="Z12" s="137"/>
      <c r="AA12" s="138"/>
      <c r="AB12" s="138"/>
      <c r="AC12" s="141"/>
    </row>
    <row r="13" spans="1:30" x14ac:dyDescent="0.35">
      <c r="D13" s="85"/>
      <c r="E13" s="85"/>
      <c r="F13" s="109"/>
      <c r="G13" s="109"/>
      <c r="H13" s="109"/>
      <c r="I13" s="109"/>
      <c r="J13" s="109"/>
      <c r="K13" s="109"/>
      <c r="L13" s="109"/>
      <c r="M13" s="109"/>
      <c r="N13" s="109"/>
      <c r="O13" s="109"/>
      <c r="P13" s="109"/>
      <c r="Q13" s="109"/>
      <c r="R13" s="109"/>
      <c r="S13" s="109"/>
      <c r="T13" s="85"/>
      <c r="U13" s="85"/>
      <c r="V13" s="85"/>
      <c r="W13" s="85"/>
      <c r="Z13" s="137"/>
      <c r="AA13" s="138"/>
      <c r="AB13" s="138"/>
      <c r="AC13" s="139"/>
    </row>
    <row r="14" spans="1:30" x14ac:dyDescent="0.35">
      <c r="D14" s="85"/>
      <c r="E14" s="85"/>
      <c r="F14" s="109"/>
      <c r="G14" s="109"/>
      <c r="H14" s="109"/>
      <c r="I14" s="109"/>
      <c r="J14" s="109"/>
      <c r="K14" s="109"/>
      <c r="L14" s="109"/>
      <c r="M14" s="112"/>
      <c r="N14" s="109"/>
      <c r="O14" s="109"/>
      <c r="P14" s="109"/>
      <c r="Q14" s="109"/>
      <c r="R14" s="85"/>
      <c r="S14" s="85"/>
      <c r="T14" s="85"/>
      <c r="U14" s="85"/>
      <c r="V14" s="85"/>
      <c r="W14" s="85"/>
      <c r="Z14" s="137"/>
      <c r="AA14" s="138"/>
      <c r="AB14" s="138"/>
      <c r="AC14" s="139"/>
    </row>
    <row r="15" spans="1:30" x14ac:dyDescent="0.35">
      <c r="D15" s="85"/>
      <c r="E15" s="85"/>
      <c r="F15" s="109"/>
      <c r="G15" s="109"/>
      <c r="H15" s="109"/>
      <c r="I15" s="109"/>
      <c r="J15" s="109"/>
      <c r="K15" s="109"/>
      <c r="L15" s="109"/>
      <c r="M15" s="112" t="s">
        <v>88</v>
      </c>
      <c r="N15" s="109"/>
      <c r="O15" s="109"/>
      <c r="P15" s="109"/>
      <c r="Q15" s="109"/>
      <c r="R15" s="85"/>
      <c r="S15" s="85"/>
      <c r="T15" s="85"/>
      <c r="U15" s="85"/>
      <c r="V15" s="85"/>
      <c r="W15" s="85"/>
      <c r="Z15" s="137"/>
      <c r="AA15" s="138"/>
      <c r="AB15" s="138"/>
      <c r="AC15" s="139"/>
    </row>
    <row r="16" spans="1:30" x14ac:dyDescent="0.35">
      <c r="D16" s="85"/>
      <c r="E16" s="85"/>
      <c r="F16" s="109"/>
      <c r="G16" s="109"/>
      <c r="H16" s="109"/>
      <c r="I16" s="109"/>
      <c r="J16" s="109"/>
      <c r="K16" s="109"/>
      <c r="L16" s="109"/>
      <c r="M16" s="109"/>
      <c r="N16" s="109"/>
      <c r="O16" s="109"/>
      <c r="P16" s="109"/>
      <c r="Q16" s="109"/>
      <c r="R16" s="85"/>
      <c r="S16" s="85"/>
      <c r="T16" s="85"/>
      <c r="U16" s="85"/>
      <c r="V16" s="85"/>
      <c r="W16" s="85"/>
      <c r="Z16" s="137"/>
      <c r="AA16" s="138"/>
      <c r="AB16" s="138"/>
      <c r="AC16" s="139"/>
    </row>
    <row r="17" spans="1:29" x14ac:dyDescent="0.35">
      <c r="D17" s="85"/>
      <c r="E17" s="85"/>
      <c r="F17" s="109"/>
      <c r="G17" s="109"/>
      <c r="H17" s="109"/>
      <c r="I17" s="109"/>
      <c r="J17" s="109"/>
      <c r="K17" s="109"/>
      <c r="L17" s="109"/>
      <c r="M17" s="109"/>
      <c r="N17" s="109"/>
      <c r="O17" s="109"/>
      <c r="P17" s="109"/>
      <c r="Q17" s="109"/>
      <c r="R17" s="85"/>
      <c r="S17" s="85"/>
      <c r="T17" s="85"/>
      <c r="U17" s="85"/>
      <c r="V17" s="85"/>
      <c r="W17" s="85"/>
      <c r="Z17" s="137"/>
      <c r="AA17" s="138"/>
      <c r="AB17" s="138"/>
      <c r="AC17" s="139"/>
    </row>
    <row r="18" spans="1:29" x14ac:dyDescent="0.35">
      <c r="D18" s="85"/>
      <c r="E18" s="85"/>
      <c r="F18" s="109"/>
      <c r="G18" s="109"/>
      <c r="H18" s="109"/>
      <c r="I18" s="109"/>
      <c r="J18" s="109"/>
      <c r="K18" s="109"/>
      <c r="L18" s="109"/>
      <c r="M18" s="112" t="s">
        <v>89</v>
      </c>
      <c r="N18" s="109"/>
      <c r="O18" s="109"/>
      <c r="P18" s="109"/>
      <c r="Q18" s="109"/>
      <c r="R18" s="85"/>
      <c r="S18" s="85"/>
      <c r="T18" s="85"/>
      <c r="U18" s="85"/>
      <c r="V18" s="85"/>
      <c r="W18" s="85"/>
      <c r="Z18" s="142"/>
      <c r="AA18" s="138"/>
      <c r="AB18" s="138"/>
      <c r="AC18" s="139"/>
    </row>
    <row r="19" spans="1:29" x14ac:dyDescent="0.35">
      <c r="D19" s="85"/>
      <c r="E19" s="85"/>
      <c r="F19" s="109"/>
      <c r="G19" s="109"/>
      <c r="H19" s="109"/>
      <c r="I19" s="109"/>
      <c r="J19" s="109"/>
      <c r="K19" s="109"/>
      <c r="L19" s="109"/>
      <c r="M19" s="109"/>
      <c r="N19" s="109"/>
      <c r="O19" s="109"/>
      <c r="P19" s="109"/>
      <c r="Q19" s="109"/>
      <c r="R19" s="109"/>
      <c r="S19" s="109"/>
      <c r="T19" s="85"/>
      <c r="U19" s="85"/>
      <c r="V19" s="85"/>
      <c r="W19" s="85"/>
      <c r="AA19" s="138"/>
      <c r="AB19" s="138"/>
      <c r="AC19" s="139"/>
    </row>
    <row r="20" spans="1:29" x14ac:dyDescent="0.35">
      <c r="D20" s="85"/>
      <c r="E20" s="85"/>
      <c r="F20" s="85"/>
      <c r="G20" s="85"/>
      <c r="H20" s="85"/>
      <c r="I20" s="85"/>
      <c r="J20" s="85"/>
      <c r="K20" s="85"/>
      <c r="L20" s="85"/>
      <c r="M20" s="85"/>
      <c r="N20" s="85"/>
      <c r="O20" s="85"/>
      <c r="P20" s="85"/>
      <c r="Q20" s="85"/>
      <c r="R20" s="85"/>
      <c r="S20" s="85"/>
      <c r="T20" s="85"/>
      <c r="U20" s="85"/>
      <c r="V20" s="85"/>
      <c r="W20" s="85"/>
      <c r="AA20" s="138"/>
      <c r="AB20" s="138"/>
      <c r="AC20" s="139"/>
    </row>
    <row r="21" spans="1:29" x14ac:dyDescent="0.35">
      <c r="D21" s="85"/>
      <c r="E21" s="85"/>
      <c r="F21" s="85"/>
      <c r="G21" s="85"/>
      <c r="H21" s="85"/>
      <c r="I21" s="85"/>
      <c r="J21" s="85"/>
      <c r="K21" s="85"/>
      <c r="L21" s="85"/>
      <c r="M21" s="85"/>
      <c r="N21" s="85"/>
      <c r="O21" s="85"/>
      <c r="P21" s="85"/>
      <c r="Q21" s="85"/>
      <c r="R21" s="85"/>
      <c r="S21" s="85"/>
      <c r="T21" s="85"/>
      <c r="U21" s="85"/>
      <c r="V21" s="85"/>
      <c r="W21" s="85"/>
      <c r="AA21" s="138"/>
      <c r="AB21" s="138"/>
      <c r="AC21" s="139"/>
    </row>
    <row r="22" spans="1:29" x14ac:dyDescent="0.35">
      <c r="D22" s="85"/>
      <c r="E22" s="85"/>
      <c r="F22" s="85"/>
      <c r="G22" s="85"/>
      <c r="H22" s="85"/>
      <c r="I22" s="85"/>
      <c r="J22" s="85"/>
      <c r="K22" s="85"/>
      <c r="L22" s="85"/>
      <c r="M22" s="85"/>
      <c r="N22" s="85"/>
      <c r="O22" s="85"/>
      <c r="P22" s="85"/>
      <c r="Q22" s="85"/>
      <c r="R22" s="85"/>
      <c r="S22" s="85"/>
      <c r="T22" s="85"/>
      <c r="U22" s="85"/>
      <c r="V22" s="85"/>
      <c r="W22" s="85"/>
      <c r="AA22" s="138"/>
      <c r="AB22" s="138"/>
      <c r="AC22" s="139"/>
    </row>
    <row r="23" spans="1:29" x14ac:dyDescent="0.35">
      <c r="D23" s="85"/>
      <c r="E23" s="85"/>
      <c r="F23" s="85"/>
      <c r="G23" s="85"/>
      <c r="H23" s="85"/>
      <c r="I23" s="85"/>
      <c r="J23" s="85"/>
      <c r="K23" s="85"/>
      <c r="L23" s="85"/>
      <c r="M23" s="85"/>
      <c r="N23" s="85"/>
      <c r="O23" s="85"/>
      <c r="P23" s="85"/>
      <c r="Q23" s="85"/>
      <c r="R23" s="85"/>
      <c r="S23" s="85"/>
      <c r="T23" s="85"/>
      <c r="U23" s="85"/>
      <c r="V23" s="85"/>
      <c r="W23" s="85"/>
      <c r="AA23" s="138"/>
      <c r="AB23" s="138"/>
      <c r="AC23" s="139"/>
    </row>
    <row r="24" spans="1:29" x14ac:dyDescent="0.35">
      <c r="D24" s="85"/>
      <c r="E24" s="85"/>
      <c r="F24" s="85"/>
      <c r="G24" s="85"/>
      <c r="H24" s="85"/>
      <c r="I24" s="85"/>
      <c r="J24" s="85"/>
      <c r="K24" s="85"/>
      <c r="L24" s="85"/>
      <c r="M24" s="85"/>
      <c r="N24" s="85"/>
      <c r="O24" s="85"/>
      <c r="P24" s="85"/>
      <c r="Q24" s="85"/>
      <c r="R24" s="85"/>
      <c r="S24" s="85"/>
      <c r="T24" s="85"/>
      <c r="U24" s="85"/>
      <c r="V24" s="85"/>
      <c r="W24" s="85"/>
      <c r="AA24" s="138"/>
      <c r="AB24" s="138"/>
      <c r="AC24" s="139"/>
    </row>
    <row r="25" spans="1:29" x14ac:dyDescent="0.35">
      <c r="D25" s="85"/>
      <c r="E25" s="85"/>
      <c r="F25" s="85"/>
      <c r="G25" s="85"/>
      <c r="H25" s="85"/>
      <c r="I25" s="85"/>
      <c r="J25" s="85"/>
      <c r="K25" s="85"/>
      <c r="L25" s="85"/>
      <c r="M25" s="85"/>
      <c r="N25" s="85"/>
      <c r="O25" s="85"/>
      <c r="P25" s="85"/>
      <c r="Q25" s="85"/>
      <c r="R25" s="85"/>
      <c r="S25" s="85"/>
      <c r="T25" s="85"/>
      <c r="U25" s="85"/>
      <c r="V25" s="85"/>
      <c r="W25" s="85"/>
      <c r="AA25" s="138"/>
      <c r="AB25" s="138"/>
      <c r="AC25" s="139"/>
    </row>
    <row r="26" spans="1:29" x14ac:dyDescent="0.35">
      <c r="D26" s="85"/>
      <c r="E26" s="85"/>
      <c r="F26" s="85"/>
      <c r="G26" s="85"/>
      <c r="H26" s="85"/>
      <c r="I26" s="85"/>
      <c r="J26" s="85"/>
      <c r="K26" s="85"/>
      <c r="L26" s="85"/>
      <c r="M26" s="85"/>
      <c r="N26" s="85"/>
      <c r="O26" s="85"/>
      <c r="P26" s="85"/>
      <c r="Q26" s="85"/>
      <c r="R26" s="85"/>
      <c r="S26" s="85"/>
      <c r="T26" s="85"/>
      <c r="U26" s="85"/>
      <c r="V26" s="85"/>
      <c r="W26" s="85"/>
      <c r="AA26" s="138"/>
      <c r="AB26" s="138"/>
      <c r="AC26" s="139"/>
    </row>
    <row r="27" spans="1:29" x14ac:dyDescent="0.35">
      <c r="D27" s="85"/>
      <c r="E27" s="85"/>
      <c r="F27" s="85"/>
      <c r="G27" s="85"/>
      <c r="H27" s="85"/>
      <c r="I27" s="85"/>
      <c r="J27" s="85"/>
      <c r="K27" s="85"/>
      <c r="L27" s="85"/>
      <c r="M27" s="85"/>
      <c r="N27" s="85"/>
      <c r="O27" s="85"/>
      <c r="P27" s="85"/>
      <c r="Q27" s="85"/>
      <c r="R27" s="85"/>
      <c r="S27" s="85"/>
      <c r="T27" s="85"/>
      <c r="U27" s="85"/>
      <c r="V27" s="85"/>
      <c r="W27" s="85"/>
      <c r="AA27" s="138"/>
      <c r="AB27" s="138"/>
      <c r="AC27" s="139"/>
    </row>
    <row r="28" spans="1:29" x14ac:dyDescent="0.35">
      <c r="D28" s="85"/>
      <c r="E28" s="85"/>
      <c r="F28" s="85"/>
      <c r="G28" s="85"/>
      <c r="H28" s="85"/>
      <c r="I28" s="85"/>
      <c r="J28" s="85"/>
      <c r="K28" s="85"/>
      <c r="L28" s="85"/>
      <c r="M28" s="85"/>
      <c r="N28" s="85"/>
      <c r="O28" s="85"/>
      <c r="P28" s="85"/>
      <c r="Q28" s="85"/>
      <c r="R28" s="85"/>
      <c r="S28" s="85"/>
      <c r="T28" s="85"/>
      <c r="U28" s="85"/>
      <c r="V28" s="85"/>
      <c r="W28" s="85"/>
      <c r="AA28" s="138"/>
      <c r="AB28" s="138"/>
      <c r="AC28" s="139"/>
    </row>
    <row r="29" spans="1:29" ht="12" customHeight="1" x14ac:dyDescent="0.35">
      <c r="D29" s="85"/>
      <c r="E29" s="85"/>
      <c r="F29" s="85"/>
      <c r="G29" s="85"/>
      <c r="H29" s="85"/>
      <c r="I29" s="85"/>
      <c r="J29" s="85"/>
      <c r="K29" s="85"/>
      <c r="L29" s="85"/>
      <c r="M29" s="85"/>
      <c r="N29" s="85"/>
      <c r="O29" s="85"/>
      <c r="P29" s="85"/>
      <c r="Q29" s="85"/>
      <c r="R29" s="85"/>
      <c r="S29" s="85"/>
      <c r="T29" s="85"/>
      <c r="U29" s="85"/>
      <c r="V29" s="85"/>
      <c r="W29" s="85"/>
      <c r="AA29" s="138"/>
      <c r="AB29" s="138"/>
      <c r="AC29" s="139"/>
    </row>
    <row r="30" spans="1:29" ht="12.75" customHeight="1" x14ac:dyDescent="0.35">
      <c r="A30" s="86">
        <v>6</v>
      </c>
      <c r="B30" s="87" t="s">
        <v>58</v>
      </c>
      <c r="C30" s="86"/>
      <c r="D30" s="4648" t="s">
        <v>90</v>
      </c>
      <c r="E30" s="4649"/>
      <c r="F30" s="4649"/>
      <c r="G30" s="4649"/>
      <c r="H30" s="4649"/>
      <c r="I30" s="4649"/>
      <c r="J30" s="4649"/>
      <c r="K30" s="4649"/>
      <c r="L30" s="4649"/>
      <c r="M30" s="4649"/>
      <c r="N30" s="4649"/>
      <c r="O30" s="4649"/>
      <c r="P30" s="4649"/>
      <c r="Q30" s="4649"/>
      <c r="R30" s="4649"/>
      <c r="S30" s="4649"/>
      <c r="T30" s="4649"/>
      <c r="U30" s="4649"/>
      <c r="V30" s="4649"/>
      <c r="W30" s="4649"/>
      <c r="X30" s="4649"/>
      <c r="Y30" s="4649"/>
      <c r="Z30" s="4649"/>
      <c r="AA30" s="4649"/>
      <c r="AB30" s="4649"/>
      <c r="AC30" s="4650"/>
    </row>
    <row r="31" spans="1:29" ht="15" customHeight="1" x14ac:dyDescent="0.35">
      <c r="A31" s="113">
        <v>7</v>
      </c>
      <c r="B31" s="114" t="s">
        <v>60</v>
      </c>
      <c r="C31" s="113"/>
      <c r="D31" s="4648" t="s">
        <v>373</v>
      </c>
      <c r="E31" s="4649"/>
      <c r="F31" s="4649"/>
      <c r="G31" s="4649"/>
      <c r="H31" s="4649"/>
      <c r="I31" s="4649"/>
      <c r="J31" s="4649"/>
      <c r="K31" s="4649"/>
      <c r="L31" s="4649"/>
      <c r="M31" s="4649"/>
      <c r="N31" s="4649"/>
      <c r="O31" s="4649"/>
      <c r="P31" s="4649"/>
      <c r="Q31" s="4649"/>
      <c r="R31" s="4649"/>
      <c r="S31" s="4649"/>
      <c r="T31" s="4649"/>
      <c r="U31" s="4649"/>
      <c r="V31" s="4649"/>
      <c r="W31" s="4649"/>
      <c r="X31" s="4649"/>
      <c r="Y31" s="4649"/>
      <c r="Z31" s="4649"/>
      <c r="AA31" s="4649"/>
      <c r="AB31" s="4649"/>
      <c r="AC31" s="4650"/>
    </row>
    <row r="32" spans="1:29" ht="12.75" customHeight="1" x14ac:dyDescent="0.35">
      <c r="A32" s="86">
        <v>8</v>
      </c>
      <c r="B32" s="87" t="s">
        <v>62</v>
      </c>
      <c r="C32" s="86"/>
      <c r="D32" s="4648" t="s">
        <v>79</v>
      </c>
      <c r="E32" s="4649"/>
      <c r="F32" s="4649"/>
      <c r="G32" s="4649"/>
      <c r="H32" s="4649"/>
      <c r="I32" s="4649"/>
      <c r="J32" s="4649"/>
      <c r="K32" s="4649"/>
      <c r="L32" s="4649"/>
      <c r="M32" s="4649"/>
      <c r="N32" s="4649"/>
      <c r="O32" s="4649"/>
      <c r="P32" s="4649"/>
      <c r="Q32" s="4649"/>
      <c r="R32" s="4649"/>
      <c r="S32" s="4649"/>
      <c r="T32" s="4649"/>
      <c r="U32" s="4649"/>
      <c r="V32" s="4649"/>
      <c r="W32" s="4649"/>
      <c r="X32" s="4649"/>
      <c r="Y32" s="4649"/>
      <c r="Z32" s="4649"/>
      <c r="AA32" s="4649"/>
      <c r="AB32" s="4649"/>
      <c r="AC32" s="4650"/>
    </row>
    <row r="33" spans="1:29" ht="12.75" customHeight="1" x14ac:dyDescent="0.35">
      <c r="A33" s="86">
        <v>9</v>
      </c>
      <c r="B33" s="87" t="s">
        <v>64</v>
      </c>
      <c r="C33" s="86"/>
      <c r="D33" s="4648" t="s">
        <v>91</v>
      </c>
      <c r="E33" s="4649"/>
      <c r="F33" s="4649"/>
      <c r="G33" s="4649"/>
      <c r="H33" s="4649"/>
      <c r="I33" s="4649"/>
      <c r="J33" s="4649"/>
      <c r="K33" s="4649"/>
      <c r="L33" s="4649"/>
      <c r="M33" s="4649"/>
      <c r="N33" s="4649"/>
      <c r="O33" s="4649"/>
      <c r="P33" s="4649"/>
      <c r="Q33" s="4649"/>
      <c r="R33" s="4649"/>
      <c r="S33" s="4649"/>
      <c r="T33" s="4649"/>
      <c r="U33" s="4649"/>
      <c r="V33" s="4649"/>
      <c r="W33" s="4649"/>
      <c r="X33" s="4649"/>
      <c r="Y33" s="4649"/>
      <c r="Z33" s="4649"/>
      <c r="AA33" s="4649"/>
      <c r="AB33" s="4649"/>
      <c r="AC33" s="4650"/>
    </row>
    <row r="35" spans="1:29" x14ac:dyDescent="0.35">
      <c r="A35" s="143"/>
      <c r="F35" s="144"/>
      <c r="G35" s="144"/>
      <c r="H35" s="144"/>
      <c r="I35" s="144"/>
      <c r="J35" s="144"/>
      <c r="K35" s="144"/>
      <c r="L35" s="144"/>
      <c r="M35" s="144"/>
      <c r="N35" s="144"/>
      <c r="O35" s="144"/>
      <c r="P35" s="144"/>
      <c r="Q35" s="144"/>
      <c r="R35" s="145"/>
      <c r="S35" s="145"/>
      <c r="T35" s="145"/>
      <c r="U35" s="146"/>
      <c r="V35" s="147"/>
      <c r="W35" s="147"/>
      <c r="X35" s="148"/>
      <c r="Y35" s="148"/>
    </row>
    <row r="36" spans="1:29" x14ac:dyDescent="0.35">
      <c r="A36" s="143"/>
      <c r="E36" s="4">
        <v>1990</v>
      </c>
      <c r="F36" s="12">
        <v>1991</v>
      </c>
      <c r="G36" s="12">
        <v>1992</v>
      </c>
      <c r="H36" s="4">
        <v>1993</v>
      </c>
      <c r="I36" s="12">
        <v>1994</v>
      </c>
      <c r="J36" s="12">
        <v>1995</v>
      </c>
      <c r="K36" s="4">
        <v>1996</v>
      </c>
      <c r="L36" s="12">
        <v>1997</v>
      </c>
      <c r="M36" s="12">
        <v>1998</v>
      </c>
      <c r="N36" s="4">
        <v>1999</v>
      </c>
      <c r="O36" s="12">
        <v>2000</v>
      </c>
      <c r="P36" s="12">
        <v>2001</v>
      </c>
      <c r="Q36" s="4">
        <v>2002</v>
      </c>
      <c r="R36" s="12">
        <v>2003</v>
      </c>
      <c r="S36" s="12">
        <v>2004</v>
      </c>
      <c r="T36" s="4">
        <v>2005</v>
      </c>
      <c r="U36" s="12">
        <v>2006</v>
      </c>
      <c r="V36" s="12">
        <v>2007</v>
      </c>
      <c r="W36" s="4">
        <v>2008</v>
      </c>
      <c r="X36" s="12">
        <v>2009</v>
      </c>
      <c r="Y36" s="12">
        <v>2010</v>
      </c>
      <c r="Z36" s="4">
        <v>2011</v>
      </c>
      <c r="AA36" s="12">
        <v>2012</v>
      </c>
      <c r="AB36" s="45">
        <v>2013</v>
      </c>
      <c r="AC36" s="12">
        <v>2014</v>
      </c>
    </row>
    <row r="37" spans="1:29" x14ac:dyDescent="0.35">
      <c r="A37" s="143"/>
      <c r="E37" s="4">
        <v>-274</v>
      </c>
      <c r="F37" s="12">
        <v>111</v>
      </c>
      <c r="G37" s="12">
        <v>-5514</v>
      </c>
      <c r="H37" s="12">
        <v>-941</v>
      </c>
      <c r="I37" s="12">
        <v>-3040</v>
      </c>
      <c r="J37" s="12">
        <v>-4557</v>
      </c>
      <c r="K37" s="12">
        <v>-970</v>
      </c>
      <c r="L37" s="12">
        <v>6756</v>
      </c>
      <c r="M37" s="12">
        <v>-6737</v>
      </c>
      <c r="N37" s="12">
        <v>-475</v>
      </c>
      <c r="O37" s="12">
        <v>4280</v>
      </c>
      <c r="P37" s="12">
        <v>85763</v>
      </c>
      <c r="Q37" s="12">
        <v>20735</v>
      </c>
      <c r="R37" s="12">
        <v>1275</v>
      </c>
      <c r="S37" s="12">
        <v>-3566</v>
      </c>
      <c r="T37" s="12">
        <v>36354</v>
      </c>
      <c r="U37" s="12">
        <v>-38949</v>
      </c>
      <c r="V37" s="12">
        <v>25167</v>
      </c>
      <c r="W37" s="12">
        <v>101967</v>
      </c>
      <c r="X37" s="12">
        <v>53813</v>
      </c>
      <c r="Y37" s="12">
        <v>27171</v>
      </c>
      <c r="Z37" s="12">
        <v>32673</v>
      </c>
      <c r="AA37" s="12">
        <v>12900</v>
      </c>
      <c r="AB37" s="12">
        <v>15942</v>
      </c>
      <c r="AC37" s="12"/>
    </row>
    <row r="38" spans="1:29" x14ac:dyDescent="0.35">
      <c r="A38" s="143"/>
      <c r="E38" s="4">
        <f>+E37/1000</f>
        <v>-0.27400000000000002</v>
      </c>
      <c r="F38" s="4">
        <f t="shared" ref="F38:AB38" si="0">+F37/1000</f>
        <v>0.111</v>
      </c>
      <c r="G38" s="4">
        <f t="shared" si="0"/>
        <v>-5.5140000000000002</v>
      </c>
      <c r="H38" s="4">
        <f t="shared" si="0"/>
        <v>-0.94099999999999995</v>
      </c>
      <c r="I38" s="4">
        <f t="shared" si="0"/>
        <v>-3.04</v>
      </c>
      <c r="J38" s="4">
        <f t="shared" si="0"/>
        <v>-4.5570000000000004</v>
      </c>
      <c r="K38" s="4">
        <f t="shared" si="0"/>
        <v>-0.97</v>
      </c>
      <c r="L38" s="4">
        <f t="shared" si="0"/>
        <v>6.7560000000000002</v>
      </c>
      <c r="M38" s="4">
        <f t="shared" si="0"/>
        <v>-6.7370000000000001</v>
      </c>
      <c r="N38" s="4">
        <f t="shared" si="0"/>
        <v>-0.47499999999999998</v>
      </c>
      <c r="O38" s="4">
        <f t="shared" si="0"/>
        <v>4.28</v>
      </c>
      <c r="P38" s="4">
        <f>+P37/1000</f>
        <v>85.763000000000005</v>
      </c>
      <c r="Q38" s="4">
        <f t="shared" si="0"/>
        <v>20.734999999999999</v>
      </c>
      <c r="R38" s="4">
        <f t="shared" si="0"/>
        <v>1.2749999999999999</v>
      </c>
      <c r="S38" s="4">
        <f t="shared" si="0"/>
        <v>-3.5659999999999998</v>
      </c>
      <c r="T38" s="4">
        <f t="shared" si="0"/>
        <v>36.353999999999999</v>
      </c>
      <c r="U38" s="4">
        <f t="shared" si="0"/>
        <v>-38.948999999999998</v>
      </c>
      <c r="V38" s="4">
        <f t="shared" si="0"/>
        <v>25.167000000000002</v>
      </c>
      <c r="W38" s="4">
        <f t="shared" si="0"/>
        <v>101.967</v>
      </c>
      <c r="X38" s="4">
        <f t="shared" si="0"/>
        <v>53.813000000000002</v>
      </c>
      <c r="Y38" s="4">
        <f t="shared" si="0"/>
        <v>27.170999999999999</v>
      </c>
      <c r="Z38" s="4">
        <f t="shared" si="0"/>
        <v>32.673000000000002</v>
      </c>
      <c r="AA38" s="4">
        <f t="shared" si="0"/>
        <v>12.9</v>
      </c>
      <c r="AB38" s="4">
        <f t="shared" si="0"/>
        <v>15.942</v>
      </c>
    </row>
    <row r="39" spans="1:29" x14ac:dyDescent="0.35">
      <c r="A39" s="143"/>
      <c r="F39" s="12"/>
      <c r="G39" s="12"/>
      <c r="H39" s="12"/>
      <c r="I39" s="149"/>
      <c r="J39" s="149"/>
      <c r="K39" s="149"/>
      <c r="L39" s="149"/>
      <c r="M39" s="149"/>
      <c r="N39" s="149"/>
      <c r="O39" s="149"/>
      <c r="P39" s="149"/>
      <c r="Q39" s="149"/>
      <c r="R39" s="149"/>
      <c r="S39" s="149"/>
      <c r="T39" s="149"/>
      <c r="U39" s="149"/>
      <c r="V39" s="149"/>
      <c r="W39" s="149"/>
      <c r="X39" s="149"/>
      <c r="Y39" s="149"/>
      <c r="Z39" s="149"/>
      <c r="AA39" s="149"/>
      <c r="AB39" s="149"/>
    </row>
    <row r="40" spans="1:29" x14ac:dyDescent="0.35">
      <c r="F40" s="12"/>
      <c r="G40" s="12"/>
      <c r="H40" s="12"/>
      <c r="I40" s="12"/>
      <c r="J40" s="12"/>
      <c r="K40" s="12"/>
      <c r="L40" s="12"/>
      <c r="M40" s="12"/>
      <c r="N40" s="12"/>
      <c r="O40" s="12"/>
      <c r="P40" s="12"/>
      <c r="Q40" s="12"/>
      <c r="R40" s="12"/>
      <c r="S40" s="12"/>
      <c r="T40" s="12"/>
      <c r="U40" s="12"/>
      <c r="V40" s="12"/>
      <c r="W40" s="12"/>
      <c r="X40" s="12"/>
      <c r="Y40" s="12"/>
      <c r="Z40" s="12"/>
      <c r="AA40" s="12"/>
      <c r="AB40" s="12"/>
    </row>
    <row r="41" spans="1:29" x14ac:dyDescent="0.35">
      <c r="F41" s="12"/>
      <c r="G41" s="12"/>
      <c r="H41" s="12"/>
      <c r="I41" s="12"/>
      <c r="J41" s="12"/>
      <c r="K41" s="12"/>
      <c r="L41" s="12"/>
      <c r="M41" s="12"/>
      <c r="N41" s="12"/>
      <c r="O41" s="12"/>
      <c r="P41" s="12"/>
      <c r="Q41" s="12"/>
      <c r="R41" s="12"/>
      <c r="S41" s="12"/>
      <c r="T41" s="12"/>
      <c r="U41" s="12"/>
      <c r="V41" s="12"/>
      <c r="W41" s="12"/>
      <c r="X41" s="12"/>
      <c r="Y41" s="12"/>
      <c r="Z41" s="12"/>
      <c r="AA41" s="12"/>
      <c r="AB41" s="12"/>
    </row>
    <row r="62" spans="29:29" x14ac:dyDescent="0.35">
      <c r="AC62" s="4" t="s">
        <v>67</v>
      </c>
    </row>
  </sheetData>
  <mergeCells count="8">
    <mergeCell ref="D32:AC32"/>
    <mergeCell ref="D33:AC33"/>
    <mergeCell ref="D2:AC2"/>
    <mergeCell ref="D3:AC3"/>
    <mergeCell ref="D4:AC4"/>
    <mergeCell ref="D5:AB5"/>
    <mergeCell ref="D30:AC30"/>
    <mergeCell ref="D31:AC31"/>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249977111117893"/>
    <pageSetUpPr fitToPage="1"/>
  </sheetPr>
  <dimension ref="A1:AP62"/>
  <sheetViews>
    <sheetView showGridLines="0" view="pageBreakPreview" zoomScaleNormal="100" zoomScaleSheetLayoutView="100" workbookViewId="0">
      <selection activeCell="T36" sqref="T36"/>
    </sheetView>
  </sheetViews>
  <sheetFormatPr defaultColWidth="9.1796875" defaultRowHeight="14" x14ac:dyDescent="0.3"/>
  <cols>
    <col min="1" max="1" width="3.7265625" style="1867" customWidth="1"/>
    <col min="2" max="2" width="14.453125" style="2042" customWidth="1"/>
    <col min="3" max="3" width="3.7265625" style="2042" customWidth="1"/>
    <col min="4" max="4" width="11.453125" style="1873" customWidth="1"/>
    <col min="5" max="6" width="10.7265625" style="1873" customWidth="1"/>
    <col min="7" max="7" width="15.7265625" style="1873" customWidth="1"/>
    <col min="8" max="8" width="15.453125" style="1873" customWidth="1"/>
    <col min="9" max="9" width="14.81640625" style="1873" customWidth="1"/>
    <col min="10" max="10" width="15.81640625" style="1873" customWidth="1"/>
    <col min="11" max="12" width="14" style="1873" customWidth="1"/>
    <col min="13" max="14" width="14.453125" style="1873" customWidth="1"/>
    <col min="15" max="15" width="15.453125" style="1873" customWidth="1"/>
    <col min="16" max="17" width="12.7265625" style="1873" customWidth="1"/>
    <col min="18" max="18" width="10" style="1873" customWidth="1"/>
    <col min="19" max="19" width="9.81640625" style="1873" customWidth="1"/>
    <col min="20" max="20" width="7.7265625" style="1873" customWidth="1"/>
    <col min="21" max="21" width="8.26953125" style="1873" customWidth="1"/>
    <col min="22" max="22" width="9.26953125" style="1873" customWidth="1"/>
    <col min="23" max="23" width="9.1796875" style="1873" customWidth="1"/>
    <col min="24" max="24" width="7.36328125" style="1873" customWidth="1"/>
    <col min="25" max="29" width="9.1796875" style="1873"/>
    <col min="30" max="30" width="8.08984375" style="1873" customWidth="1"/>
    <col min="31" max="16384" width="9.1796875" style="1873"/>
  </cols>
  <sheetData>
    <row r="1" spans="1:42" x14ac:dyDescent="0.3">
      <c r="A1" s="1879"/>
      <c r="B1" s="1983"/>
      <c r="C1" s="1983"/>
    </row>
    <row r="2" spans="1:42" s="1912" customFormat="1" ht="14.25" customHeight="1" x14ac:dyDescent="0.3">
      <c r="A2" s="819">
        <v>1</v>
      </c>
      <c r="B2" s="819" t="s">
        <v>0</v>
      </c>
      <c r="C2" s="819">
        <v>30</v>
      </c>
      <c r="D2" s="4651" t="s">
        <v>725</v>
      </c>
      <c r="E2" s="4652"/>
      <c r="F2" s="4652"/>
      <c r="G2" s="4652"/>
      <c r="H2" s="4652"/>
      <c r="I2" s="4652"/>
      <c r="J2" s="4652"/>
      <c r="K2" s="4652"/>
      <c r="L2" s="4652"/>
      <c r="M2" s="4652"/>
      <c r="N2" s="4652"/>
      <c r="O2" s="4652"/>
      <c r="P2" s="4652"/>
      <c r="Q2" s="4652"/>
      <c r="R2" s="946"/>
      <c r="S2" s="946"/>
      <c r="T2" s="946"/>
      <c r="U2" s="946"/>
      <c r="V2" s="946"/>
      <c r="W2" s="946"/>
      <c r="X2" s="947"/>
    </row>
    <row r="3" spans="1:42" s="1912" customFormat="1" ht="13.9" customHeight="1" x14ac:dyDescent="0.3">
      <c r="A3" s="819">
        <v>2</v>
      </c>
      <c r="B3" s="819" t="s">
        <v>2</v>
      </c>
      <c r="C3" s="819"/>
      <c r="D3" s="4651" t="s">
        <v>726</v>
      </c>
      <c r="E3" s="4652"/>
      <c r="F3" s="4652"/>
      <c r="G3" s="4652"/>
      <c r="H3" s="4652"/>
      <c r="I3" s="4652"/>
      <c r="J3" s="4652"/>
      <c r="K3" s="4652"/>
      <c r="L3" s="4652"/>
      <c r="M3" s="4652"/>
      <c r="N3" s="4652"/>
      <c r="O3" s="4652"/>
      <c r="P3" s="4652"/>
      <c r="Q3" s="4652"/>
      <c r="R3" s="4652"/>
      <c r="S3" s="4652"/>
      <c r="T3" s="4652"/>
      <c r="U3" s="4652"/>
      <c r="V3" s="4652"/>
      <c r="W3" s="4652"/>
      <c r="X3" s="4653"/>
    </row>
    <row r="4" spans="1:42" s="1912" customFormat="1" ht="14.25" customHeight="1" x14ac:dyDescent="0.3">
      <c r="A4" s="819">
        <v>3</v>
      </c>
      <c r="B4" s="819" t="s">
        <v>4</v>
      </c>
      <c r="C4" s="819"/>
      <c r="D4" s="4651" t="s">
        <v>727</v>
      </c>
      <c r="E4" s="4652"/>
      <c r="F4" s="4652"/>
      <c r="G4" s="4652"/>
      <c r="H4" s="4652"/>
      <c r="I4" s="4652"/>
      <c r="J4" s="4652"/>
      <c r="K4" s="4652"/>
      <c r="L4" s="4652"/>
      <c r="M4" s="4652"/>
      <c r="N4" s="4652"/>
      <c r="O4" s="4652"/>
      <c r="P4" s="4652"/>
      <c r="Q4" s="4652"/>
      <c r="R4" s="4652"/>
      <c r="S4" s="4652"/>
      <c r="T4" s="4652"/>
      <c r="U4" s="4652"/>
      <c r="V4" s="4652"/>
      <c r="W4" s="4652"/>
      <c r="X4" s="4653"/>
    </row>
    <row r="5" spans="1:42" s="1912" customFormat="1" ht="14.5" x14ac:dyDescent="0.35">
      <c r="A5" s="819"/>
      <c r="B5" s="819"/>
      <c r="C5" s="819"/>
      <c r="D5" s="1513"/>
      <c r="E5" s="1513"/>
      <c r="F5" s="1513"/>
      <c r="G5" s="1513"/>
      <c r="H5" s="1513"/>
      <c r="I5" s="1513"/>
      <c r="J5" s="1513"/>
      <c r="K5" s="1513"/>
      <c r="L5" s="1513"/>
      <c r="M5" s="1513"/>
      <c r="N5" s="1513"/>
      <c r="O5" s="1513"/>
      <c r="P5" s="1513"/>
      <c r="Q5" s="1513"/>
      <c r="R5" s="1513"/>
      <c r="S5" s="1513"/>
      <c r="T5" s="1984"/>
      <c r="U5" s="1984"/>
      <c r="V5" s="1984"/>
      <c r="W5" s="1984"/>
      <c r="X5" s="1984"/>
    </row>
    <row r="6" spans="1:42" s="1912" customFormat="1" ht="18" customHeight="1" x14ac:dyDescent="0.35">
      <c r="A6" s="819">
        <v>5</v>
      </c>
      <c r="B6" s="1192" t="s">
        <v>6</v>
      </c>
      <c r="C6" s="1192"/>
      <c r="D6" s="1219" t="s">
        <v>7</v>
      </c>
      <c r="E6" s="1985" t="s">
        <v>728</v>
      </c>
      <c r="F6" s="1986"/>
      <c r="G6" s="1986"/>
      <c r="H6" s="1987"/>
      <c r="I6" s="1987"/>
      <c r="J6" s="1987"/>
      <c r="K6" s="1987"/>
      <c r="L6" s="1987"/>
      <c r="M6" s="1987"/>
      <c r="N6" s="1987"/>
      <c r="O6" s="1987"/>
      <c r="P6" s="1987"/>
      <c r="Q6" s="1988"/>
      <c r="R6" s="1988"/>
      <c r="S6" s="1988"/>
      <c r="T6" s="1989"/>
      <c r="U6" s="1989"/>
      <c r="V6" s="1989"/>
      <c r="W6" s="1989"/>
      <c r="X6" s="1989"/>
    </row>
    <row r="7" spans="1:42" s="1912" customFormat="1" x14ac:dyDescent="0.3">
      <c r="A7" s="819"/>
      <c r="B7" s="1192"/>
      <c r="C7" s="1192"/>
      <c r="D7" s="1990"/>
      <c r="E7" s="1991" t="s">
        <v>102</v>
      </c>
      <c r="F7" s="1991" t="s">
        <v>103</v>
      </c>
      <c r="G7" s="1991" t="s">
        <v>104</v>
      </c>
      <c r="H7" s="1991" t="s">
        <v>105</v>
      </c>
      <c r="I7" s="1991" t="s">
        <v>106</v>
      </c>
      <c r="J7" s="1991" t="s">
        <v>107</v>
      </c>
      <c r="K7" s="1991" t="s">
        <v>108</v>
      </c>
      <c r="L7" s="1991" t="s">
        <v>109</v>
      </c>
      <c r="M7" s="1991" t="s">
        <v>110</v>
      </c>
      <c r="N7" s="1991" t="s">
        <v>111</v>
      </c>
      <c r="O7" s="229" t="s">
        <v>112</v>
      </c>
      <c r="P7" s="229" t="s">
        <v>113</v>
      </c>
      <c r="Q7" s="229" t="s">
        <v>114</v>
      </c>
      <c r="R7" s="229" t="s">
        <v>115</v>
      </c>
      <c r="S7" s="229" t="s">
        <v>116</v>
      </c>
      <c r="T7" s="229" t="s">
        <v>117</v>
      </c>
      <c r="U7" s="229" t="s">
        <v>118</v>
      </c>
      <c r="V7" s="229" t="s">
        <v>119</v>
      </c>
      <c r="W7" s="229" t="s">
        <v>120</v>
      </c>
      <c r="X7" s="229" t="s">
        <v>121</v>
      </c>
      <c r="Y7" s="229" t="s">
        <v>122</v>
      </c>
      <c r="Z7" s="229" t="s">
        <v>123</v>
      </c>
      <c r="AA7" s="229" t="s">
        <v>124</v>
      </c>
      <c r="AB7" s="229" t="s">
        <v>125</v>
      </c>
      <c r="AC7" s="229" t="s">
        <v>126</v>
      </c>
      <c r="AD7" s="229" t="s">
        <v>302</v>
      </c>
    </row>
    <row r="8" spans="1:42" s="1912" customFormat="1" ht="21" x14ac:dyDescent="0.3">
      <c r="A8" s="819"/>
      <c r="B8" s="1192"/>
      <c r="C8" s="1192"/>
      <c r="D8" s="1804" t="s">
        <v>729</v>
      </c>
      <c r="E8" s="1992">
        <v>0</v>
      </c>
      <c r="F8" s="1993">
        <v>1</v>
      </c>
      <c r="G8" s="1993">
        <v>3</v>
      </c>
      <c r="H8" s="1993">
        <v>208</v>
      </c>
      <c r="I8" s="1993">
        <v>408</v>
      </c>
      <c r="J8" s="1993">
        <v>3916</v>
      </c>
      <c r="K8" s="1993">
        <v>12094</v>
      </c>
      <c r="L8" s="1993">
        <v>29877</v>
      </c>
      <c r="M8" s="1993">
        <v>36488</v>
      </c>
      <c r="N8" s="1993">
        <v>48825</v>
      </c>
      <c r="O8" s="1993">
        <v>59345</v>
      </c>
      <c r="P8" s="1993">
        <v>71645</v>
      </c>
      <c r="Q8" s="1993">
        <v>74417</v>
      </c>
      <c r="R8" s="1993">
        <v>74747</v>
      </c>
      <c r="S8" s="1993">
        <v>75400</v>
      </c>
      <c r="T8" s="1993">
        <v>75844</v>
      </c>
      <c r="U8" s="1993">
        <v>76228</v>
      </c>
      <c r="V8" s="1994">
        <v>76705</v>
      </c>
      <c r="W8" s="1993">
        <v>77334</v>
      </c>
      <c r="X8" s="1994">
        <v>77622</v>
      </c>
      <c r="Y8" s="1994">
        <v>78100</v>
      </c>
      <c r="Z8" s="1995">
        <v>78750</v>
      </c>
      <c r="AA8" s="1995">
        <v>79616</v>
      </c>
      <c r="AB8" s="1995">
        <v>80664</v>
      </c>
      <c r="AC8" s="1995">
        <v>81301</v>
      </c>
      <c r="AD8" s="1995">
        <v>81792</v>
      </c>
      <c r="AE8" s="1914"/>
      <c r="AF8" s="1914"/>
      <c r="AG8" s="1914"/>
      <c r="AH8" s="1914"/>
      <c r="AI8" s="1914"/>
      <c r="AJ8" s="1914"/>
      <c r="AK8" s="1914"/>
      <c r="AL8" s="1914"/>
      <c r="AM8" s="1914"/>
      <c r="AN8" s="1914"/>
      <c r="AO8" s="1914"/>
      <c r="AP8" s="1914"/>
    </row>
    <row r="9" spans="1:42" s="1912" customFormat="1" ht="21" x14ac:dyDescent="0.3">
      <c r="A9" s="819"/>
      <c r="B9" s="1192"/>
      <c r="C9" s="1192"/>
      <c r="D9" s="1996" t="s">
        <v>730</v>
      </c>
      <c r="E9" s="1997"/>
      <c r="F9" s="1998"/>
      <c r="G9" s="1998"/>
      <c r="H9" s="1998"/>
      <c r="I9" s="1998"/>
      <c r="J9" s="1998"/>
      <c r="K9" s="1998"/>
      <c r="L9" s="1998"/>
      <c r="M9" s="1998"/>
      <c r="N9" s="1998"/>
      <c r="O9" s="1998"/>
      <c r="P9" s="1998"/>
      <c r="Q9" s="1998"/>
      <c r="R9" s="1998"/>
      <c r="S9" s="1998"/>
      <c r="T9" s="1998"/>
      <c r="U9" s="1998">
        <v>1495</v>
      </c>
      <c r="V9" s="1999">
        <v>1835</v>
      </c>
      <c r="W9" s="1998">
        <v>2211</v>
      </c>
      <c r="X9" s="1999">
        <v>2503</v>
      </c>
      <c r="Y9" s="1999">
        <v>2875</v>
      </c>
      <c r="Z9" s="2000">
        <v>3435</v>
      </c>
      <c r="AA9" s="2000">
        <v>4107</v>
      </c>
      <c r="AB9" s="2000">
        <v>4972</v>
      </c>
      <c r="AC9" s="2000">
        <v>5967</v>
      </c>
      <c r="AD9" s="2000">
        <v>6653</v>
      </c>
    </row>
    <row r="10" spans="1:42" s="1912" customFormat="1" x14ac:dyDescent="0.3">
      <c r="A10" s="819"/>
      <c r="B10" s="1192"/>
      <c r="C10" s="1192"/>
      <c r="D10" s="1804"/>
      <c r="E10" s="1839"/>
      <c r="F10" s="1839"/>
      <c r="G10" s="1839"/>
      <c r="H10" s="1839"/>
      <c r="I10" s="1839"/>
      <c r="J10" s="2001"/>
      <c r="K10" s="2001"/>
      <c r="L10" s="2001"/>
      <c r="M10" s="2001"/>
      <c r="N10" s="2001"/>
      <c r="O10" s="2001"/>
      <c r="P10" s="2001"/>
      <c r="Q10" s="2001"/>
      <c r="R10" s="2001"/>
      <c r="S10" s="2001"/>
      <c r="T10" s="2001"/>
      <c r="U10" s="2001"/>
      <c r="V10" s="2001"/>
      <c r="W10" s="2001"/>
      <c r="X10" s="2001"/>
      <c r="Y10" s="2002"/>
      <c r="Z10" s="2002"/>
      <c r="AC10" s="2002"/>
    </row>
    <row r="11" spans="1:42" s="33" customFormat="1" ht="15" customHeight="1" x14ac:dyDescent="0.25">
      <c r="A11" s="99"/>
      <c r="B11" s="2003"/>
      <c r="C11" s="2003"/>
      <c r="D11" s="2004" t="s">
        <v>731</v>
      </c>
      <c r="E11" s="2004" t="s">
        <v>732</v>
      </c>
      <c r="F11" s="2005"/>
      <c r="G11" s="2005"/>
      <c r="H11" s="2006"/>
      <c r="I11" s="2004"/>
      <c r="J11" s="2005"/>
      <c r="K11" s="2005"/>
      <c r="L11" s="2005"/>
      <c r="M11" s="2007"/>
      <c r="N11" s="2007"/>
      <c r="O11" s="2007"/>
      <c r="P11" s="1986"/>
      <c r="Q11" s="1986"/>
      <c r="R11" s="2008"/>
      <c r="S11" s="2008"/>
      <c r="T11" s="2009"/>
      <c r="U11" s="2009"/>
      <c r="V11" s="2009"/>
      <c r="W11" s="2009"/>
      <c r="X11" s="2009"/>
      <c r="Y11" s="11"/>
      <c r="Z11" s="11"/>
      <c r="AA11" s="11"/>
      <c r="AB11" s="11"/>
      <c r="AC11" s="11"/>
      <c r="AD11" s="11"/>
      <c r="AE11" s="11"/>
      <c r="AF11" s="11"/>
      <c r="AG11" s="11"/>
      <c r="AH11" s="11"/>
    </row>
    <row r="12" spans="1:42" s="33" customFormat="1" ht="15" customHeight="1" x14ac:dyDescent="0.25">
      <c r="A12" s="2010"/>
      <c r="B12" s="101"/>
      <c r="C12" s="101"/>
      <c r="D12" s="2011"/>
      <c r="E12" s="2012"/>
      <c r="F12" s="2012"/>
      <c r="G12" s="2012"/>
      <c r="H12" s="2012"/>
      <c r="I12" s="2012"/>
      <c r="J12" s="2012"/>
      <c r="K12" s="4808" t="s">
        <v>733</v>
      </c>
      <c r="L12" s="4809"/>
      <c r="M12" s="4809"/>
      <c r="N12" s="4810"/>
      <c r="O12" s="2013"/>
      <c r="P12" s="2014"/>
      <c r="Q12" s="2014"/>
      <c r="R12" s="2014"/>
      <c r="S12" s="2014"/>
      <c r="T12" s="2015"/>
      <c r="U12" s="2015"/>
      <c r="V12" s="2015"/>
      <c r="W12" s="2015"/>
      <c r="X12" s="2015"/>
      <c r="Y12" s="2009"/>
      <c r="Z12" s="2009"/>
      <c r="AA12" s="2009"/>
      <c r="AB12" s="2009"/>
      <c r="AC12" s="11"/>
      <c r="AD12" s="11"/>
      <c r="AE12" s="11"/>
      <c r="AF12" s="11"/>
      <c r="AG12" s="11"/>
      <c r="AH12" s="11"/>
    </row>
    <row r="13" spans="1:42" s="33" customFormat="1" ht="21" x14ac:dyDescent="0.2">
      <c r="A13" s="2010"/>
      <c r="B13" s="2016"/>
      <c r="C13" s="2016"/>
      <c r="D13" s="2017" t="s">
        <v>424</v>
      </c>
      <c r="E13" s="2017" t="s">
        <v>734</v>
      </c>
      <c r="F13" s="2017" t="s">
        <v>735</v>
      </c>
      <c r="G13" s="2017" t="s">
        <v>679</v>
      </c>
      <c r="H13" s="2017" t="s">
        <v>736</v>
      </c>
      <c r="I13" s="2017" t="s">
        <v>737</v>
      </c>
      <c r="J13" s="2018" t="s">
        <v>738</v>
      </c>
      <c r="K13" s="2017" t="s">
        <v>739</v>
      </c>
      <c r="L13" s="2017" t="s">
        <v>740</v>
      </c>
      <c r="M13" s="2017" t="s">
        <v>741</v>
      </c>
      <c r="N13" s="2017" t="s">
        <v>742</v>
      </c>
      <c r="O13" s="2017" t="s">
        <v>743</v>
      </c>
      <c r="P13" s="1986"/>
      <c r="Q13" s="1986"/>
      <c r="R13" s="1986"/>
      <c r="S13" s="1986"/>
      <c r="T13" s="1993"/>
      <c r="U13" s="2009"/>
      <c r="V13" s="2009"/>
      <c r="W13" s="2009"/>
      <c r="X13" s="2009"/>
      <c r="Y13" s="2009"/>
      <c r="Z13" s="2009"/>
      <c r="AA13" s="2009"/>
      <c r="AB13" s="2009"/>
      <c r="AC13" s="11"/>
      <c r="AD13" s="11"/>
      <c r="AE13" s="11"/>
      <c r="AF13" s="11"/>
      <c r="AG13" s="11"/>
      <c r="AH13" s="11"/>
    </row>
    <row r="14" spans="1:42" s="33" customFormat="1" ht="10.5" x14ac:dyDescent="0.2">
      <c r="A14" s="2010"/>
      <c r="B14" s="2016"/>
      <c r="C14" s="2016"/>
      <c r="D14" s="2019" t="s">
        <v>402</v>
      </c>
      <c r="E14" s="2020">
        <v>16875</v>
      </c>
      <c r="F14" s="2020">
        <v>81812</v>
      </c>
      <c r="G14" s="2020">
        <v>358945</v>
      </c>
      <c r="H14" s="2021">
        <v>137081</v>
      </c>
      <c r="I14" s="2022">
        <v>125007350.29000001</v>
      </c>
      <c r="J14" s="2022">
        <v>4097639889.8299999</v>
      </c>
      <c r="K14" s="2022">
        <v>351503022.75999999</v>
      </c>
      <c r="L14" s="2022">
        <v>81426000</v>
      </c>
      <c r="M14" s="2022">
        <v>39003850</v>
      </c>
      <c r="N14" s="2022">
        <v>50972735</v>
      </c>
      <c r="O14" s="2022">
        <v>4745552847.8800001</v>
      </c>
      <c r="P14" s="1986"/>
      <c r="Q14" s="1986"/>
      <c r="R14" s="2008"/>
      <c r="S14" s="2008"/>
      <c r="T14" s="2009"/>
      <c r="U14" s="2009"/>
      <c r="V14" s="2009"/>
      <c r="W14" s="2009"/>
      <c r="X14" s="2009"/>
      <c r="Y14" s="2009"/>
      <c r="Z14" s="2009"/>
      <c r="AA14" s="2009"/>
      <c r="AB14" s="2009"/>
      <c r="AC14" s="11"/>
      <c r="AD14" s="11"/>
      <c r="AE14" s="11"/>
      <c r="AF14" s="11"/>
      <c r="AG14" s="11"/>
      <c r="AH14" s="11"/>
    </row>
    <row r="15" spans="1:42" s="326" customFormat="1" ht="10.5" x14ac:dyDescent="0.2">
      <c r="A15" s="2023"/>
      <c r="B15" s="2024"/>
      <c r="C15" s="2024"/>
      <c r="D15" s="2019" t="s">
        <v>404</v>
      </c>
      <c r="E15" s="2020">
        <v>2666</v>
      </c>
      <c r="F15" s="2020">
        <v>8415</v>
      </c>
      <c r="G15" s="2020">
        <v>52012</v>
      </c>
      <c r="H15" s="2021">
        <v>58089.165200000003</v>
      </c>
      <c r="I15" s="2022">
        <v>80146832.049999997</v>
      </c>
      <c r="J15" s="2022">
        <v>449550938.50999999</v>
      </c>
      <c r="K15" s="2022">
        <v>40320669.710000001</v>
      </c>
      <c r="L15" s="2022">
        <v>9174000</v>
      </c>
      <c r="M15" s="2022">
        <v>4400640</v>
      </c>
      <c r="N15" s="2022">
        <v>1721295</v>
      </c>
      <c r="O15" s="2022">
        <v>585314375.26999998</v>
      </c>
      <c r="P15" s="2025"/>
      <c r="Q15" s="2025"/>
      <c r="R15" s="330"/>
      <c r="S15" s="330"/>
    </row>
    <row r="16" spans="1:42" s="326" customFormat="1" ht="10.5" x14ac:dyDescent="0.2">
      <c r="A16" s="340"/>
      <c r="B16" s="340"/>
      <c r="C16" s="340"/>
      <c r="D16" s="2019" t="s">
        <v>407</v>
      </c>
      <c r="E16" s="2020">
        <v>13343</v>
      </c>
      <c r="F16" s="2020">
        <v>18695</v>
      </c>
      <c r="G16" s="2020">
        <v>77575</v>
      </c>
      <c r="H16" s="2021">
        <v>17443</v>
      </c>
      <c r="I16" s="2022">
        <v>107796273.56999999</v>
      </c>
      <c r="J16" s="2022">
        <v>922067072.14999998</v>
      </c>
      <c r="K16" s="2022">
        <v>72142501.379999995</v>
      </c>
      <c r="L16" s="2022">
        <v>6255000</v>
      </c>
      <c r="M16" s="2022">
        <v>2062080</v>
      </c>
      <c r="N16" s="2022">
        <v>4161445</v>
      </c>
      <c r="O16" s="2022">
        <v>1114484372.0999999</v>
      </c>
      <c r="P16" s="2026"/>
      <c r="Q16" s="2026"/>
      <c r="R16" s="327"/>
      <c r="S16" s="327"/>
    </row>
    <row r="17" spans="1:19" s="326" customFormat="1" ht="10.5" x14ac:dyDescent="0.2">
      <c r="A17" s="4805"/>
      <c r="B17" s="4805"/>
      <c r="C17" s="4806"/>
      <c r="D17" s="2019" t="s">
        <v>405</v>
      </c>
      <c r="E17" s="2020">
        <v>15678</v>
      </c>
      <c r="F17" s="2020">
        <v>94367</v>
      </c>
      <c r="G17" s="2020">
        <v>540063</v>
      </c>
      <c r="H17" s="2021">
        <v>833337</v>
      </c>
      <c r="I17" s="2022">
        <v>7336328899.5799999</v>
      </c>
      <c r="J17" s="2022">
        <v>3553661492.8499999</v>
      </c>
      <c r="K17" s="2022">
        <v>752749907.02999997</v>
      </c>
      <c r="L17" s="2022">
        <v>98448000</v>
      </c>
      <c r="M17" s="2022">
        <v>44090640</v>
      </c>
      <c r="N17" s="2022">
        <v>42748495</v>
      </c>
      <c r="O17" s="2022">
        <v>11828027434.460001</v>
      </c>
      <c r="P17" s="2025"/>
      <c r="Q17" s="2027"/>
      <c r="R17" s="330"/>
      <c r="S17" s="330"/>
    </row>
    <row r="18" spans="1:19" s="326" customFormat="1" ht="10" x14ac:dyDescent="0.2">
      <c r="A18" s="336"/>
      <c r="B18" s="336"/>
      <c r="C18" s="336"/>
      <c r="D18" s="2019" t="s">
        <v>409</v>
      </c>
      <c r="E18" s="2020">
        <v>4451</v>
      </c>
      <c r="F18" s="2020">
        <v>62474</v>
      </c>
      <c r="G18" s="2020">
        <v>300793</v>
      </c>
      <c r="H18" s="2021">
        <v>715058</v>
      </c>
      <c r="I18" s="2022">
        <v>4427024708.6400003</v>
      </c>
      <c r="J18" s="2022">
        <v>1879183554.75</v>
      </c>
      <c r="K18" s="2022">
        <v>880334025.86000001</v>
      </c>
      <c r="L18" s="2022">
        <v>99422640</v>
      </c>
      <c r="M18" s="2022">
        <v>45732600</v>
      </c>
      <c r="N18" s="2022">
        <v>26142580</v>
      </c>
      <c r="O18" s="2022">
        <v>7357840109.25</v>
      </c>
      <c r="P18" s="2025"/>
      <c r="Q18" s="2025"/>
      <c r="R18" s="330"/>
      <c r="S18" s="330"/>
    </row>
    <row r="19" spans="1:19" s="326" customFormat="1" ht="10" x14ac:dyDescent="0.2">
      <c r="A19" s="319"/>
      <c r="B19" s="319"/>
      <c r="C19" s="319"/>
      <c r="D19" s="2019" t="s">
        <v>408</v>
      </c>
      <c r="E19" s="2020">
        <v>3143</v>
      </c>
      <c r="F19" s="2020">
        <v>58419</v>
      </c>
      <c r="G19" s="2020">
        <v>294924</v>
      </c>
      <c r="H19" s="2021">
        <v>524617</v>
      </c>
      <c r="I19" s="2022">
        <v>6042659728.9300003</v>
      </c>
      <c r="J19" s="2022">
        <v>980222457.08000004</v>
      </c>
      <c r="K19" s="2022">
        <v>535884628.76999998</v>
      </c>
      <c r="L19" s="2022">
        <v>93465000</v>
      </c>
      <c r="M19" s="2022">
        <v>44684310</v>
      </c>
      <c r="N19" s="2022">
        <v>20708300</v>
      </c>
      <c r="O19" s="2022">
        <v>7717624424.7800007</v>
      </c>
      <c r="P19" s="2025"/>
      <c r="Q19" s="2025"/>
      <c r="R19" s="330"/>
      <c r="S19" s="330"/>
    </row>
    <row r="20" spans="1:19" s="326" customFormat="1" ht="10" x14ac:dyDescent="0.2">
      <c r="A20" s="319"/>
      <c r="B20" s="319"/>
      <c r="C20" s="319"/>
      <c r="D20" s="2019" t="s">
        <v>406</v>
      </c>
      <c r="E20" s="2020">
        <v>3945</v>
      </c>
      <c r="F20" s="2020">
        <v>44436</v>
      </c>
      <c r="G20" s="2020">
        <v>219804</v>
      </c>
      <c r="H20" s="2021">
        <v>523723</v>
      </c>
      <c r="I20" s="2022">
        <v>3276881089.7600002</v>
      </c>
      <c r="J20" s="2022">
        <v>711207325.20000005</v>
      </c>
      <c r="K20" s="2022">
        <v>502319183.61000001</v>
      </c>
      <c r="L20" s="2022">
        <v>82503000</v>
      </c>
      <c r="M20" s="2022">
        <v>39339960</v>
      </c>
      <c r="N20" s="2022">
        <v>8349270</v>
      </c>
      <c r="O20" s="2022">
        <v>4620599828.5699997</v>
      </c>
      <c r="P20" s="2025"/>
      <c r="Q20" s="2025"/>
      <c r="R20" s="330"/>
      <c r="S20" s="330"/>
    </row>
    <row r="21" spans="1:19" s="326" customFormat="1" ht="10" x14ac:dyDescent="0.2">
      <c r="A21" s="319"/>
      <c r="B21" s="319"/>
      <c r="C21" s="319"/>
      <c r="D21" s="2019" t="s">
        <v>403</v>
      </c>
      <c r="E21" s="2020">
        <v>3997</v>
      </c>
      <c r="F21" s="2020">
        <v>25654</v>
      </c>
      <c r="G21" s="2020">
        <v>135419</v>
      </c>
      <c r="H21" s="2021">
        <v>832144</v>
      </c>
      <c r="I21" s="2022">
        <v>870577718.75999999</v>
      </c>
      <c r="J21" s="2022">
        <v>1176705286.5899999</v>
      </c>
      <c r="K21" s="2022">
        <v>231832200.99000001</v>
      </c>
      <c r="L21" s="2022">
        <v>16774710.880000001</v>
      </c>
      <c r="M21" s="2022">
        <v>12829180.939999999</v>
      </c>
      <c r="N21" s="2022">
        <v>13176810</v>
      </c>
      <c r="O21" s="2022">
        <v>2321895908.1600003</v>
      </c>
      <c r="P21" s="2025"/>
      <c r="Q21" s="2025"/>
      <c r="R21" s="330"/>
      <c r="S21" s="330"/>
    </row>
    <row r="22" spans="1:19" s="326" customFormat="1" ht="10" x14ac:dyDescent="0.2">
      <c r="A22" s="319"/>
      <c r="B22" s="319"/>
      <c r="C22" s="319"/>
      <c r="D22" s="2019" t="s">
        <v>401</v>
      </c>
      <c r="E22" s="2020">
        <v>17203</v>
      </c>
      <c r="F22" s="2020">
        <v>33258</v>
      </c>
      <c r="G22" s="2020">
        <v>148625</v>
      </c>
      <c r="H22" s="2021">
        <v>11043</v>
      </c>
      <c r="I22" s="2022">
        <v>133484596.53</v>
      </c>
      <c r="J22" s="2022">
        <v>1476091464.3699999</v>
      </c>
      <c r="K22" s="2022">
        <v>330060882.92000002</v>
      </c>
      <c r="L22" s="2022">
        <v>15612290</v>
      </c>
      <c r="M22" s="2022">
        <v>4195452</v>
      </c>
      <c r="N22" s="2022">
        <v>429130</v>
      </c>
      <c r="O22" s="2022">
        <v>1959873815.8199999</v>
      </c>
      <c r="P22" s="2025"/>
      <c r="Q22" s="2025"/>
      <c r="R22" s="330"/>
      <c r="S22" s="330"/>
    </row>
    <row r="23" spans="1:19" s="326" customFormat="1" ht="10.5" x14ac:dyDescent="0.25">
      <c r="A23" s="319"/>
      <c r="B23" s="319"/>
      <c r="C23" s="319"/>
      <c r="D23" s="2028" t="s">
        <v>743</v>
      </c>
      <c r="E23" s="2029">
        <f t="shared" ref="E23:N23" si="0">SUM(E14:E22)</f>
        <v>81301</v>
      </c>
      <c r="F23" s="2029">
        <f t="shared" si="0"/>
        <v>427530</v>
      </c>
      <c r="G23" s="2029">
        <f t="shared" si="0"/>
        <v>2128160</v>
      </c>
      <c r="H23" s="2029">
        <f t="shared" si="0"/>
        <v>3652535.1651999997</v>
      </c>
      <c r="I23" s="2030">
        <f t="shared" si="0"/>
        <v>22399907198.109997</v>
      </c>
      <c r="J23" s="2030">
        <f t="shared" si="0"/>
        <v>15246329481.330002</v>
      </c>
      <c r="K23" s="2030">
        <f t="shared" si="0"/>
        <v>3697147023.0299997</v>
      </c>
      <c r="L23" s="2030">
        <f t="shared" si="0"/>
        <v>503080640.88</v>
      </c>
      <c r="M23" s="2030">
        <f t="shared" si="0"/>
        <v>236338712.94</v>
      </c>
      <c r="N23" s="2030">
        <f t="shared" si="0"/>
        <v>168410060</v>
      </c>
      <c r="O23" s="2030">
        <f>SUM(I23:N23)+6330000+41000+50500</f>
        <v>42257634616.290001</v>
      </c>
      <c r="P23" s="2031"/>
      <c r="Q23" s="2025"/>
      <c r="R23" s="330"/>
      <c r="S23" s="330"/>
    </row>
    <row r="24" spans="1:19" s="326" customFormat="1" ht="10.5" x14ac:dyDescent="0.25">
      <c r="A24" s="319"/>
      <c r="B24" s="319"/>
      <c r="C24" s="319"/>
      <c r="D24" s="1219"/>
      <c r="E24" s="2032"/>
      <c r="F24" s="2032"/>
      <c r="G24" s="2032"/>
      <c r="H24" s="2032"/>
      <c r="I24" s="2033"/>
      <c r="J24" s="2033"/>
      <c r="K24" s="2033"/>
      <c r="L24" s="2033"/>
      <c r="M24" s="2033"/>
      <c r="N24" s="2033"/>
      <c r="O24" s="2033"/>
      <c r="P24" s="2025"/>
      <c r="Q24" s="2025"/>
      <c r="R24" s="330"/>
      <c r="S24" s="330"/>
    </row>
    <row r="25" spans="1:19" s="326" customFormat="1" ht="10.5" x14ac:dyDescent="0.25">
      <c r="A25" s="319"/>
      <c r="B25" s="319"/>
      <c r="C25" s="319"/>
      <c r="D25" s="1219"/>
      <c r="E25" s="2032"/>
      <c r="F25" s="2032"/>
      <c r="G25" s="2032"/>
      <c r="H25" s="2032"/>
      <c r="I25" s="2033"/>
      <c r="J25" s="2033"/>
      <c r="K25" s="2033"/>
      <c r="L25" s="2033"/>
      <c r="M25" s="2033"/>
      <c r="N25" s="2033"/>
      <c r="O25" s="2034"/>
      <c r="P25" s="2025"/>
      <c r="Q25" s="2025"/>
      <c r="R25" s="330"/>
      <c r="S25" s="330"/>
    </row>
    <row r="26" spans="1:19" s="326" customFormat="1" ht="10.5" x14ac:dyDescent="0.25">
      <c r="A26" s="319"/>
      <c r="B26" s="319"/>
      <c r="C26" s="319"/>
      <c r="D26" s="2035"/>
      <c r="E26" s="2032"/>
      <c r="F26" s="2032"/>
      <c r="G26" s="2032"/>
      <c r="H26" s="2032"/>
      <c r="I26" s="2033"/>
      <c r="J26" s="2033"/>
      <c r="K26" s="2033"/>
      <c r="L26" s="2033"/>
      <c r="M26" s="2033"/>
      <c r="N26" s="2033"/>
      <c r="O26" s="2034"/>
      <c r="P26" s="2025"/>
      <c r="Q26" s="2025"/>
      <c r="R26" s="330"/>
      <c r="S26" s="330"/>
    </row>
    <row r="27" spans="1:19" s="326" customFormat="1" ht="10.5" x14ac:dyDescent="0.25">
      <c r="A27" s="319"/>
      <c r="B27" s="319"/>
      <c r="C27" s="319"/>
      <c r="D27" s="2035"/>
      <c r="E27" s="2032"/>
      <c r="F27" s="2032"/>
      <c r="G27" s="2032"/>
      <c r="H27" s="2032"/>
      <c r="I27" s="2033"/>
      <c r="J27" s="2033"/>
      <c r="K27" s="2033"/>
      <c r="L27" s="2033"/>
      <c r="M27" s="2033"/>
      <c r="N27" s="2033"/>
      <c r="O27" s="2034"/>
      <c r="P27" s="2025"/>
      <c r="Q27" s="2025"/>
      <c r="R27" s="330"/>
      <c r="S27" s="330"/>
    </row>
    <row r="28" spans="1:19" s="326" customFormat="1" ht="10.5" x14ac:dyDescent="0.25">
      <c r="A28" s="319"/>
      <c r="B28" s="319"/>
      <c r="C28" s="319"/>
      <c r="D28" s="2035"/>
      <c r="E28" s="2032"/>
      <c r="F28" s="2032"/>
      <c r="G28" s="2032"/>
      <c r="H28" s="2032"/>
      <c r="I28" s="2033"/>
      <c r="J28" s="2033"/>
      <c r="K28" s="2033"/>
      <c r="L28" s="2033"/>
      <c r="M28" s="2033"/>
      <c r="N28" s="2033"/>
      <c r="O28" s="2034"/>
      <c r="P28" s="2025"/>
      <c r="Q28" s="2025"/>
      <c r="R28" s="330"/>
      <c r="S28" s="330"/>
    </row>
    <row r="29" spans="1:19" s="326" customFormat="1" ht="10.5" x14ac:dyDescent="0.25">
      <c r="A29" s="319"/>
      <c r="B29" s="319"/>
      <c r="C29" s="319"/>
      <c r="D29" s="2035"/>
      <c r="E29" s="2032"/>
      <c r="F29" s="2032"/>
      <c r="G29" s="2032"/>
      <c r="H29" s="2032"/>
      <c r="I29" s="2033"/>
      <c r="J29" s="2033"/>
      <c r="K29" s="2033"/>
      <c r="L29" s="2033"/>
      <c r="M29" s="2033"/>
      <c r="N29" s="2033"/>
      <c r="O29" s="2034"/>
      <c r="P29" s="2025"/>
      <c r="Q29" s="2025"/>
      <c r="R29" s="330"/>
      <c r="S29" s="330"/>
    </row>
    <row r="30" spans="1:19" s="326" customFormat="1" ht="10.5" x14ac:dyDescent="0.25">
      <c r="A30" s="319"/>
      <c r="B30" s="319"/>
      <c r="C30" s="319"/>
      <c r="D30" s="2035"/>
      <c r="E30" s="2032"/>
      <c r="F30" s="2032"/>
      <c r="G30" s="2032"/>
      <c r="H30" s="2032"/>
      <c r="I30" s="2033"/>
      <c r="J30" s="2033"/>
      <c r="K30" s="2033"/>
      <c r="L30" s="2033"/>
      <c r="M30" s="2033"/>
      <c r="N30" s="2033"/>
      <c r="O30" s="2034"/>
      <c r="P30" s="2025"/>
      <c r="Q30" s="2025"/>
      <c r="R30" s="330"/>
      <c r="S30" s="330"/>
    </row>
    <row r="31" spans="1:19" s="326" customFormat="1" ht="10.5" x14ac:dyDescent="0.25">
      <c r="A31" s="319"/>
      <c r="B31" s="319"/>
      <c r="C31" s="319"/>
      <c r="D31" s="2035"/>
      <c r="E31" s="2032"/>
      <c r="F31" s="2032"/>
      <c r="G31" s="2032"/>
      <c r="H31" s="2032"/>
      <c r="I31" s="2033"/>
      <c r="J31" s="2033"/>
      <c r="K31" s="2033"/>
      <c r="L31" s="2033"/>
      <c r="M31" s="2033"/>
      <c r="N31" s="2033"/>
      <c r="O31" s="2034"/>
      <c r="P31" s="2025"/>
      <c r="Q31" s="2025"/>
      <c r="R31" s="330"/>
      <c r="S31" s="330"/>
    </row>
    <row r="32" spans="1:19" s="326" customFormat="1" ht="10.5" x14ac:dyDescent="0.25">
      <c r="A32" s="319"/>
      <c r="B32" s="319"/>
      <c r="C32" s="319"/>
      <c r="D32" s="2035"/>
      <c r="E32" s="2032"/>
      <c r="F32" s="2032"/>
      <c r="G32" s="2032"/>
      <c r="H32" s="2032"/>
      <c r="I32" s="2033"/>
      <c r="J32" s="2033"/>
      <c r="K32" s="2033"/>
      <c r="L32" s="2033"/>
      <c r="M32" s="2033"/>
      <c r="N32" s="2033"/>
      <c r="O32" s="2034"/>
      <c r="P32" s="2025"/>
      <c r="Q32" s="2025"/>
      <c r="R32" s="330"/>
      <c r="S32" s="330"/>
    </row>
    <row r="33" spans="1:19" s="326" customFormat="1" ht="10.5" x14ac:dyDescent="0.25">
      <c r="A33" s="319"/>
      <c r="B33" s="319"/>
      <c r="C33" s="319"/>
      <c r="D33" s="2035"/>
      <c r="E33" s="2032"/>
      <c r="F33" s="2032"/>
      <c r="G33" s="2032"/>
      <c r="H33" s="2032"/>
      <c r="I33" s="2033"/>
      <c r="J33" s="2033"/>
      <c r="K33" s="2033"/>
      <c r="L33" s="2033"/>
      <c r="M33" s="2033"/>
      <c r="N33" s="2033"/>
      <c r="O33" s="2034"/>
      <c r="P33" s="2025"/>
      <c r="Q33" s="2025"/>
      <c r="R33" s="330"/>
      <c r="S33" s="330"/>
    </row>
    <row r="34" spans="1:19" s="326" customFormat="1" ht="10.5" x14ac:dyDescent="0.25">
      <c r="A34" s="319"/>
      <c r="B34" s="319"/>
      <c r="C34" s="319"/>
      <c r="D34" s="2035"/>
      <c r="E34" s="2032"/>
      <c r="F34" s="2032"/>
      <c r="G34" s="2032"/>
      <c r="H34" s="2032"/>
      <c r="I34" s="2033"/>
      <c r="J34" s="2033"/>
      <c r="K34" s="2033"/>
      <c r="L34" s="2033"/>
      <c r="M34" s="2033"/>
      <c r="N34" s="2033"/>
      <c r="O34" s="2034"/>
      <c r="P34" s="2025"/>
      <c r="Q34" s="2025"/>
      <c r="R34" s="330"/>
      <c r="S34" s="330"/>
    </row>
    <row r="35" spans="1:19" s="326" customFormat="1" ht="10.5" x14ac:dyDescent="0.25">
      <c r="A35" s="319"/>
      <c r="B35" s="319"/>
      <c r="C35" s="319"/>
      <c r="D35" s="2035"/>
      <c r="E35" s="2032"/>
      <c r="F35" s="2032"/>
      <c r="G35" s="2032"/>
      <c r="H35" s="2032"/>
      <c r="I35" s="2033"/>
      <c r="J35" s="2033"/>
      <c r="K35" s="2033"/>
      <c r="L35" s="2033"/>
      <c r="M35" s="2033"/>
      <c r="N35" s="2033"/>
      <c r="O35" s="2034"/>
      <c r="P35" s="2025"/>
      <c r="Q35" s="2025"/>
      <c r="R35" s="330"/>
      <c r="S35" s="330"/>
    </row>
    <row r="36" spans="1:19" s="326" customFormat="1" ht="10.5" x14ac:dyDescent="0.25">
      <c r="A36" s="319"/>
      <c r="B36" s="319"/>
      <c r="C36" s="319"/>
      <c r="D36" s="2035"/>
      <c r="E36" s="2032"/>
      <c r="F36" s="2032"/>
      <c r="G36" s="2032"/>
      <c r="H36" s="2032"/>
      <c r="I36" s="2033"/>
      <c r="J36" s="2033"/>
      <c r="K36" s="2033"/>
      <c r="L36" s="2033"/>
      <c r="M36" s="2033"/>
      <c r="N36" s="2033"/>
      <c r="O36" s="2034"/>
      <c r="P36" s="2025"/>
      <c r="Q36" s="2025"/>
      <c r="R36" s="330"/>
      <c r="S36" s="330"/>
    </row>
    <row r="37" spans="1:19" s="326" customFormat="1" ht="10.5" x14ac:dyDescent="0.25">
      <c r="A37" s="319"/>
      <c r="B37" s="319"/>
      <c r="C37" s="319"/>
      <c r="D37" s="2035"/>
      <c r="E37" s="2032"/>
      <c r="F37" s="2032"/>
      <c r="G37" s="2032"/>
      <c r="H37" s="2032"/>
      <c r="I37" s="2033"/>
      <c r="J37" s="2033"/>
      <c r="K37" s="2033"/>
      <c r="L37" s="2033"/>
      <c r="M37" s="2033"/>
      <c r="N37" s="2033"/>
      <c r="O37" s="2034"/>
      <c r="P37" s="2025"/>
      <c r="Q37" s="2025"/>
      <c r="R37" s="330"/>
      <c r="S37" s="330"/>
    </row>
    <row r="38" spans="1:19" s="326" customFormat="1" ht="10.5" x14ac:dyDescent="0.25">
      <c r="A38" s="319"/>
      <c r="B38" s="319"/>
      <c r="C38" s="319"/>
      <c r="D38" s="2035"/>
      <c r="E38" s="2032"/>
      <c r="F38" s="2032"/>
      <c r="G38" s="2032"/>
      <c r="H38" s="2032"/>
      <c r="I38" s="2033"/>
      <c r="J38" s="2033"/>
      <c r="K38" s="2033"/>
      <c r="L38" s="2033"/>
      <c r="M38" s="2033"/>
      <c r="N38" s="2033"/>
      <c r="O38" s="2034"/>
      <c r="P38" s="2025"/>
      <c r="Q38" s="2025"/>
      <c r="R38" s="330"/>
      <c r="S38" s="330"/>
    </row>
    <row r="39" spans="1:19" s="326" customFormat="1" ht="10.5" x14ac:dyDescent="0.25">
      <c r="A39" s="319"/>
      <c r="B39" s="319"/>
      <c r="C39" s="319"/>
      <c r="D39" s="2035"/>
      <c r="E39" s="2032"/>
      <c r="F39" s="2032"/>
      <c r="G39" s="2032"/>
      <c r="H39" s="2032"/>
      <c r="I39" s="2033"/>
      <c r="J39" s="2033"/>
      <c r="K39" s="2033"/>
      <c r="L39" s="2033"/>
      <c r="M39" s="2033"/>
      <c r="N39" s="2033"/>
      <c r="O39" s="2034"/>
      <c r="P39" s="2025"/>
      <c r="Q39" s="2025"/>
      <c r="R39" s="330"/>
      <c r="S39" s="330"/>
    </row>
    <row r="40" spans="1:19" s="326" customFormat="1" ht="10.5" x14ac:dyDescent="0.25">
      <c r="A40" s="319"/>
      <c r="B40" s="319"/>
      <c r="C40" s="319"/>
      <c r="D40" s="2035"/>
      <c r="E40" s="2032"/>
      <c r="F40" s="2032"/>
      <c r="G40" s="2032"/>
      <c r="H40" s="2032"/>
      <c r="I40" s="2033"/>
      <c r="J40" s="2033"/>
      <c r="K40" s="2033"/>
      <c r="L40" s="2033"/>
      <c r="M40" s="2033"/>
      <c r="N40" s="2033"/>
      <c r="O40" s="2034"/>
      <c r="P40" s="2025"/>
      <c r="Q40" s="2025"/>
      <c r="R40" s="330"/>
      <c r="S40" s="330"/>
    </row>
    <row r="41" spans="1:19" s="326" customFormat="1" ht="10.5" x14ac:dyDescent="0.25">
      <c r="A41" s="319"/>
      <c r="B41" s="319"/>
      <c r="C41" s="319"/>
      <c r="D41" s="2035"/>
      <c r="E41" s="2032"/>
      <c r="F41" s="2032"/>
      <c r="G41" s="2032"/>
      <c r="H41" s="2032"/>
      <c r="I41" s="2033"/>
      <c r="J41" s="2033"/>
      <c r="K41" s="2033"/>
      <c r="L41" s="2033"/>
      <c r="M41" s="2033"/>
      <c r="N41" s="2033"/>
      <c r="O41" s="2034"/>
      <c r="P41" s="2025"/>
      <c r="Q41" s="2025"/>
      <c r="R41" s="330"/>
      <c r="S41" s="330"/>
    </row>
    <row r="42" spans="1:19" s="326" customFormat="1" ht="10.5" x14ac:dyDescent="0.25">
      <c r="A42" s="319"/>
      <c r="B42" s="319"/>
      <c r="C42" s="319"/>
      <c r="D42" s="2035"/>
      <c r="E42" s="2032"/>
      <c r="F42" s="2032"/>
      <c r="G42" s="2032"/>
      <c r="H42" s="2032"/>
      <c r="I42" s="2033"/>
      <c r="J42" s="2033"/>
      <c r="K42" s="2033"/>
      <c r="L42" s="2033"/>
      <c r="M42" s="2033"/>
      <c r="N42" s="2033"/>
      <c r="O42" s="2034"/>
      <c r="P42" s="2025"/>
      <c r="Q42" s="2025"/>
      <c r="R42" s="330"/>
      <c r="S42" s="330"/>
    </row>
    <row r="43" spans="1:19" s="326" customFormat="1" ht="10.5" x14ac:dyDescent="0.25">
      <c r="A43" s="319"/>
      <c r="B43" s="319"/>
      <c r="C43" s="319"/>
      <c r="D43" s="2035"/>
      <c r="E43" s="2032"/>
      <c r="F43" s="2032"/>
      <c r="G43" s="2032"/>
      <c r="H43" s="2032"/>
      <c r="I43" s="2033"/>
      <c r="J43" s="2033"/>
      <c r="K43" s="2033"/>
      <c r="L43" s="2033"/>
      <c r="M43" s="2033"/>
      <c r="N43" s="2033"/>
      <c r="O43" s="2034"/>
      <c r="P43" s="2025"/>
      <c r="Q43" s="2025"/>
      <c r="R43" s="330"/>
      <c r="S43" s="330"/>
    </row>
    <row r="44" spans="1:19" s="326" customFormat="1" ht="10.5" x14ac:dyDescent="0.25">
      <c r="A44" s="319"/>
      <c r="B44" s="319"/>
      <c r="C44" s="319"/>
      <c r="D44" s="2035"/>
      <c r="E44" s="2032"/>
      <c r="F44" s="2032"/>
      <c r="G44" s="2032"/>
      <c r="H44" s="2032"/>
      <c r="I44" s="2033"/>
      <c r="J44" s="2033"/>
      <c r="K44" s="2033"/>
      <c r="L44" s="2033"/>
      <c r="M44" s="2033"/>
      <c r="N44" s="2033"/>
      <c r="O44" s="2034"/>
      <c r="P44" s="2025"/>
      <c r="Q44" s="2025"/>
      <c r="R44" s="330"/>
      <c r="S44" s="330"/>
    </row>
    <row r="45" spans="1:19" s="326" customFormat="1" ht="10.5" x14ac:dyDescent="0.25">
      <c r="A45" s="319"/>
      <c r="B45" s="319"/>
      <c r="C45" s="319"/>
      <c r="D45" s="2035"/>
      <c r="E45" s="2032"/>
      <c r="F45" s="2032"/>
      <c r="G45" s="2032"/>
      <c r="H45" s="2032"/>
      <c r="I45" s="2033"/>
      <c r="J45" s="2033"/>
      <c r="K45" s="2033"/>
      <c r="L45" s="2033"/>
      <c r="M45" s="2033"/>
      <c r="N45" s="2033"/>
      <c r="O45" s="2034"/>
      <c r="P45" s="2025"/>
      <c r="Q45" s="2025"/>
      <c r="R45" s="330"/>
      <c r="S45" s="330"/>
    </row>
    <row r="46" spans="1:19" s="326" customFormat="1" ht="10.5" x14ac:dyDescent="0.25">
      <c r="A46" s="319"/>
      <c r="B46" s="319"/>
      <c r="C46" s="319"/>
      <c r="D46" s="2035"/>
      <c r="E46" s="2032"/>
      <c r="F46" s="2032"/>
      <c r="G46" s="2032"/>
      <c r="H46" s="2032"/>
      <c r="I46" s="2033"/>
      <c r="J46" s="2033"/>
      <c r="K46" s="2033"/>
      <c r="L46" s="2033"/>
      <c r="M46" s="2033"/>
      <c r="N46" s="2033"/>
      <c r="O46" s="2034"/>
      <c r="P46" s="2025"/>
      <c r="Q46" s="2025"/>
      <c r="R46" s="330"/>
      <c r="S46" s="330"/>
    </row>
    <row r="47" spans="1:19" s="326" customFormat="1" ht="10.5" x14ac:dyDescent="0.25">
      <c r="A47" s="319"/>
      <c r="B47" s="319"/>
      <c r="C47" s="319"/>
      <c r="D47" s="2035"/>
      <c r="E47" s="2032"/>
      <c r="F47" s="2032"/>
      <c r="G47" s="2032"/>
      <c r="H47" s="2032"/>
      <c r="I47" s="2033"/>
      <c r="J47" s="2033"/>
      <c r="K47" s="2033"/>
      <c r="L47" s="2033"/>
      <c r="M47" s="2033"/>
      <c r="N47" s="2033"/>
      <c r="O47" s="2034"/>
      <c r="P47" s="2025"/>
      <c r="Q47" s="2025"/>
      <c r="R47" s="330"/>
      <c r="S47" s="330"/>
    </row>
    <row r="48" spans="1:19" s="326" customFormat="1" ht="10.5" x14ac:dyDescent="0.25">
      <c r="A48" s="319"/>
      <c r="B48" s="319"/>
      <c r="C48" s="319"/>
      <c r="D48" s="2035"/>
      <c r="E48" s="2032"/>
      <c r="F48" s="2032"/>
      <c r="G48" s="2032"/>
      <c r="H48" s="2032"/>
      <c r="I48" s="2033"/>
      <c r="J48" s="2033"/>
      <c r="K48" s="2033"/>
      <c r="L48" s="2033"/>
      <c r="M48" s="2033"/>
      <c r="N48" s="2033"/>
      <c r="O48" s="2034"/>
      <c r="P48" s="2025"/>
      <c r="Q48" s="2025"/>
      <c r="R48" s="330"/>
      <c r="S48" s="330"/>
    </row>
    <row r="49" spans="1:40" s="326" customFormat="1" ht="10.5" x14ac:dyDescent="0.25">
      <c r="A49" s="319"/>
      <c r="B49" s="319"/>
      <c r="C49" s="319"/>
      <c r="D49" s="2035"/>
      <c r="E49" s="2032"/>
      <c r="F49" s="2032"/>
      <c r="G49" s="2032"/>
      <c r="H49" s="2032"/>
      <c r="I49" s="2033"/>
      <c r="J49" s="2033"/>
      <c r="K49" s="2033"/>
      <c r="L49" s="2033"/>
      <c r="M49" s="2033"/>
      <c r="N49" s="2033"/>
      <c r="O49" s="2034"/>
      <c r="P49" s="2025"/>
      <c r="Q49" s="2025"/>
      <c r="R49" s="330"/>
      <c r="S49" s="330"/>
    </row>
    <row r="50" spans="1:40" s="326" customFormat="1" ht="10.5" x14ac:dyDescent="0.25">
      <c r="A50" s="319"/>
      <c r="B50" s="319"/>
      <c r="C50" s="319"/>
      <c r="D50" s="2036"/>
      <c r="E50" s="2037"/>
      <c r="F50" s="2037"/>
      <c r="G50" s="2037"/>
      <c r="H50" s="2037"/>
      <c r="I50" s="2038"/>
      <c r="J50" s="2038"/>
      <c r="K50" s="2038"/>
      <c r="L50" s="2038"/>
      <c r="M50" s="2038"/>
      <c r="N50" s="2038"/>
      <c r="O50" s="2039"/>
      <c r="P50" s="2025"/>
      <c r="Q50" s="2025"/>
      <c r="R50" s="330"/>
      <c r="S50" s="330"/>
    </row>
    <row r="51" spans="1:40" s="1912" customFormat="1" ht="14.25" customHeight="1" x14ac:dyDescent="0.3">
      <c r="A51" s="819">
        <v>7</v>
      </c>
      <c r="B51" s="819" t="s">
        <v>58</v>
      </c>
      <c r="C51" s="819"/>
      <c r="D51" s="4642" t="s">
        <v>744</v>
      </c>
      <c r="E51" s="4643"/>
      <c r="F51" s="4643"/>
      <c r="G51" s="4643"/>
      <c r="H51" s="4643"/>
      <c r="I51" s="4643"/>
      <c r="J51" s="4643"/>
      <c r="K51" s="4643"/>
      <c r="L51" s="4643"/>
      <c r="M51" s="4643"/>
      <c r="N51" s="4643"/>
      <c r="O51" s="4643"/>
      <c r="P51" s="4643"/>
      <c r="Q51" s="4643"/>
      <c r="R51" s="4643"/>
      <c r="S51" s="4643"/>
      <c r="T51" s="4644"/>
      <c r="U51" s="949"/>
      <c r="W51" s="949"/>
    </row>
    <row r="52" spans="1:40" s="1912" customFormat="1" ht="54" customHeight="1" x14ac:dyDescent="0.3">
      <c r="A52" s="870">
        <v>8</v>
      </c>
      <c r="B52" s="870" t="s">
        <v>60</v>
      </c>
      <c r="C52" s="870"/>
      <c r="D52" s="4807" t="s">
        <v>745</v>
      </c>
      <c r="E52" s="4643"/>
      <c r="F52" s="4643"/>
      <c r="G52" s="4643"/>
      <c r="H52" s="4643"/>
      <c r="I52" s="4643"/>
      <c r="J52" s="4643"/>
      <c r="K52" s="4643"/>
      <c r="L52" s="4643"/>
      <c r="M52" s="4643"/>
      <c r="N52" s="4643"/>
      <c r="O52" s="4643"/>
      <c r="P52" s="4643"/>
      <c r="Q52" s="4643"/>
      <c r="R52" s="4643"/>
      <c r="S52" s="4643"/>
      <c r="T52" s="4644"/>
      <c r="U52" s="949"/>
      <c r="W52" s="949"/>
    </row>
    <row r="53" spans="1:40" s="1912" customFormat="1" ht="14.25" customHeight="1" x14ac:dyDescent="0.3">
      <c r="A53" s="819">
        <v>9</v>
      </c>
      <c r="B53" s="819" t="s">
        <v>62</v>
      </c>
      <c r="C53" s="819"/>
      <c r="D53" s="4642" t="s">
        <v>746</v>
      </c>
      <c r="E53" s="4643"/>
      <c r="F53" s="4643"/>
      <c r="G53" s="4643"/>
      <c r="H53" s="4643"/>
      <c r="I53" s="4643"/>
      <c r="J53" s="4643"/>
      <c r="K53" s="4643"/>
      <c r="L53" s="4643"/>
      <c r="M53" s="4643"/>
      <c r="N53" s="4643"/>
      <c r="O53" s="4643"/>
      <c r="P53" s="4643"/>
      <c r="Q53" s="4643"/>
      <c r="R53" s="4643"/>
      <c r="S53" s="4643"/>
      <c r="T53" s="4644"/>
      <c r="U53" s="949"/>
      <c r="W53" s="949"/>
      <c r="AN53" s="2040"/>
    </row>
    <row r="54" spans="1:40" ht="71.25" customHeight="1" x14ac:dyDescent="0.3">
      <c r="A54" s="819">
        <v>10</v>
      </c>
      <c r="B54" s="819" t="s">
        <v>64</v>
      </c>
      <c r="C54" s="819"/>
      <c r="D54" s="4642" t="s">
        <v>747</v>
      </c>
      <c r="E54" s="4643"/>
      <c r="F54" s="4643"/>
      <c r="G54" s="4643"/>
      <c r="H54" s="4643"/>
      <c r="I54" s="4643"/>
      <c r="J54" s="4643"/>
      <c r="K54" s="4643"/>
      <c r="L54" s="4643"/>
      <c r="M54" s="4643"/>
      <c r="N54" s="4643"/>
      <c r="O54" s="4643"/>
      <c r="P54" s="4643"/>
      <c r="Q54" s="4643"/>
      <c r="R54" s="4643"/>
      <c r="S54" s="4643"/>
      <c r="T54" s="4644"/>
      <c r="U54" s="949"/>
      <c r="W54" s="949"/>
      <c r="AN54" s="2040"/>
    </row>
    <row r="55" spans="1:40" ht="15" customHeight="1" x14ac:dyDescent="0.3">
      <c r="A55" s="1879"/>
      <c r="B55" s="1983"/>
      <c r="C55" s="1983"/>
      <c r="E55" s="2041"/>
      <c r="AN55" s="2040"/>
    </row>
    <row r="56" spans="1:40" x14ac:dyDescent="0.3">
      <c r="AN56" s="2040"/>
    </row>
    <row r="57" spans="1:40" x14ac:dyDescent="0.3">
      <c r="E57" s="1282"/>
      <c r="F57" s="1282"/>
      <c r="G57" s="1282"/>
      <c r="H57" s="1282"/>
      <c r="I57" s="1282"/>
      <c r="J57" s="1282"/>
      <c r="K57" s="1282"/>
      <c r="L57" s="1282"/>
      <c r="M57" s="1282"/>
      <c r="N57" s="1282"/>
      <c r="O57" s="1282"/>
      <c r="P57" s="1874"/>
      <c r="Q57" s="1874"/>
    </row>
    <row r="62" spans="1:40" x14ac:dyDescent="0.3">
      <c r="D62" s="344"/>
    </row>
  </sheetData>
  <mergeCells count="9">
    <mergeCell ref="D2:Q2"/>
    <mergeCell ref="D3:X3"/>
    <mergeCell ref="D4:X4"/>
    <mergeCell ref="K12:N12"/>
    <mergeCell ref="A17:C17"/>
    <mergeCell ref="D51:T51"/>
    <mergeCell ref="D52:T52"/>
    <mergeCell ref="D53:T53"/>
    <mergeCell ref="D54:T54"/>
  </mergeCells>
  <pageMargins left="0.74803149606299213" right="0.74803149606299213" top="0.98425196850393704" bottom="0.98425196850393704" header="0.51181102362204722" footer="0.51181102362204722"/>
  <pageSetup paperSize="9" scale="3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249977111117893"/>
    <pageSetUpPr fitToPage="1"/>
  </sheetPr>
  <dimension ref="A2:AF45"/>
  <sheetViews>
    <sheetView showGridLines="0" view="pageBreakPreview" zoomScaleNormal="100" zoomScaleSheetLayoutView="100" workbookViewId="0">
      <selection activeCell="T36" sqref="T36"/>
    </sheetView>
  </sheetViews>
  <sheetFormatPr defaultColWidth="8.81640625" defaultRowHeight="14.5" x14ac:dyDescent="0.25"/>
  <cols>
    <col min="1" max="1" width="3.7265625" style="1980" customWidth="1"/>
    <col min="2" max="2" width="14.453125" style="1980" customWidth="1"/>
    <col min="3" max="3" width="3.7265625" style="1980" customWidth="1"/>
    <col min="4" max="4" width="15.26953125" style="2040" customWidth="1"/>
    <col min="5" max="20" width="8.7265625" style="2040" customWidth="1"/>
    <col min="21" max="21" width="8.08984375" style="2040" customWidth="1"/>
    <col min="22" max="23" width="8.7265625" style="2040" customWidth="1"/>
    <col min="24" max="24" width="8.1796875" style="2040" customWidth="1"/>
    <col min="25" max="25" width="8.7265625" style="2040" customWidth="1"/>
    <col min="26" max="26" width="8.453125" style="2040" customWidth="1"/>
    <col min="27" max="27" width="8.6328125" style="2040" customWidth="1"/>
    <col min="28" max="28" width="9.26953125" style="2040" customWidth="1"/>
    <col min="29" max="29" width="7.90625" style="2040" customWidth="1"/>
    <col min="30" max="30" width="8.90625" style="2040" customWidth="1"/>
    <col min="31" max="16384" width="8.81640625" style="2040"/>
  </cols>
  <sheetData>
    <row r="2" spans="1:32" ht="12.75" customHeight="1" x14ac:dyDescent="0.25">
      <c r="A2" s="1255">
        <v>1</v>
      </c>
      <c r="B2" s="1255" t="s">
        <v>0</v>
      </c>
      <c r="C2" s="1255">
        <v>31</v>
      </c>
      <c r="D2" s="4715" t="s">
        <v>748</v>
      </c>
      <c r="E2" s="4716"/>
      <c r="F2" s="4716"/>
      <c r="G2" s="4716"/>
      <c r="H2" s="4716"/>
      <c r="I2" s="4716"/>
      <c r="J2" s="4716"/>
      <c r="K2" s="4716"/>
      <c r="L2" s="4716"/>
      <c r="M2" s="4716"/>
      <c r="N2" s="953"/>
      <c r="O2" s="953"/>
      <c r="P2" s="953"/>
      <c r="Q2" s="953"/>
      <c r="R2" s="953"/>
      <c r="S2" s="953"/>
      <c r="T2" s="953"/>
      <c r="U2" s="953"/>
      <c r="V2" s="953"/>
      <c r="W2" s="953"/>
      <c r="X2" s="953"/>
      <c r="Y2" s="953"/>
      <c r="Z2" s="954"/>
      <c r="AA2" s="2043"/>
    </row>
    <row r="3" spans="1:32" ht="13" x14ac:dyDescent="0.25">
      <c r="A3" s="1255">
        <v>2</v>
      </c>
      <c r="B3" s="1255" t="s">
        <v>2</v>
      </c>
      <c r="C3" s="1255"/>
      <c r="D3" s="4715" t="s">
        <v>726</v>
      </c>
      <c r="E3" s="4716"/>
      <c r="F3" s="4716"/>
      <c r="G3" s="4716"/>
      <c r="H3" s="4716"/>
      <c r="I3" s="4716"/>
      <c r="J3" s="4716"/>
      <c r="K3" s="4716"/>
      <c r="L3" s="4716"/>
      <c r="M3" s="4716"/>
      <c r="N3" s="4716"/>
      <c r="O3" s="4716"/>
      <c r="P3" s="4716"/>
      <c r="Q3" s="4716"/>
      <c r="R3" s="4716"/>
      <c r="S3" s="4716"/>
      <c r="T3" s="4716"/>
      <c r="U3" s="4716"/>
      <c r="V3" s="4716"/>
      <c r="W3" s="4716"/>
      <c r="X3" s="4716"/>
      <c r="Y3" s="4716"/>
      <c r="Z3" s="4717"/>
      <c r="AA3" s="2043"/>
    </row>
    <row r="4" spans="1:32" ht="12.75" customHeight="1" x14ac:dyDescent="0.25">
      <c r="A4" s="1255">
        <v>3</v>
      </c>
      <c r="B4" s="1255" t="s">
        <v>4</v>
      </c>
      <c r="C4" s="1255"/>
      <c r="D4" s="4715" t="s">
        <v>749</v>
      </c>
      <c r="E4" s="4716"/>
      <c r="F4" s="4716"/>
      <c r="G4" s="4716"/>
      <c r="H4" s="4716"/>
      <c r="I4" s="4716"/>
      <c r="J4" s="4716"/>
      <c r="K4" s="4716"/>
      <c r="L4" s="4716"/>
      <c r="M4" s="4716"/>
      <c r="N4" s="4716"/>
      <c r="O4" s="4716"/>
      <c r="P4" s="4716"/>
      <c r="Q4" s="4716"/>
      <c r="R4" s="4716"/>
      <c r="S4" s="4716"/>
      <c r="T4" s="4716"/>
      <c r="U4" s="4716"/>
      <c r="V4" s="4716"/>
      <c r="W4" s="4716"/>
      <c r="X4" s="4716"/>
      <c r="Y4" s="4716"/>
      <c r="Z4" s="4716"/>
      <c r="AA4" s="2043"/>
    </row>
    <row r="5" spans="1:32" x14ac:dyDescent="0.3">
      <c r="C5" s="728"/>
      <c r="D5" s="1764"/>
      <c r="E5" s="1764"/>
      <c r="F5" s="1764"/>
      <c r="G5" s="1764"/>
      <c r="H5" s="1765"/>
      <c r="I5" s="1765"/>
      <c r="J5" s="1764"/>
      <c r="K5" s="1764"/>
      <c r="L5" s="1764"/>
      <c r="M5" s="1764"/>
      <c r="N5" s="1764"/>
      <c r="O5" s="1764"/>
      <c r="P5" s="1764"/>
      <c r="Q5" s="1764"/>
      <c r="R5" s="1764"/>
    </row>
    <row r="6" spans="1:32" x14ac:dyDescent="0.25">
      <c r="A6" s="1255">
        <v>4</v>
      </c>
      <c r="B6" s="728" t="s">
        <v>6</v>
      </c>
      <c r="D6" s="1514" t="s">
        <v>74</v>
      </c>
      <c r="E6" s="1514" t="s">
        <v>750</v>
      </c>
      <c r="F6" s="1272"/>
      <c r="G6" s="1272"/>
      <c r="H6" s="1272"/>
      <c r="I6" s="1272"/>
      <c r="J6" s="1272"/>
      <c r="K6" s="1272"/>
      <c r="L6" s="1272"/>
      <c r="M6" s="1272"/>
      <c r="N6" s="1272"/>
      <c r="O6" s="1272"/>
      <c r="P6" s="1272"/>
      <c r="Q6" s="1270"/>
      <c r="R6" s="1270"/>
      <c r="S6" s="1270"/>
      <c r="T6" s="1270"/>
      <c r="U6" s="1270"/>
      <c r="V6" s="1270"/>
    </row>
    <row r="7" spans="1:32" ht="22.9" customHeight="1" x14ac:dyDescent="0.25">
      <c r="D7" s="2044"/>
      <c r="E7" s="2045">
        <v>1994</v>
      </c>
      <c r="F7" s="2045">
        <v>1995</v>
      </c>
      <c r="G7" s="2045">
        <v>1996</v>
      </c>
      <c r="H7" s="2045">
        <v>1997</v>
      </c>
      <c r="I7" s="2045">
        <v>1998</v>
      </c>
      <c r="J7" s="2045">
        <v>1999</v>
      </c>
      <c r="K7" s="2045" t="s">
        <v>751</v>
      </c>
      <c r="L7" s="2046" t="s">
        <v>108</v>
      </c>
      <c r="M7" s="2046" t="s">
        <v>109</v>
      </c>
      <c r="N7" s="2046" t="s">
        <v>110</v>
      </c>
      <c r="O7" s="2046" t="s">
        <v>111</v>
      </c>
      <c r="P7" s="2046" t="s">
        <v>112</v>
      </c>
      <c r="Q7" s="2046" t="s">
        <v>113</v>
      </c>
      <c r="R7" s="2046" t="s">
        <v>114</v>
      </c>
      <c r="S7" s="2046" t="s">
        <v>115</v>
      </c>
      <c r="T7" s="2046" t="s">
        <v>116</v>
      </c>
      <c r="U7" s="1614" t="s">
        <v>117</v>
      </c>
      <c r="V7" s="1614" t="s">
        <v>118</v>
      </c>
      <c r="W7" s="1614" t="s">
        <v>119</v>
      </c>
      <c r="X7" s="1614" t="s">
        <v>120</v>
      </c>
      <c r="Y7" s="1614" t="s">
        <v>121</v>
      </c>
      <c r="Z7" s="1614" t="s">
        <v>122</v>
      </c>
      <c r="AA7" s="1614" t="s">
        <v>123</v>
      </c>
      <c r="AB7" s="1614" t="s">
        <v>124</v>
      </c>
      <c r="AC7" s="1614" t="s">
        <v>125</v>
      </c>
      <c r="AD7" s="1614" t="s">
        <v>126</v>
      </c>
      <c r="AE7" s="1614" t="s">
        <v>302</v>
      </c>
    </row>
    <row r="8" spans="1:32" s="2051" customFormat="1" ht="12.5" x14ac:dyDescent="0.25">
      <c r="A8" s="2047"/>
      <c r="B8" s="2047"/>
      <c r="C8" s="2047"/>
      <c r="D8" s="1484" t="s">
        <v>752</v>
      </c>
      <c r="E8" s="1571"/>
      <c r="F8" s="1571"/>
      <c r="G8" s="1571"/>
      <c r="H8" s="1571"/>
      <c r="I8" s="1571"/>
      <c r="J8" s="1571"/>
      <c r="K8" s="2048"/>
      <c r="L8" s="2049"/>
      <c r="M8" s="1571">
        <v>214228</v>
      </c>
      <c r="N8" s="1571">
        <v>193504</v>
      </c>
      <c r="O8" s="1571">
        <v>130810</v>
      </c>
      <c r="P8" s="1571">
        <v>262751</v>
      </c>
      <c r="Q8" s="1571">
        <v>236268</v>
      </c>
      <c r="R8" s="1571">
        <v>2500000</v>
      </c>
      <c r="S8" s="1571">
        <v>2500000</v>
      </c>
      <c r="T8" s="1571">
        <v>1500000</v>
      </c>
      <c r="U8" s="1571">
        <v>656000</v>
      </c>
      <c r="V8" s="2050">
        <v>283592</v>
      </c>
      <c r="W8" s="1571">
        <v>303612</v>
      </c>
      <c r="X8" s="1571">
        <v>321122</v>
      </c>
      <c r="Y8" s="1571">
        <v>311917</v>
      </c>
      <c r="Z8" s="1571">
        <v>210063</v>
      </c>
      <c r="AA8" s="1571">
        <v>370000</v>
      </c>
      <c r="AB8" s="1571">
        <v>83074</v>
      </c>
      <c r="AC8" s="1571">
        <v>96165</v>
      </c>
      <c r="AD8" s="1571">
        <v>81000</v>
      </c>
      <c r="AE8" s="1571">
        <v>94050</v>
      </c>
    </row>
    <row r="9" spans="1:32" ht="21" x14ac:dyDescent="0.25">
      <c r="D9" s="2052" t="s">
        <v>753</v>
      </c>
      <c r="E9" s="2053">
        <v>8678.7134000000005</v>
      </c>
      <c r="F9" s="2053">
        <v>10126.203599999999</v>
      </c>
      <c r="G9" s="2053">
        <v>40675.686399999999</v>
      </c>
      <c r="H9" s="2053">
        <v>102317.66140000001</v>
      </c>
      <c r="I9" s="2053">
        <v>202246.32089999999</v>
      </c>
      <c r="J9" s="2053">
        <v>154863.21859999999</v>
      </c>
      <c r="K9" s="2053">
        <v>28157.256300000001</v>
      </c>
      <c r="L9" s="2053">
        <v>137334.6862</v>
      </c>
      <c r="M9" s="2053">
        <v>199593.12179999999</v>
      </c>
      <c r="N9" s="2053">
        <v>248855.07249999998</v>
      </c>
      <c r="O9" s="2053">
        <v>177018.8296</v>
      </c>
      <c r="P9" s="2053">
        <v>214773.49530000001</v>
      </c>
      <c r="Q9" s="2053">
        <v>223648.40980000002</v>
      </c>
      <c r="R9" s="2053">
        <v>357671.15110000002</v>
      </c>
      <c r="S9" s="2053">
        <v>509879.61969999998</v>
      </c>
      <c r="T9" s="2053">
        <v>470477.95610000007</v>
      </c>
      <c r="U9" s="2054">
        <v>242706.535</v>
      </c>
      <c r="V9" s="2055">
        <v>331794.24449999997</v>
      </c>
      <c r="W9" s="2054">
        <v>394170.57079999999</v>
      </c>
      <c r="X9" s="2054">
        <v>157556</v>
      </c>
      <c r="Y9" s="2054">
        <v>153586</v>
      </c>
      <c r="Z9" s="2054">
        <v>210395.80410000001</v>
      </c>
      <c r="AA9" s="2054">
        <v>140670.32939999999</v>
      </c>
      <c r="AB9" s="2054">
        <v>94279.195100000012</v>
      </c>
      <c r="AC9" s="2054">
        <v>92032.35149999999</v>
      </c>
      <c r="AD9" s="2054">
        <v>85324.552299999996</v>
      </c>
      <c r="AE9" s="2054">
        <v>92643</v>
      </c>
    </row>
    <row r="10" spans="1:32" x14ac:dyDescent="0.25">
      <c r="D10" s="1771" t="s">
        <v>754</v>
      </c>
      <c r="E10" s="2056">
        <v>8678.7134000000005</v>
      </c>
      <c r="F10" s="2056">
        <v>18805</v>
      </c>
      <c r="G10" s="2056">
        <v>59481</v>
      </c>
      <c r="H10" s="2056">
        <v>161799</v>
      </c>
      <c r="I10" s="2056">
        <v>364045</v>
      </c>
      <c r="J10" s="2056">
        <v>518908</v>
      </c>
      <c r="K10" s="2056">
        <v>547065</v>
      </c>
      <c r="L10" s="2056">
        <v>684400</v>
      </c>
      <c r="M10" s="2056">
        <v>883993</v>
      </c>
      <c r="N10" s="2056">
        <v>1132848</v>
      </c>
      <c r="O10" s="2056">
        <v>1309867</v>
      </c>
      <c r="P10" s="2056">
        <v>1524640</v>
      </c>
      <c r="Q10" s="2056">
        <v>1748288</v>
      </c>
      <c r="R10" s="2056">
        <v>2105959</v>
      </c>
      <c r="S10" s="2056">
        <v>2615839</v>
      </c>
      <c r="T10" s="2056">
        <v>3086317</v>
      </c>
      <c r="U10" s="2057">
        <v>3329024</v>
      </c>
      <c r="V10" s="2057">
        <v>3660818</v>
      </c>
      <c r="W10" s="2057">
        <v>4054989</v>
      </c>
      <c r="X10" s="2057">
        <v>4212545</v>
      </c>
      <c r="Y10" s="2058">
        <v>4366131</v>
      </c>
      <c r="Z10" s="2057">
        <v>4576527</v>
      </c>
      <c r="AA10" s="2056">
        <v>4717197</v>
      </c>
      <c r="AB10" s="2056">
        <v>4811476</v>
      </c>
      <c r="AC10" s="2056">
        <v>4903508</v>
      </c>
      <c r="AD10" s="2056">
        <v>4988833</v>
      </c>
      <c r="AE10" s="2056">
        <v>5081476</v>
      </c>
    </row>
    <row r="11" spans="1:32" x14ac:dyDescent="0.35">
      <c r="F11" s="2059"/>
      <c r="G11" s="2059"/>
      <c r="H11" s="2059"/>
      <c r="I11" s="2059"/>
      <c r="J11" s="2059"/>
      <c r="K11" s="2060"/>
      <c r="L11" s="2059"/>
      <c r="M11" s="2059"/>
      <c r="N11" s="2059"/>
      <c r="O11" s="2059"/>
      <c r="P11" s="2059"/>
      <c r="Q11" s="2059"/>
      <c r="R11" s="2059"/>
      <c r="S11" s="2059"/>
      <c r="T11" s="2059"/>
      <c r="U11" s="2059"/>
      <c r="V11" s="2059"/>
      <c r="W11" s="2059"/>
      <c r="X11" s="2059"/>
      <c r="Y11" s="2059"/>
    </row>
    <row r="12" spans="1:32" x14ac:dyDescent="0.35">
      <c r="F12" s="2059"/>
      <c r="G12" s="2059"/>
      <c r="H12" s="2059"/>
      <c r="I12" s="2059"/>
      <c r="J12" s="2059"/>
      <c r="K12" s="2059"/>
      <c r="L12" s="2059"/>
      <c r="M12" s="2059"/>
      <c r="N12" s="2059"/>
      <c r="O12" s="2059"/>
      <c r="P12" s="2059"/>
      <c r="Q12" s="2059"/>
      <c r="R12" s="2059"/>
      <c r="S12" s="2059"/>
      <c r="T12" s="2059"/>
      <c r="U12" s="2059"/>
      <c r="V12" s="2059"/>
      <c r="W12" s="2059"/>
      <c r="X12" s="2059"/>
      <c r="Y12" s="2059"/>
      <c r="Z12" s="2061"/>
      <c r="AA12" s="2061"/>
      <c r="AB12" s="2062"/>
      <c r="AC12" s="2062"/>
      <c r="AD12" s="2062"/>
    </row>
    <row r="13" spans="1:32" ht="12.75" customHeight="1" x14ac:dyDescent="0.25">
      <c r="D13" s="1261" t="s">
        <v>85</v>
      </c>
      <c r="E13" s="2063" t="s">
        <v>755</v>
      </c>
      <c r="F13" s="1839"/>
      <c r="G13" s="1839"/>
      <c r="H13" s="1839"/>
      <c r="I13" s="1839"/>
      <c r="J13" s="1839"/>
      <c r="K13" s="1839"/>
      <c r="L13" s="1839"/>
      <c r="M13" s="1839"/>
      <c r="N13" s="1839"/>
      <c r="O13" s="1839"/>
      <c r="P13" s="1839"/>
      <c r="Q13" s="1839"/>
      <c r="R13" s="1839"/>
      <c r="S13" s="1839"/>
      <c r="T13" s="1839"/>
      <c r="U13" s="1839"/>
      <c r="V13" s="1839"/>
      <c r="W13" s="2064"/>
      <c r="X13" s="2065"/>
    </row>
    <row r="14" spans="1:32" ht="22.9" customHeight="1" x14ac:dyDescent="0.25">
      <c r="D14" s="2066"/>
      <c r="E14" s="2067">
        <v>1994</v>
      </c>
      <c r="F14" s="2067">
        <v>1995</v>
      </c>
      <c r="G14" s="2067">
        <v>1996</v>
      </c>
      <c r="H14" s="2067">
        <v>1997</v>
      </c>
      <c r="I14" s="2067">
        <v>1998</v>
      </c>
      <c r="J14" s="2067">
        <v>1999</v>
      </c>
      <c r="K14" s="2067" t="s">
        <v>751</v>
      </c>
      <c r="L14" s="2067" t="s">
        <v>108</v>
      </c>
      <c r="M14" s="2067" t="s">
        <v>109</v>
      </c>
      <c r="N14" s="2067" t="s">
        <v>110</v>
      </c>
      <c r="O14" s="2067" t="s">
        <v>111</v>
      </c>
      <c r="P14" s="2067" t="s">
        <v>112</v>
      </c>
      <c r="Q14" s="2067" t="s">
        <v>113</v>
      </c>
      <c r="R14" s="2067" t="s">
        <v>114</v>
      </c>
      <c r="S14" s="2067" t="s">
        <v>115</v>
      </c>
      <c r="T14" s="2067" t="s">
        <v>116</v>
      </c>
      <c r="U14" s="2067" t="s">
        <v>117</v>
      </c>
      <c r="V14" s="2067" t="s">
        <v>118</v>
      </c>
      <c r="W14" s="2068" t="s">
        <v>119</v>
      </c>
      <c r="X14" s="2068" t="s">
        <v>120</v>
      </c>
      <c r="Y14" s="2068" t="s">
        <v>121</v>
      </c>
      <c r="Z14" s="2068" t="s">
        <v>122</v>
      </c>
      <c r="AA14" s="2068" t="s">
        <v>123</v>
      </c>
      <c r="AB14" s="1614" t="s">
        <v>124</v>
      </c>
      <c r="AC14" s="1614" t="s">
        <v>125</v>
      </c>
      <c r="AD14" s="1614" t="s">
        <v>126</v>
      </c>
      <c r="AE14" s="1614" t="s">
        <v>302</v>
      </c>
      <c r="AF14" s="2067" t="s">
        <v>232</v>
      </c>
    </row>
    <row r="15" spans="1:32" ht="13" x14ac:dyDescent="0.25">
      <c r="A15" s="1255"/>
      <c r="B15" s="728"/>
      <c r="C15" s="728"/>
      <c r="D15" s="1956" t="s">
        <v>402</v>
      </c>
      <c r="E15" s="2069" t="s">
        <v>756</v>
      </c>
      <c r="F15" s="2069">
        <v>905</v>
      </c>
      <c r="G15" s="2069">
        <v>3097.0772999999999</v>
      </c>
      <c r="H15" s="2069">
        <v>4020.2829000000002</v>
      </c>
      <c r="I15" s="2069">
        <v>9339.1072999999997</v>
      </c>
      <c r="J15" s="2069">
        <v>15107.17</v>
      </c>
      <c r="K15" s="2069">
        <v>5980.71</v>
      </c>
      <c r="L15" s="2069">
        <v>7206.7107999999998</v>
      </c>
      <c r="M15" s="2069">
        <v>15653.861800000001</v>
      </c>
      <c r="N15" s="2069">
        <v>42587.088499999998</v>
      </c>
      <c r="O15" s="2069">
        <v>45090.478499999997</v>
      </c>
      <c r="P15" s="2069">
        <v>39785.339899999999</v>
      </c>
      <c r="Q15" s="2069">
        <v>26745.216700000001</v>
      </c>
      <c r="R15" s="2069">
        <v>28993.525300000001</v>
      </c>
      <c r="S15" s="2069">
        <v>16659.951400000002</v>
      </c>
      <c r="T15" s="2069">
        <v>55316.012699999999</v>
      </c>
      <c r="U15" s="2069">
        <v>39677.963100000001</v>
      </c>
      <c r="V15" s="2069">
        <v>40899.465799999998</v>
      </c>
      <c r="W15" s="2069">
        <v>66606.391900000002</v>
      </c>
      <c r="X15" s="2069">
        <v>18985</v>
      </c>
      <c r="Y15" s="2069">
        <v>27771</v>
      </c>
      <c r="Z15" s="2069">
        <v>18223.8331</v>
      </c>
      <c r="AA15" s="2069">
        <v>15526.513999999999</v>
      </c>
      <c r="AB15" s="2054">
        <v>7170.0495000000001</v>
      </c>
      <c r="AC15" s="2054">
        <v>1314.6934000000001</v>
      </c>
      <c r="AD15" s="2054">
        <v>2855.2098999999998</v>
      </c>
      <c r="AE15" s="2054">
        <v>2129.3343</v>
      </c>
      <c r="AF15" s="2069">
        <v>557646.98809999996</v>
      </c>
    </row>
    <row r="16" spans="1:32" ht="14" x14ac:dyDescent="0.25">
      <c r="A16" s="2070"/>
      <c r="B16" s="2071"/>
      <c r="C16" s="2071"/>
      <c r="D16" s="1956" t="s">
        <v>404</v>
      </c>
      <c r="E16" s="2069">
        <v>166.06010000000001</v>
      </c>
      <c r="F16" s="2069">
        <v>4.2827000000000002</v>
      </c>
      <c r="G16" s="2069">
        <v>5004.2305999999999</v>
      </c>
      <c r="H16" s="2069">
        <v>6571.6778999999997</v>
      </c>
      <c r="I16" s="2069">
        <v>32309.56</v>
      </c>
      <c r="J16" s="2069">
        <v>15140.6621</v>
      </c>
      <c r="K16" s="2069">
        <v>1695.8371</v>
      </c>
      <c r="L16" s="2069">
        <v>329.15899999999999</v>
      </c>
      <c r="M16" s="2069">
        <v>14403.255300000001</v>
      </c>
      <c r="N16" s="2069">
        <v>22921.7117</v>
      </c>
      <c r="O16" s="2069">
        <v>18024.585500000001</v>
      </c>
      <c r="P16" s="2069">
        <v>9292.8292000000001</v>
      </c>
      <c r="Q16" s="2069">
        <v>25686.4866</v>
      </c>
      <c r="R16" s="2069">
        <v>24988.813099999999</v>
      </c>
      <c r="S16" s="2069">
        <v>32246.399099999999</v>
      </c>
      <c r="T16" s="2069">
        <v>64242.280500000001</v>
      </c>
      <c r="U16" s="2069">
        <v>31103.682400000002</v>
      </c>
      <c r="V16" s="2069">
        <v>10403.818300000001</v>
      </c>
      <c r="W16" s="2069">
        <v>42690.324399999998</v>
      </c>
      <c r="X16" s="2069">
        <v>16168</v>
      </c>
      <c r="Y16" s="2069">
        <v>15385</v>
      </c>
      <c r="Z16" s="2069">
        <v>10789.9802</v>
      </c>
      <c r="AA16" s="2069">
        <v>8274.9</v>
      </c>
      <c r="AB16" s="2069">
        <v>6513.0664999999999</v>
      </c>
      <c r="AC16" s="2069">
        <v>11735.827600000001</v>
      </c>
      <c r="AD16" s="2069">
        <v>3214.5036000000005</v>
      </c>
      <c r="AE16" s="2069">
        <v>674.44410000000005</v>
      </c>
      <c r="AF16" s="2069">
        <v>429981.37760000007</v>
      </c>
    </row>
    <row r="17" spans="1:32" x14ac:dyDescent="0.25">
      <c r="A17" s="2070"/>
      <c r="B17" s="2072"/>
      <c r="C17" s="2072"/>
      <c r="D17" s="1956" t="s">
        <v>407</v>
      </c>
      <c r="E17" s="2069" t="s">
        <v>756</v>
      </c>
      <c r="F17" s="2069" t="s">
        <v>756</v>
      </c>
      <c r="G17" s="2069" t="s">
        <v>756</v>
      </c>
      <c r="H17" s="2069">
        <v>83.540400000000005</v>
      </c>
      <c r="I17" s="2069">
        <v>210.6686</v>
      </c>
      <c r="J17" s="2069">
        <v>1966.6780000000001</v>
      </c>
      <c r="K17" s="2069">
        <v>816.7242</v>
      </c>
      <c r="L17" s="2069">
        <v>1348.7022999999999</v>
      </c>
      <c r="M17" s="2069">
        <v>69.833699999999993</v>
      </c>
      <c r="N17" s="2069">
        <v>832.66250000000002</v>
      </c>
      <c r="O17" s="2069">
        <v>2406.41</v>
      </c>
      <c r="P17" s="2069">
        <v>1351.9119000000001</v>
      </c>
      <c r="Q17" s="2069">
        <v>1978.0250000000001</v>
      </c>
      <c r="R17" s="2069">
        <v>9430.5625999999993</v>
      </c>
      <c r="S17" s="2069">
        <v>9995.6983</v>
      </c>
      <c r="T17" s="2069">
        <v>2888.462</v>
      </c>
      <c r="U17" s="2069">
        <v>1753.5762</v>
      </c>
      <c r="V17" s="2069">
        <v>3267.7377999999999</v>
      </c>
      <c r="W17" s="2069">
        <v>3357.4146999999998</v>
      </c>
      <c r="X17" s="2069">
        <v>3265</v>
      </c>
      <c r="Y17" s="2069">
        <v>4424</v>
      </c>
      <c r="Z17" s="2069">
        <v>6783.7846</v>
      </c>
      <c r="AA17" s="2069">
        <v>2780.3429000000001</v>
      </c>
      <c r="AB17" s="2069">
        <v>883.40980000000002</v>
      </c>
      <c r="AC17" s="2069">
        <v>1256.1448</v>
      </c>
      <c r="AD17" s="2069">
        <v>728.8927000000001</v>
      </c>
      <c r="AE17" s="2069">
        <v>14</v>
      </c>
      <c r="AF17" s="2069">
        <v>61894.183000000012</v>
      </c>
    </row>
    <row r="18" spans="1:32" x14ac:dyDescent="0.25">
      <c r="A18" s="2070"/>
      <c r="B18" s="2072"/>
      <c r="C18" s="2072"/>
      <c r="D18" s="1956" t="s">
        <v>405</v>
      </c>
      <c r="E18" s="2069">
        <v>8512.6532999999999</v>
      </c>
      <c r="F18" s="2069">
        <v>8205</v>
      </c>
      <c r="G18" s="2069">
        <v>19749.053199999998</v>
      </c>
      <c r="H18" s="2069">
        <v>6128.6477999999997</v>
      </c>
      <c r="I18" s="2069">
        <v>18397.166700000002</v>
      </c>
      <c r="J18" s="2069">
        <v>11302.566000000001</v>
      </c>
      <c r="K18" s="2069">
        <v>8918.3166999999994</v>
      </c>
      <c r="L18" s="2069">
        <v>10933.6513</v>
      </c>
      <c r="M18" s="2069">
        <v>32075.470499999999</v>
      </c>
      <c r="N18" s="2069">
        <v>16799.2925</v>
      </c>
      <c r="O18" s="2069">
        <v>28969.8871</v>
      </c>
      <c r="P18" s="2069">
        <v>37060.868199999997</v>
      </c>
      <c r="Q18" s="2069">
        <v>43362.018900000003</v>
      </c>
      <c r="R18" s="2069">
        <v>28922.463</v>
      </c>
      <c r="S18" s="2069">
        <v>33343.903700000003</v>
      </c>
      <c r="T18" s="2069">
        <v>67918.385899999994</v>
      </c>
      <c r="U18" s="2069">
        <v>42154.258999999998</v>
      </c>
      <c r="V18" s="2069">
        <v>25974.334599999998</v>
      </c>
      <c r="W18" s="2069">
        <v>27435.357899999999</v>
      </c>
      <c r="X18" s="2069">
        <v>18294</v>
      </c>
      <c r="Y18" s="2069">
        <v>21938</v>
      </c>
      <c r="Z18" s="2069">
        <v>26772.1224</v>
      </c>
      <c r="AA18" s="2069">
        <v>19285.8554</v>
      </c>
      <c r="AB18" s="2069">
        <v>14047.7909</v>
      </c>
      <c r="AC18" s="2069">
        <v>13770.027</v>
      </c>
      <c r="AD18" s="2069">
        <v>3588.6778000000004</v>
      </c>
      <c r="AE18" s="2069">
        <v>6532.5272000000004</v>
      </c>
      <c r="AF18" s="2069">
        <v>600392.29700000002</v>
      </c>
    </row>
    <row r="19" spans="1:32" x14ac:dyDescent="0.25">
      <c r="A19" s="2070"/>
      <c r="B19" s="2072"/>
      <c r="C19" s="2072"/>
      <c r="D19" s="1956" t="s">
        <v>409</v>
      </c>
      <c r="E19" s="2069" t="s">
        <v>756</v>
      </c>
      <c r="F19" s="2069" t="s">
        <v>756</v>
      </c>
      <c r="G19" s="2069">
        <v>71.092200000000005</v>
      </c>
      <c r="H19" s="2069">
        <v>2734.4141</v>
      </c>
      <c r="I19" s="2069">
        <v>7036.0612000000001</v>
      </c>
      <c r="J19" s="2069">
        <v>2616.3822</v>
      </c>
      <c r="K19" s="2069">
        <v>1173.4906000000001</v>
      </c>
      <c r="L19" s="2069">
        <v>9811.6119999999992</v>
      </c>
      <c r="M19" s="2069">
        <v>7049.8671000000004</v>
      </c>
      <c r="N19" s="2069">
        <v>5496.6696000000002</v>
      </c>
      <c r="O19" s="2069">
        <v>3393.8661000000002</v>
      </c>
      <c r="P19" s="2069">
        <v>2392.1891999999998</v>
      </c>
      <c r="Q19" s="2069">
        <v>3689.6437000000001</v>
      </c>
      <c r="R19" s="2069">
        <v>8035.9574000000002</v>
      </c>
      <c r="S19" s="2069">
        <v>10468.8372</v>
      </c>
      <c r="T19" s="2069">
        <v>14687.4737</v>
      </c>
      <c r="U19" s="2069">
        <v>15374.466200000001</v>
      </c>
      <c r="V19" s="2069">
        <v>6558.1170000000002</v>
      </c>
      <c r="W19" s="2069">
        <v>25032.237499999999</v>
      </c>
      <c r="X19" s="2069">
        <v>8297</v>
      </c>
      <c r="Y19" s="2069">
        <v>1971</v>
      </c>
      <c r="Z19" s="2069">
        <v>12214.555399999999</v>
      </c>
      <c r="AA19" s="2069">
        <v>13179.854600000001</v>
      </c>
      <c r="AB19" s="2069">
        <v>10991.589900000001</v>
      </c>
      <c r="AC19" s="2069">
        <v>7337.0911999999998</v>
      </c>
      <c r="AD19" s="2069">
        <v>4211.6273999999994</v>
      </c>
      <c r="AE19" s="2069">
        <v>8768.4228000000003</v>
      </c>
      <c r="AF19" s="2069">
        <v>192593.51829999997</v>
      </c>
    </row>
    <row r="20" spans="1:32" ht="14" x14ac:dyDescent="0.25">
      <c r="A20" s="2070"/>
      <c r="B20" s="2070"/>
      <c r="C20" s="2070"/>
      <c r="D20" s="1956" t="s">
        <v>408</v>
      </c>
      <c r="E20" s="2069" t="s">
        <v>756</v>
      </c>
      <c r="F20" s="2069" t="s">
        <v>756</v>
      </c>
      <c r="G20" s="2069">
        <v>12416.332200000001</v>
      </c>
      <c r="H20" s="2069">
        <v>6636.6527999999998</v>
      </c>
      <c r="I20" s="2069">
        <v>4721.0447000000004</v>
      </c>
      <c r="J20" s="2069">
        <v>3927.0583999999999</v>
      </c>
      <c r="K20" s="2069">
        <v>5008.3226999999997</v>
      </c>
      <c r="L20" s="2069">
        <v>23113.883300000001</v>
      </c>
      <c r="M20" s="2069">
        <v>30560.213800000001</v>
      </c>
      <c r="N20" s="2069">
        <v>57593.038099999998</v>
      </c>
      <c r="O20" s="2069">
        <v>19411.226699999999</v>
      </c>
      <c r="P20" s="2069">
        <v>20276.8246</v>
      </c>
      <c r="Q20" s="2069">
        <v>7192.7952999999998</v>
      </c>
      <c r="R20" s="2069">
        <v>17913.574000000001</v>
      </c>
      <c r="S20" s="2069">
        <v>45958.103499999997</v>
      </c>
      <c r="T20" s="2069">
        <v>50328.999000000003</v>
      </c>
      <c r="U20" s="2069">
        <v>29081.303500000002</v>
      </c>
      <c r="V20" s="2069">
        <v>37561.054100000001</v>
      </c>
      <c r="W20" s="2069">
        <v>36336.222800000003</v>
      </c>
      <c r="X20" s="2069">
        <v>20314</v>
      </c>
      <c r="Y20" s="2069">
        <v>21214</v>
      </c>
      <c r="Z20" s="2069">
        <v>15893.6342</v>
      </c>
      <c r="AA20" s="2069">
        <v>6289.2950000000001</v>
      </c>
      <c r="AB20" s="2069">
        <v>5501.9180999999999</v>
      </c>
      <c r="AC20" s="2069">
        <v>6704.3351000000002</v>
      </c>
      <c r="AD20" s="2069">
        <v>8289.7497000000003</v>
      </c>
      <c r="AE20" s="2069">
        <v>1125.1867999999999</v>
      </c>
      <c r="AF20" s="2069">
        <v>493368.76839999994</v>
      </c>
    </row>
    <row r="21" spans="1:32" ht="14" x14ac:dyDescent="0.25">
      <c r="A21" s="2070"/>
      <c r="B21" s="2070"/>
      <c r="C21" s="2070"/>
      <c r="D21" s="1956" t="s">
        <v>403</v>
      </c>
      <c r="E21" s="2069" t="s">
        <v>756</v>
      </c>
      <c r="F21" s="2069" t="s">
        <v>756</v>
      </c>
      <c r="G21" s="2069" t="s">
        <v>756</v>
      </c>
      <c r="H21" s="2069">
        <v>72795.224700000006</v>
      </c>
      <c r="I21" s="2069">
        <v>59858.701500000003</v>
      </c>
      <c r="J21" s="2069">
        <v>90561.233500000002</v>
      </c>
      <c r="K21" s="2069">
        <v>4479.3342000000002</v>
      </c>
      <c r="L21" s="2069">
        <v>80763.5818</v>
      </c>
      <c r="M21" s="2069">
        <v>90684.730100000001</v>
      </c>
      <c r="N21" s="2069">
        <v>66566.797900000005</v>
      </c>
      <c r="O21" s="2069">
        <v>27770.162</v>
      </c>
      <c r="P21" s="2069">
        <v>47576.862300000001</v>
      </c>
      <c r="Q21" s="2069">
        <v>62333.529900000001</v>
      </c>
      <c r="R21" s="2069">
        <v>78450.5236</v>
      </c>
      <c r="S21" s="2069">
        <v>105341.31759999999</v>
      </c>
      <c r="T21" s="2069">
        <v>133745.84820000001</v>
      </c>
      <c r="U21" s="2069">
        <v>56827.3416</v>
      </c>
      <c r="V21" s="2069">
        <v>165249.459</v>
      </c>
      <c r="W21" s="2069">
        <v>148392.24239999999</v>
      </c>
      <c r="X21" s="2069">
        <v>36691</v>
      </c>
      <c r="Y21" s="2069">
        <v>39397</v>
      </c>
      <c r="Z21" s="2069">
        <v>59031.302100000001</v>
      </c>
      <c r="AA21" s="2069">
        <v>46916.273200000003</v>
      </c>
      <c r="AB21" s="2069">
        <v>36652.048699999999</v>
      </c>
      <c r="AC21" s="2069">
        <v>34037.186600000001</v>
      </c>
      <c r="AD21" s="2069">
        <v>16544.712800000001</v>
      </c>
      <c r="AE21" s="2069">
        <v>52966.124100000001</v>
      </c>
      <c r="AF21" s="2069">
        <v>1613632.5377999998</v>
      </c>
    </row>
    <row r="22" spans="1:32" ht="14" x14ac:dyDescent="0.25">
      <c r="A22" s="2070"/>
      <c r="B22" s="2070"/>
      <c r="C22" s="2070"/>
      <c r="D22" s="1956" t="s">
        <v>406</v>
      </c>
      <c r="E22" s="2069" t="s">
        <v>756</v>
      </c>
      <c r="F22" s="2069" t="s">
        <v>756</v>
      </c>
      <c r="G22" s="2069">
        <v>337.9006</v>
      </c>
      <c r="H22" s="2069">
        <v>2219.0700000000002</v>
      </c>
      <c r="I22" s="2069">
        <v>3971.95</v>
      </c>
      <c r="J22" s="2069">
        <v>8188.5702000000001</v>
      </c>
      <c r="K22" s="2069">
        <v>82.4178</v>
      </c>
      <c r="L22" s="2069">
        <v>2919.2768000000001</v>
      </c>
      <c r="M22" s="2069">
        <v>7684.9502000000002</v>
      </c>
      <c r="N22" s="2069">
        <v>28895.8043</v>
      </c>
      <c r="O22" s="2069">
        <v>14929.622300000001</v>
      </c>
      <c r="P22" s="2069">
        <v>49731.569300000003</v>
      </c>
      <c r="Q22" s="2069">
        <v>40244.175999999999</v>
      </c>
      <c r="R22" s="2069">
        <v>35919.188999999998</v>
      </c>
      <c r="S22" s="2069">
        <v>43655.640500000001</v>
      </c>
      <c r="T22" s="2069">
        <v>52879.9473</v>
      </c>
      <c r="U22" s="2069">
        <v>13036.213599999999</v>
      </c>
      <c r="V22" s="2069">
        <v>28423.027900000001</v>
      </c>
      <c r="W22" s="2069">
        <v>39394.549400000004</v>
      </c>
      <c r="X22" s="2069">
        <v>31164</v>
      </c>
      <c r="Y22" s="2069">
        <v>20896</v>
      </c>
      <c r="Z22" s="2069">
        <v>32118.487300000001</v>
      </c>
      <c r="AA22" s="2069">
        <v>27365.1302</v>
      </c>
      <c r="AB22" s="2069">
        <v>11845.2971</v>
      </c>
      <c r="AC22" s="2069">
        <v>15017.180399999999</v>
      </c>
      <c r="AD22" s="2069">
        <v>33416.898799999995</v>
      </c>
      <c r="AE22" s="2069">
        <v>13865.949000000001</v>
      </c>
      <c r="AF22" s="2069">
        <v>558202.81800000009</v>
      </c>
    </row>
    <row r="23" spans="1:32" ht="14" x14ac:dyDescent="0.25">
      <c r="A23" s="2070"/>
      <c r="B23" s="2070"/>
      <c r="C23" s="2070"/>
      <c r="D23" s="1956" t="s">
        <v>401</v>
      </c>
      <c r="E23" s="2069" t="s">
        <v>756</v>
      </c>
      <c r="F23" s="2069">
        <v>1011.5513</v>
      </c>
      <c r="G23" s="2069" t="s">
        <v>756</v>
      </c>
      <c r="H23" s="2069">
        <v>1128.1534999999999</v>
      </c>
      <c r="I23" s="2069">
        <v>66402.060899999997</v>
      </c>
      <c r="J23" s="2069">
        <v>6052.8981999999996</v>
      </c>
      <c r="K23" s="2069">
        <v>2.1030000000000002</v>
      </c>
      <c r="L23" s="2069">
        <v>908.10889999999995</v>
      </c>
      <c r="M23" s="2069">
        <v>1410.9393</v>
      </c>
      <c r="N23" s="2069">
        <v>7162.0074000000004</v>
      </c>
      <c r="O23" s="2069">
        <v>17022.591400000001</v>
      </c>
      <c r="P23" s="2069">
        <v>7305.1007</v>
      </c>
      <c r="Q23" s="2069">
        <v>12416.5177</v>
      </c>
      <c r="R23" s="2069">
        <v>125016.5431</v>
      </c>
      <c r="S23" s="2069">
        <v>212209.7684</v>
      </c>
      <c r="T23" s="2069">
        <v>28470.5468</v>
      </c>
      <c r="U23" s="2069">
        <v>13697.7294</v>
      </c>
      <c r="V23" s="2069">
        <v>13457.23</v>
      </c>
      <c r="W23" s="2069">
        <v>4925.8298000000004</v>
      </c>
      <c r="X23" s="2069">
        <v>4378</v>
      </c>
      <c r="Y23" s="2069">
        <v>590</v>
      </c>
      <c r="Z23" s="2069">
        <v>28568.104800000001</v>
      </c>
      <c r="AA23" s="2069">
        <v>1052.1641</v>
      </c>
      <c r="AB23" s="2069">
        <v>674.02459999999996</v>
      </c>
      <c r="AC23" s="2069">
        <v>859.86540000000002</v>
      </c>
      <c r="AD23" s="2069">
        <v>12474.2796</v>
      </c>
      <c r="AE23" s="2069">
        <v>6577.2471000000005</v>
      </c>
      <c r="AF23" s="2069">
        <v>573773.36540000013</v>
      </c>
    </row>
    <row r="24" spans="1:32" ht="14" x14ac:dyDescent="0.25">
      <c r="A24" s="2070"/>
      <c r="B24" s="2070"/>
      <c r="C24" s="2070"/>
      <c r="D24" s="2073" t="s">
        <v>232</v>
      </c>
      <c r="E24" s="2074">
        <f>SUM(E15:E23)</f>
        <v>8678.7134000000005</v>
      </c>
      <c r="F24" s="2074">
        <f t="shared" ref="F24:X24" si="0">SUM(F15:F23)</f>
        <v>10125.833999999999</v>
      </c>
      <c r="G24" s="2074">
        <f t="shared" si="0"/>
        <v>40675.686099999999</v>
      </c>
      <c r="H24" s="2074">
        <f t="shared" si="0"/>
        <v>102317.66410000001</v>
      </c>
      <c r="I24" s="2074">
        <f t="shared" si="0"/>
        <v>202246.32089999999</v>
      </c>
      <c r="J24" s="2074">
        <f t="shared" si="0"/>
        <v>154863.21859999999</v>
      </c>
      <c r="K24" s="2074">
        <f t="shared" si="0"/>
        <v>28157.256300000001</v>
      </c>
      <c r="L24" s="2074">
        <f t="shared" si="0"/>
        <v>137334.6862</v>
      </c>
      <c r="M24" s="2074">
        <f t="shared" si="0"/>
        <v>199593.12179999999</v>
      </c>
      <c r="N24" s="2074">
        <f t="shared" si="0"/>
        <v>248855.07249999998</v>
      </c>
      <c r="O24" s="2074">
        <f t="shared" si="0"/>
        <v>177018.8296</v>
      </c>
      <c r="P24" s="2074">
        <f t="shared" si="0"/>
        <v>214773.49530000001</v>
      </c>
      <c r="Q24" s="2074">
        <f t="shared" si="0"/>
        <v>223648.40980000002</v>
      </c>
      <c r="R24" s="2074">
        <f t="shared" si="0"/>
        <v>357671.15110000002</v>
      </c>
      <c r="S24" s="2074">
        <f t="shared" si="0"/>
        <v>509879.61969999998</v>
      </c>
      <c r="T24" s="2074">
        <f t="shared" si="0"/>
        <v>470477.95610000007</v>
      </c>
      <c r="U24" s="2074">
        <f t="shared" si="0"/>
        <v>242706.535</v>
      </c>
      <c r="V24" s="2074">
        <f t="shared" si="0"/>
        <v>331794.24449999997</v>
      </c>
      <c r="W24" s="2074">
        <f t="shared" si="0"/>
        <v>394170.57079999999</v>
      </c>
      <c r="X24" s="2074">
        <f t="shared" si="0"/>
        <v>157556</v>
      </c>
      <c r="Y24" s="2074">
        <f>SUM(Y15:Y23)</f>
        <v>153586</v>
      </c>
      <c r="Z24" s="2074">
        <f>SUM(Z15:Z23)</f>
        <v>210395.80410000001</v>
      </c>
      <c r="AA24" s="2074">
        <v>140670</v>
      </c>
      <c r="AB24" s="2074">
        <v>94279.195100000012</v>
      </c>
      <c r="AC24" s="2074">
        <v>92032.35149999999</v>
      </c>
      <c r="AD24" s="2074">
        <v>85324.552299999996</v>
      </c>
      <c r="AE24" s="2074">
        <v>92653.235400000005</v>
      </c>
      <c r="AF24" s="2074">
        <v>5081485.8536</v>
      </c>
    </row>
    <row r="25" spans="1:32" ht="14" x14ac:dyDescent="0.25">
      <c r="A25" s="2070"/>
      <c r="B25" s="2070"/>
      <c r="C25" s="2070"/>
      <c r="D25" s="1772"/>
      <c r="E25" s="2069"/>
      <c r="F25" s="2069"/>
      <c r="G25" s="2069"/>
      <c r="H25" s="2069"/>
      <c r="I25" s="2069"/>
      <c r="J25" s="2069"/>
      <c r="K25" s="2069"/>
      <c r="L25" s="2069"/>
      <c r="M25" s="2069"/>
      <c r="N25" s="2069"/>
      <c r="O25" s="2069"/>
      <c r="P25" s="2069"/>
      <c r="Q25" s="2069"/>
      <c r="R25" s="2069"/>
      <c r="S25" s="2069"/>
      <c r="T25" s="2069"/>
      <c r="U25" s="2069"/>
      <c r="V25" s="2069"/>
      <c r="W25" s="2069"/>
      <c r="X25" s="2069"/>
      <c r="Y25" s="2069"/>
      <c r="Z25" s="2069"/>
      <c r="AA25" s="2069"/>
    </row>
    <row r="26" spans="1:32" ht="14" x14ac:dyDescent="0.25">
      <c r="A26" s="2070"/>
      <c r="B26" s="2070"/>
      <c r="C26" s="2070"/>
      <c r="D26" s="1772"/>
      <c r="E26" s="2075"/>
      <c r="F26" s="2075"/>
      <c r="G26" s="2075"/>
      <c r="H26" s="2075"/>
      <c r="I26" s="2075"/>
      <c r="J26" s="2075"/>
      <c r="K26" s="2075"/>
      <c r="L26" s="2075"/>
      <c r="M26" s="2075"/>
      <c r="N26" s="2075"/>
      <c r="O26" s="2075"/>
      <c r="P26" s="2075"/>
      <c r="Q26" s="2075"/>
      <c r="R26" s="2075"/>
      <c r="S26" s="2075"/>
      <c r="T26" s="2075"/>
      <c r="U26" s="2075"/>
      <c r="V26" s="2075"/>
      <c r="W26" s="2075"/>
      <c r="X26" s="2075"/>
      <c r="Y26" s="2075"/>
    </row>
    <row r="27" spans="1:32" ht="14" x14ac:dyDescent="0.25">
      <c r="A27" s="2070"/>
      <c r="B27" s="2070"/>
      <c r="C27" s="2070"/>
      <c r="D27" s="1772"/>
      <c r="E27" s="2075"/>
      <c r="F27" s="2075"/>
      <c r="G27" s="2075"/>
      <c r="H27" s="2075"/>
      <c r="I27" s="2075"/>
      <c r="J27" s="2075"/>
      <c r="K27" s="2075"/>
      <c r="L27" s="2075"/>
      <c r="M27" s="2075"/>
      <c r="N27" s="2075"/>
      <c r="O27" s="2075"/>
      <c r="P27" s="2075"/>
      <c r="Q27" s="2075"/>
      <c r="R27" s="2075"/>
      <c r="S27" s="2075"/>
      <c r="T27" s="2075"/>
      <c r="U27" s="2075"/>
      <c r="V27" s="2075"/>
      <c r="W27" s="2075"/>
      <c r="X27" s="2075"/>
      <c r="Y27" s="2075"/>
    </row>
    <row r="28" spans="1:32" ht="14" x14ac:dyDescent="0.25">
      <c r="A28" s="2070"/>
      <c r="B28" s="2070"/>
      <c r="C28" s="2070"/>
      <c r="D28" s="1772"/>
      <c r="E28" s="2075"/>
      <c r="F28" s="2075"/>
      <c r="G28" s="2075"/>
      <c r="H28" s="2075"/>
      <c r="I28" s="2075"/>
      <c r="J28" s="2075"/>
      <c r="K28" s="2075"/>
      <c r="L28" s="2075"/>
      <c r="M28" s="2075"/>
      <c r="N28" s="2075"/>
      <c r="O28" s="2075"/>
      <c r="P28" s="2075"/>
      <c r="Q28" s="2075"/>
      <c r="R28" s="2075"/>
      <c r="S28" s="2075"/>
      <c r="T28" s="2075"/>
      <c r="U28" s="2075"/>
      <c r="V28" s="2075"/>
      <c r="W28" s="2075"/>
      <c r="X28" s="2075"/>
      <c r="Y28" s="2075"/>
    </row>
    <row r="29" spans="1:32" ht="14" x14ac:dyDescent="0.25">
      <c r="A29" s="2070"/>
      <c r="B29" s="2070"/>
      <c r="C29" s="2070"/>
      <c r="D29" s="1772"/>
      <c r="E29" s="2075"/>
      <c r="F29" s="2075"/>
      <c r="G29" s="2075"/>
      <c r="H29" s="2075"/>
      <c r="I29" s="2075"/>
      <c r="J29" s="2075"/>
      <c r="K29" s="2075"/>
      <c r="L29" s="2075"/>
      <c r="M29" s="2075"/>
      <c r="N29" s="2075"/>
      <c r="O29" s="2075"/>
      <c r="P29" s="2075"/>
      <c r="Q29" s="2075"/>
      <c r="R29" s="2075"/>
      <c r="S29" s="2075"/>
      <c r="T29" s="2075"/>
      <c r="U29" s="2075"/>
      <c r="V29" s="2075"/>
      <c r="W29" s="2075"/>
      <c r="X29" s="2075"/>
      <c r="Y29" s="2075"/>
    </row>
    <row r="30" spans="1:32" ht="14" x14ac:dyDescent="0.25">
      <c r="A30" s="2070"/>
      <c r="B30" s="2070"/>
      <c r="C30" s="2070"/>
      <c r="D30" s="1772"/>
      <c r="E30" s="2075"/>
      <c r="F30" s="2075"/>
      <c r="G30" s="2075"/>
      <c r="H30" s="2075"/>
      <c r="I30" s="2075"/>
      <c r="J30" s="2075"/>
      <c r="K30" s="2075"/>
      <c r="L30" s="2075"/>
      <c r="M30" s="2075"/>
      <c r="N30" s="2075"/>
      <c r="O30" s="2075"/>
      <c r="P30" s="2075"/>
      <c r="Q30" s="2075"/>
      <c r="R30" s="2075"/>
      <c r="S30" s="2075"/>
      <c r="T30" s="2075"/>
      <c r="U30" s="2075"/>
      <c r="V30" s="2075"/>
      <c r="W30" s="2075"/>
      <c r="X30" s="2075"/>
      <c r="Y30" s="2075"/>
    </row>
    <row r="31" spans="1:32" ht="14" x14ac:dyDescent="0.25">
      <c r="A31" s="2070"/>
      <c r="B31" s="2070"/>
      <c r="C31" s="2070"/>
      <c r="D31" s="1772"/>
      <c r="E31" s="2075"/>
      <c r="F31" s="2075"/>
      <c r="G31" s="2075"/>
      <c r="H31" s="2075"/>
      <c r="I31" s="2075"/>
      <c r="J31" s="2075"/>
      <c r="K31" s="2075"/>
      <c r="L31" s="2075"/>
      <c r="M31" s="2075"/>
      <c r="N31" s="2075"/>
      <c r="O31" s="2075"/>
      <c r="P31" s="2075"/>
      <c r="Q31" s="2075"/>
      <c r="R31" s="2075"/>
      <c r="S31" s="2075"/>
      <c r="T31" s="2075"/>
      <c r="U31" s="2075"/>
      <c r="V31" s="2075"/>
      <c r="W31" s="2075"/>
      <c r="X31" s="2075"/>
      <c r="Y31" s="2075"/>
    </row>
    <row r="32" spans="1:32" ht="14" x14ac:dyDescent="0.25">
      <c r="A32" s="2070"/>
      <c r="B32" s="2070"/>
      <c r="C32" s="2070"/>
      <c r="D32" s="1772"/>
      <c r="E32" s="2075"/>
      <c r="F32" s="2075"/>
      <c r="G32" s="2075"/>
      <c r="H32" s="2075"/>
      <c r="I32" s="2075"/>
      <c r="J32" s="2075"/>
      <c r="K32" s="2075"/>
      <c r="L32" s="2075"/>
      <c r="M32" s="2075"/>
      <c r="N32" s="2075"/>
      <c r="O32" s="2075"/>
      <c r="P32" s="2075"/>
      <c r="Q32" s="2075"/>
      <c r="R32" s="2075"/>
      <c r="S32" s="2075"/>
      <c r="T32" s="2075"/>
      <c r="U32" s="2075"/>
      <c r="V32" s="2075"/>
      <c r="W32" s="2075"/>
      <c r="X32" s="2075"/>
      <c r="Y32" s="2075"/>
    </row>
    <row r="33" spans="1:27" ht="14" x14ac:dyDescent="0.25">
      <c r="A33" s="2070"/>
      <c r="B33" s="2070"/>
      <c r="C33" s="2070"/>
      <c r="D33" s="1772"/>
      <c r="E33" s="2075"/>
      <c r="F33" s="2075"/>
      <c r="G33" s="2075"/>
      <c r="H33" s="2075"/>
      <c r="I33" s="2075"/>
      <c r="J33" s="2075"/>
      <c r="K33" s="2075"/>
      <c r="L33" s="2075"/>
      <c r="M33" s="2075"/>
      <c r="N33" s="2075"/>
      <c r="O33" s="2075"/>
      <c r="P33" s="2075"/>
      <c r="Q33" s="2075"/>
      <c r="R33" s="2075"/>
      <c r="S33" s="2075"/>
      <c r="T33" s="2075"/>
      <c r="U33" s="2075"/>
      <c r="V33" s="2075"/>
      <c r="W33" s="2075"/>
      <c r="X33" s="2075"/>
      <c r="Y33" s="2075"/>
    </row>
    <row r="34" spans="1:27" ht="14" x14ac:dyDescent="0.25">
      <c r="A34" s="2070"/>
      <c r="B34" s="2070"/>
      <c r="C34" s="2070"/>
      <c r="E34" s="2075"/>
      <c r="F34" s="2075"/>
      <c r="G34" s="2075"/>
      <c r="H34" s="2075"/>
      <c r="I34" s="2075"/>
      <c r="J34" s="2075"/>
      <c r="K34" s="2075"/>
      <c r="L34" s="2075"/>
      <c r="M34" s="2075"/>
      <c r="N34" s="2075"/>
      <c r="O34" s="2075"/>
      <c r="P34" s="2075"/>
      <c r="Q34" s="2075"/>
      <c r="R34" s="2075"/>
      <c r="S34" s="2075"/>
      <c r="T34" s="2075"/>
      <c r="U34" s="2075"/>
      <c r="V34" s="2075"/>
      <c r="W34" s="2075"/>
      <c r="X34" s="2075"/>
      <c r="Y34" s="2075"/>
    </row>
    <row r="35" spans="1:27" ht="14" x14ac:dyDescent="0.25">
      <c r="A35" s="2070"/>
      <c r="B35" s="2070"/>
      <c r="C35" s="2070"/>
      <c r="D35" s="1772"/>
      <c r="E35" s="2075"/>
      <c r="F35" s="2075"/>
      <c r="G35" s="2075"/>
      <c r="H35" s="2075"/>
      <c r="I35" s="2075"/>
      <c r="J35" s="2075"/>
      <c r="K35" s="2075"/>
      <c r="L35" s="2075"/>
      <c r="M35" s="2075"/>
      <c r="N35" s="2075"/>
      <c r="O35" s="2075"/>
      <c r="P35" s="2075"/>
      <c r="Q35" s="2075"/>
      <c r="R35" s="2075"/>
      <c r="S35" s="2075"/>
      <c r="T35" s="2075"/>
      <c r="U35" s="2075"/>
      <c r="V35" s="2075"/>
      <c r="W35" s="2075"/>
      <c r="X35" s="2075"/>
      <c r="Y35" s="2075"/>
    </row>
    <row r="36" spans="1:27" ht="14" x14ac:dyDescent="0.25">
      <c r="A36" s="2070"/>
      <c r="B36" s="2070"/>
      <c r="C36" s="2070"/>
      <c r="D36" s="1772"/>
      <c r="E36" s="2075"/>
      <c r="F36" s="2075"/>
      <c r="G36" s="2075"/>
      <c r="H36" s="2075"/>
      <c r="I36" s="2075"/>
      <c r="J36" s="2075"/>
      <c r="K36" s="2075"/>
      <c r="L36" s="2075"/>
      <c r="M36" s="2075"/>
      <c r="N36" s="2075"/>
      <c r="O36" s="2075"/>
      <c r="P36" s="2075"/>
      <c r="Q36" s="2075"/>
      <c r="R36" s="2075"/>
      <c r="S36" s="2075"/>
      <c r="T36" s="2075"/>
      <c r="U36" s="2075"/>
      <c r="V36" s="2075"/>
      <c r="W36" s="2075"/>
      <c r="X36" s="2075"/>
      <c r="Y36" s="2075"/>
    </row>
    <row r="37" spans="1:27" ht="14" x14ac:dyDescent="0.25">
      <c r="A37" s="2070"/>
      <c r="B37" s="2070"/>
      <c r="C37" s="2070"/>
      <c r="D37" s="1772"/>
      <c r="E37" s="2075"/>
      <c r="F37" s="2075"/>
      <c r="G37" s="2075"/>
      <c r="H37" s="2075"/>
      <c r="I37" s="2075"/>
      <c r="J37" s="2075"/>
      <c r="K37" s="2075"/>
      <c r="L37" s="2075"/>
      <c r="M37" s="2075"/>
      <c r="N37" s="2075"/>
      <c r="O37" s="2075"/>
      <c r="P37" s="2075"/>
      <c r="Q37" s="2075"/>
      <c r="R37" s="2075"/>
      <c r="S37" s="2075"/>
      <c r="T37" s="2075"/>
      <c r="U37" s="2075"/>
      <c r="V37" s="2075"/>
      <c r="W37" s="2075"/>
      <c r="X37" s="2075"/>
      <c r="Y37" s="2075"/>
    </row>
    <row r="38" spans="1:27" ht="14" x14ac:dyDescent="0.25">
      <c r="A38" s="2070"/>
      <c r="B38" s="2070"/>
      <c r="C38" s="2070"/>
      <c r="D38" s="1772"/>
      <c r="E38" s="2075"/>
      <c r="F38" s="2075"/>
      <c r="G38" s="2075"/>
      <c r="H38" s="2075"/>
      <c r="I38" s="2075"/>
      <c r="J38" s="2075"/>
      <c r="K38" s="2075"/>
      <c r="L38" s="2075"/>
      <c r="M38" s="2075"/>
      <c r="N38" s="2075"/>
      <c r="O38" s="2075"/>
      <c r="P38" s="2075"/>
      <c r="Q38" s="2075"/>
      <c r="R38" s="2075"/>
      <c r="S38" s="2075"/>
      <c r="T38" s="2075"/>
      <c r="U38" s="2075"/>
      <c r="V38" s="2075"/>
      <c r="W38" s="2075"/>
      <c r="X38" s="2075"/>
      <c r="Y38" s="2075"/>
    </row>
    <row r="39" spans="1:27" ht="14" x14ac:dyDescent="0.25">
      <c r="A39" s="2070"/>
      <c r="B39" s="2070"/>
      <c r="C39" s="2070"/>
      <c r="D39" s="1772"/>
      <c r="E39" s="2075"/>
      <c r="F39" s="2075"/>
      <c r="G39" s="2075"/>
      <c r="H39" s="2075"/>
      <c r="I39" s="2075"/>
      <c r="J39" s="2075"/>
      <c r="K39" s="2075"/>
      <c r="L39" s="2075"/>
      <c r="M39" s="2075"/>
      <c r="N39" s="2075"/>
      <c r="O39" s="2075"/>
      <c r="P39" s="2075"/>
      <c r="Q39" s="2075"/>
      <c r="R39" s="2075"/>
      <c r="S39" s="2075"/>
      <c r="T39" s="2075"/>
      <c r="U39" s="2075"/>
      <c r="V39" s="2075"/>
      <c r="W39" s="2075"/>
      <c r="X39" s="2075"/>
      <c r="Y39" s="2075"/>
    </row>
    <row r="40" spans="1:27" ht="14" x14ac:dyDescent="0.25">
      <c r="A40" s="2070"/>
      <c r="B40" s="2070"/>
      <c r="C40" s="2070"/>
      <c r="D40" s="1772"/>
      <c r="E40" s="2075"/>
      <c r="F40" s="2075"/>
      <c r="G40" s="2075"/>
      <c r="H40" s="2075"/>
      <c r="I40" s="2075"/>
      <c r="J40" s="2075"/>
      <c r="K40" s="2075"/>
      <c r="L40" s="2075"/>
      <c r="M40" s="2075"/>
      <c r="N40" s="2075"/>
      <c r="O40" s="2075"/>
      <c r="P40" s="2075"/>
      <c r="Q40" s="2075"/>
      <c r="R40" s="2075"/>
      <c r="S40" s="2075"/>
      <c r="T40" s="2075"/>
      <c r="U40" s="2075"/>
      <c r="V40" s="2075"/>
      <c r="W40" s="2075"/>
      <c r="X40" s="2075"/>
      <c r="Y40" s="2075"/>
    </row>
    <row r="41" spans="1:27" ht="14" x14ac:dyDescent="0.25">
      <c r="A41" s="2070"/>
      <c r="B41" s="2070"/>
      <c r="C41" s="2070"/>
      <c r="D41" s="1772"/>
      <c r="E41" s="2075"/>
      <c r="F41" s="2075"/>
      <c r="G41" s="2075"/>
      <c r="H41" s="2075"/>
      <c r="I41" s="2075"/>
      <c r="J41" s="2075"/>
      <c r="K41" s="2075"/>
      <c r="L41" s="2075"/>
      <c r="M41" s="2075"/>
      <c r="N41" s="2075"/>
      <c r="O41" s="2075"/>
      <c r="P41" s="2075"/>
      <c r="Q41" s="2075"/>
      <c r="R41" s="2075"/>
      <c r="S41" s="2075"/>
      <c r="T41" s="2075"/>
      <c r="U41" s="2075"/>
      <c r="V41" s="2075"/>
      <c r="W41" s="2075"/>
      <c r="X41" s="2075"/>
      <c r="Y41" s="2075"/>
    </row>
    <row r="42" spans="1:27" ht="14" x14ac:dyDescent="0.3">
      <c r="A42" s="2070"/>
      <c r="B42" s="2070"/>
      <c r="C42" s="2070"/>
      <c r="D42" s="1764"/>
      <c r="E42" s="1764"/>
      <c r="F42" s="1764"/>
      <c r="G42" s="1764"/>
      <c r="H42" s="1764"/>
      <c r="I42" s="1764"/>
      <c r="J42" s="1764"/>
      <c r="K42" s="1764"/>
      <c r="L42" s="1764"/>
      <c r="M42" s="1764"/>
      <c r="N42" s="1764"/>
      <c r="O42" s="1764"/>
      <c r="P42" s="1764"/>
      <c r="Q42" s="1764"/>
      <c r="R42" s="1764"/>
    </row>
    <row r="43" spans="1:27" ht="13" x14ac:dyDescent="0.25">
      <c r="A43" s="1255">
        <v>5</v>
      </c>
      <c r="B43" s="1255" t="s">
        <v>58</v>
      </c>
      <c r="C43" s="1255"/>
      <c r="D43" s="4814" t="s">
        <v>757</v>
      </c>
      <c r="E43" s="4815"/>
      <c r="F43" s="4815"/>
      <c r="G43" s="4815"/>
      <c r="H43" s="4815"/>
      <c r="I43" s="4815"/>
      <c r="J43" s="4815"/>
      <c r="K43" s="4815"/>
      <c r="L43" s="4815"/>
      <c r="M43" s="4815"/>
      <c r="N43" s="4815"/>
      <c r="O43" s="4815"/>
      <c r="P43" s="4815"/>
      <c r="Q43" s="4815"/>
      <c r="R43" s="4815"/>
      <c r="S43" s="4815"/>
      <c r="T43" s="4815"/>
      <c r="U43" s="4815"/>
      <c r="V43" s="4815"/>
      <c r="W43" s="4815"/>
      <c r="X43" s="4815"/>
      <c r="Y43" s="4815"/>
      <c r="Z43" s="4816"/>
      <c r="AA43" s="724"/>
    </row>
    <row r="44" spans="1:27" ht="15.75" customHeight="1" x14ac:dyDescent="0.25">
      <c r="A44" s="1306">
        <v>6</v>
      </c>
      <c r="B44" s="1306" t="s">
        <v>60</v>
      </c>
      <c r="C44" s="1306"/>
      <c r="D44" s="4817" t="s">
        <v>758</v>
      </c>
      <c r="E44" s="4818"/>
      <c r="F44" s="4818"/>
      <c r="G44" s="4818"/>
      <c r="H44" s="4818"/>
      <c r="I44" s="4818"/>
      <c r="J44" s="4818"/>
      <c r="K44" s="4818"/>
      <c r="L44" s="4818"/>
      <c r="M44" s="4818"/>
      <c r="N44" s="4818"/>
      <c r="O44" s="4818"/>
      <c r="P44" s="4818"/>
      <c r="Q44" s="4818"/>
      <c r="R44" s="4818"/>
      <c r="S44" s="4818"/>
      <c r="T44" s="4818"/>
      <c r="U44" s="4818"/>
      <c r="V44" s="4818"/>
      <c r="W44" s="4818"/>
      <c r="X44" s="4818"/>
      <c r="Y44" s="4818"/>
      <c r="Z44" s="4819"/>
      <c r="AA44" s="2076"/>
    </row>
    <row r="45" spans="1:27" ht="12.75" customHeight="1" x14ac:dyDescent="0.25">
      <c r="A45" s="1255">
        <v>7</v>
      </c>
      <c r="B45" s="1255" t="s">
        <v>62</v>
      </c>
      <c r="C45" s="1255"/>
      <c r="D45" s="4811" t="s">
        <v>759</v>
      </c>
      <c r="E45" s="4812"/>
      <c r="F45" s="4812"/>
      <c r="G45" s="4812"/>
      <c r="H45" s="4812"/>
      <c r="I45" s="4812"/>
      <c r="J45" s="4812"/>
      <c r="K45" s="4812"/>
      <c r="L45" s="4812"/>
      <c r="M45" s="4812"/>
      <c r="N45" s="4812"/>
      <c r="O45" s="4812"/>
      <c r="P45" s="4812"/>
      <c r="Q45" s="4812"/>
      <c r="R45" s="4812"/>
      <c r="S45" s="4812"/>
      <c r="T45" s="4812"/>
      <c r="U45" s="4812"/>
      <c r="V45" s="4812"/>
      <c r="W45" s="4812"/>
      <c r="X45" s="4812"/>
      <c r="Y45" s="4812"/>
      <c r="Z45" s="4813"/>
      <c r="AA45" s="724"/>
    </row>
  </sheetData>
  <mergeCells count="6">
    <mergeCell ref="D45:Z45"/>
    <mergeCell ref="D2:M2"/>
    <mergeCell ref="D3:Z3"/>
    <mergeCell ref="D4:Z4"/>
    <mergeCell ref="D43:Z43"/>
    <mergeCell ref="D44:Z44"/>
  </mergeCells>
  <pageMargins left="0.74803149606299213" right="0.74803149606299213" top="0.98425196850393704" bottom="0.98425196850393704" header="0.51181102362204722" footer="0.51181102362204722"/>
  <pageSetup paperSize="9" scale="4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AB58"/>
  <sheetViews>
    <sheetView showGridLines="0" view="pageBreakPreview" zoomScaleNormal="100" zoomScaleSheetLayoutView="100" workbookViewId="0">
      <selection activeCell="X17" sqref="X17"/>
    </sheetView>
  </sheetViews>
  <sheetFormatPr defaultColWidth="9.1796875" defaultRowHeight="14.5" x14ac:dyDescent="0.35"/>
  <cols>
    <col min="1" max="1" width="3.7265625" style="819" customWidth="1"/>
    <col min="2" max="2" width="14.453125" style="2077" customWidth="1"/>
    <col min="3" max="3" width="3.7265625" style="2077" customWidth="1"/>
    <col min="4" max="4" width="20.54296875" style="140" customWidth="1"/>
    <col min="5" max="19" width="9.26953125" style="140" customWidth="1"/>
    <col min="20" max="21" width="6.81640625" style="140" customWidth="1"/>
    <col min="22" max="23" width="5.54296875" style="140" customWidth="1"/>
    <col min="24" max="261" width="9.1796875" style="140"/>
    <col min="262" max="262" width="3.7265625" style="140" customWidth="1"/>
    <col min="263" max="263" width="14.453125" style="140" customWidth="1"/>
    <col min="264" max="264" width="3.7265625" style="140" customWidth="1"/>
    <col min="265" max="265" width="20.54296875" style="140" customWidth="1"/>
    <col min="266" max="276" width="9.26953125" style="140" customWidth="1"/>
    <col min="277" max="279" width="5.54296875" style="140" customWidth="1"/>
    <col min="280" max="517" width="9.1796875" style="140"/>
    <col min="518" max="518" width="3.7265625" style="140" customWidth="1"/>
    <col min="519" max="519" width="14.453125" style="140" customWidth="1"/>
    <col min="520" max="520" width="3.7265625" style="140" customWidth="1"/>
    <col min="521" max="521" width="20.54296875" style="140" customWidth="1"/>
    <col min="522" max="532" width="9.26953125" style="140" customWidth="1"/>
    <col min="533" max="535" width="5.54296875" style="140" customWidth="1"/>
    <col min="536" max="773" width="9.1796875" style="140"/>
    <col min="774" max="774" width="3.7265625" style="140" customWidth="1"/>
    <col min="775" max="775" width="14.453125" style="140" customWidth="1"/>
    <col min="776" max="776" width="3.7265625" style="140" customWidth="1"/>
    <col min="777" max="777" width="20.54296875" style="140" customWidth="1"/>
    <col min="778" max="788" width="9.26953125" style="140" customWidth="1"/>
    <col min="789" max="791" width="5.54296875" style="140" customWidth="1"/>
    <col min="792" max="1029" width="9.1796875" style="140"/>
    <col min="1030" max="1030" width="3.7265625" style="140" customWidth="1"/>
    <col min="1031" max="1031" width="14.453125" style="140" customWidth="1"/>
    <col min="1032" max="1032" width="3.7265625" style="140" customWidth="1"/>
    <col min="1033" max="1033" width="20.54296875" style="140" customWidth="1"/>
    <col min="1034" max="1044" width="9.26953125" style="140" customWidth="1"/>
    <col min="1045" max="1047" width="5.54296875" style="140" customWidth="1"/>
    <col min="1048" max="1285" width="9.1796875" style="140"/>
    <col min="1286" max="1286" width="3.7265625" style="140" customWidth="1"/>
    <col min="1287" max="1287" width="14.453125" style="140" customWidth="1"/>
    <col min="1288" max="1288" width="3.7265625" style="140" customWidth="1"/>
    <col min="1289" max="1289" width="20.54296875" style="140" customWidth="1"/>
    <col min="1290" max="1300" width="9.26953125" style="140" customWidth="1"/>
    <col min="1301" max="1303" width="5.54296875" style="140" customWidth="1"/>
    <col min="1304" max="1541" width="9.1796875" style="140"/>
    <col min="1542" max="1542" width="3.7265625" style="140" customWidth="1"/>
    <col min="1543" max="1543" width="14.453125" style="140" customWidth="1"/>
    <col min="1544" max="1544" width="3.7265625" style="140" customWidth="1"/>
    <col min="1545" max="1545" width="20.54296875" style="140" customWidth="1"/>
    <col min="1546" max="1556" width="9.26953125" style="140" customWidth="1"/>
    <col min="1557" max="1559" width="5.54296875" style="140" customWidth="1"/>
    <col min="1560" max="1797" width="9.1796875" style="140"/>
    <col min="1798" max="1798" width="3.7265625" style="140" customWidth="1"/>
    <col min="1799" max="1799" width="14.453125" style="140" customWidth="1"/>
    <col min="1800" max="1800" width="3.7265625" style="140" customWidth="1"/>
    <col min="1801" max="1801" width="20.54296875" style="140" customWidth="1"/>
    <col min="1802" max="1812" width="9.26953125" style="140" customWidth="1"/>
    <col min="1813" max="1815" width="5.54296875" style="140" customWidth="1"/>
    <col min="1816" max="2053" width="9.1796875" style="140"/>
    <col min="2054" max="2054" width="3.7265625" style="140" customWidth="1"/>
    <col min="2055" max="2055" width="14.453125" style="140" customWidth="1"/>
    <col min="2056" max="2056" width="3.7265625" style="140" customWidth="1"/>
    <col min="2057" max="2057" width="20.54296875" style="140" customWidth="1"/>
    <col min="2058" max="2068" width="9.26953125" style="140" customWidth="1"/>
    <col min="2069" max="2071" width="5.54296875" style="140" customWidth="1"/>
    <col min="2072" max="2309" width="9.1796875" style="140"/>
    <col min="2310" max="2310" width="3.7265625" style="140" customWidth="1"/>
    <col min="2311" max="2311" width="14.453125" style="140" customWidth="1"/>
    <col min="2312" max="2312" width="3.7265625" style="140" customWidth="1"/>
    <col min="2313" max="2313" width="20.54296875" style="140" customWidth="1"/>
    <col min="2314" max="2324" width="9.26953125" style="140" customWidth="1"/>
    <col min="2325" max="2327" width="5.54296875" style="140" customWidth="1"/>
    <col min="2328" max="2565" width="9.1796875" style="140"/>
    <col min="2566" max="2566" width="3.7265625" style="140" customWidth="1"/>
    <col min="2567" max="2567" width="14.453125" style="140" customWidth="1"/>
    <col min="2568" max="2568" width="3.7265625" style="140" customWidth="1"/>
    <col min="2569" max="2569" width="20.54296875" style="140" customWidth="1"/>
    <col min="2570" max="2580" width="9.26953125" style="140" customWidth="1"/>
    <col min="2581" max="2583" width="5.54296875" style="140" customWidth="1"/>
    <col min="2584" max="2821" width="9.1796875" style="140"/>
    <col min="2822" max="2822" width="3.7265625" style="140" customWidth="1"/>
    <col min="2823" max="2823" width="14.453125" style="140" customWidth="1"/>
    <col min="2824" max="2824" width="3.7265625" style="140" customWidth="1"/>
    <col min="2825" max="2825" width="20.54296875" style="140" customWidth="1"/>
    <col min="2826" max="2836" width="9.26953125" style="140" customWidth="1"/>
    <col min="2837" max="2839" width="5.54296875" style="140" customWidth="1"/>
    <col min="2840" max="3077" width="9.1796875" style="140"/>
    <col min="3078" max="3078" width="3.7265625" style="140" customWidth="1"/>
    <col min="3079" max="3079" width="14.453125" style="140" customWidth="1"/>
    <col min="3080" max="3080" width="3.7265625" style="140" customWidth="1"/>
    <col min="3081" max="3081" width="20.54296875" style="140" customWidth="1"/>
    <col min="3082" max="3092" width="9.26953125" style="140" customWidth="1"/>
    <col min="3093" max="3095" width="5.54296875" style="140" customWidth="1"/>
    <col min="3096" max="3333" width="9.1796875" style="140"/>
    <col min="3334" max="3334" width="3.7265625" style="140" customWidth="1"/>
    <col min="3335" max="3335" width="14.453125" style="140" customWidth="1"/>
    <col min="3336" max="3336" width="3.7265625" style="140" customWidth="1"/>
    <col min="3337" max="3337" width="20.54296875" style="140" customWidth="1"/>
    <col min="3338" max="3348" width="9.26953125" style="140" customWidth="1"/>
    <col min="3349" max="3351" width="5.54296875" style="140" customWidth="1"/>
    <col min="3352" max="3589" width="9.1796875" style="140"/>
    <col min="3590" max="3590" width="3.7265625" style="140" customWidth="1"/>
    <col min="3591" max="3591" width="14.453125" style="140" customWidth="1"/>
    <col min="3592" max="3592" width="3.7265625" style="140" customWidth="1"/>
    <col min="3593" max="3593" width="20.54296875" style="140" customWidth="1"/>
    <col min="3594" max="3604" width="9.26953125" style="140" customWidth="1"/>
    <col min="3605" max="3607" width="5.54296875" style="140" customWidth="1"/>
    <col min="3608" max="3845" width="9.1796875" style="140"/>
    <col min="3846" max="3846" width="3.7265625" style="140" customWidth="1"/>
    <col min="3847" max="3847" width="14.453125" style="140" customWidth="1"/>
    <col min="3848" max="3848" width="3.7265625" style="140" customWidth="1"/>
    <col min="3849" max="3849" width="20.54296875" style="140" customWidth="1"/>
    <col min="3850" max="3860" width="9.26953125" style="140" customWidth="1"/>
    <col min="3861" max="3863" width="5.54296875" style="140" customWidth="1"/>
    <col min="3864" max="4101" width="9.1796875" style="140"/>
    <col min="4102" max="4102" width="3.7265625" style="140" customWidth="1"/>
    <col min="4103" max="4103" width="14.453125" style="140" customWidth="1"/>
    <col min="4104" max="4104" width="3.7265625" style="140" customWidth="1"/>
    <col min="4105" max="4105" width="20.54296875" style="140" customWidth="1"/>
    <col min="4106" max="4116" width="9.26953125" style="140" customWidth="1"/>
    <col min="4117" max="4119" width="5.54296875" style="140" customWidth="1"/>
    <col min="4120" max="4357" width="9.1796875" style="140"/>
    <col min="4358" max="4358" width="3.7265625" style="140" customWidth="1"/>
    <col min="4359" max="4359" width="14.453125" style="140" customWidth="1"/>
    <col min="4360" max="4360" width="3.7265625" style="140" customWidth="1"/>
    <col min="4361" max="4361" width="20.54296875" style="140" customWidth="1"/>
    <col min="4362" max="4372" width="9.26953125" style="140" customWidth="1"/>
    <col min="4373" max="4375" width="5.54296875" style="140" customWidth="1"/>
    <col min="4376" max="4613" width="9.1796875" style="140"/>
    <col min="4614" max="4614" width="3.7265625" style="140" customWidth="1"/>
    <col min="4615" max="4615" width="14.453125" style="140" customWidth="1"/>
    <col min="4616" max="4616" width="3.7265625" style="140" customWidth="1"/>
    <col min="4617" max="4617" width="20.54296875" style="140" customWidth="1"/>
    <col min="4618" max="4628" width="9.26953125" style="140" customWidth="1"/>
    <col min="4629" max="4631" width="5.54296875" style="140" customWidth="1"/>
    <col min="4632" max="4869" width="9.1796875" style="140"/>
    <col min="4870" max="4870" width="3.7265625" style="140" customWidth="1"/>
    <col min="4871" max="4871" width="14.453125" style="140" customWidth="1"/>
    <col min="4872" max="4872" width="3.7265625" style="140" customWidth="1"/>
    <col min="4873" max="4873" width="20.54296875" style="140" customWidth="1"/>
    <col min="4874" max="4884" width="9.26953125" style="140" customWidth="1"/>
    <col min="4885" max="4887" width="5.54296875" style="140" customWidth="1"/>
    <col min="4888" max="5125" width="9.1796875" style="140"/>
    <col min="5126" max="5126" width="3.7265625" style="140" customWidth="1"/>
    <col min="5127" max="5127" width="14.453125" style="140" customWidth="1"/>
    <col min="5128" max="5128" width="3.7265625" style="140" customWidth="1"/>
    <col min="5129" max="5129" width="20.54296875" style="140" customWidth="1"/>
    <col min="5130" max="5140" width="9.26953125" style="140" customWidth="1"/>
    <col min="5141" max="5143" width="5.54296875" style="140" customWidth="1"/>
    <col min="5144" max="5381" width="9.1796875" style="140"/>
    <col min="5382" max="5382" width="3.7265625" style="140" customWidth="1"/>
    <col min="5383" max="5383" width="14.453125" style="140" customWidth="1"/>
    <col min="5384" max="5384" width="3.7265625" style="140" customWidth="1"/>
    <col min="5385" max="5385" width="20.54296875" style="140" customWidth="1"/>
    <col min="5386" max="5396" width="9.26953125" style="140" customWidth="1"/>
    <col min="5397" max="5399" width="5.54296875" style="140" customWidth="1"/>
    <col min="5400" max="5637" width="9.1796875" style="140"/>
    <col min="5638" max="5638" width="3.7265625" style="140" customWidth="1"/>
    <col min="5639" max="5639" width="14.453125" style="140" customWidth="1"/>
    <col min="5640" max="5640" width="3.7265625" style="140" customWidth="1"/>
    <col min="5641" max="5641" width="20.54296875" style="140" customWidth="1"/>
    <col min="5642" max="5652" width="9.26953125" style="140" customWidth="1"/>
    <col min="5653" max="5655" width="5.54296875" style="140" customWidth="1"/>
    <col min="5656" max="5893" width="9.1796875" style="140"/>
    <col min="5894" max="5894" width="3.7265625" style="140" customWidth="1"/>
    <col min="5895" max="5895" width="14.453125" style="140" customWidth="1"/>
    <col min="5896" max="5896" width="3.7265625" style="140" customWidth="1"/>
    <col min="5897" max="5897" width="20.54296875" style="140" customWidth="1"/>
    <col min="5898" max="5908" width="9.26953125" style="140" customWidth="1"/>
    <col min="5909" max="5911" width="5.54296875" style="140" customWidth="1"/>
    <col min="5912" max="6149" width="9.1796875" style="140"/>
    <col min="6150" max="6150" width="3.7265625" style="140" customWidth="1"/>
    <col min="6151" max="6151" width="14.453125" style="140" customWidth="1"/>
    <col min="6152" max="6152" width="3.7265625" style="140" customWidth="1"/>
    <col min="6153" max="6153" width="20.54296875" style="140" customWidth="1"/>
    <col min="6154" max="6164" width="9.26953125" style="140" customWidth="1"/>
    <col min="6165" max="6167" width="5.54296875" style="140" customWidth="1"/>
    <col min="6168" max="6405" width="9.1796875" style="140"/>
    <col min="6406" max="6406" width="3.7265625" style="140" customWidth="1"/>
    <col min="6407" max="6407" width="14.453125" style="140" customWidth="1"/>
    <col min="6408" max="6408" width="3.7265625" style="140" customWidth="1"/>
    <col min="6409" max="6409" width="20.54296875" style="140" customWidth="1"/>
    <col min="6410" max="6420" width="9.26953125" style="140" customWidth="1"/>
    <col min="6421" max="6423" width="5.54296875" style="140" customWidth="1"/>
    <col min="6424" max="6661" width="9.1796875" style="140"/>
    <col min="6662" max="6662" width="3.7265625" style="140" customWidth="1"/>
    <col min="6663" max="6663" width="14.453125" style="140" customWidth="1"/>
    <col min="6664" max="6664" width="3.7265625" style="140" customWidth="1"/>
    <col min="6665" max="6665" width="20.54296875" style="140" customWidth="1"/>
    <col min="6666" max="6676" width="9.26953125" style="140" customWidth="1"/>
    <col min="6677" max="6679" width="5.54296875" style="140" customWidth="1"/>
    <col min="6680" max="6917" width="9.1796875" style="140"/>
    <col min="6918" max="6918" width="3.7265625" style="140" customWidth="1"/>
    <col min="6919" max="6919" width="14.453125" style="140" customWidth="1"/>
    <col min="6920" max="6920" width="3.7265625" style="140" customWidth="1"/>
    <col min="6921" max="6921" width="20.54296875" style="140" customWidth="1"/>
    <col min="6922" max="6932" width="9.26953125" style="140" customWidth="1"/>
    <col min="6933" max="6935" width="5.54296875" style="140" customWidth="1"/>
    <col min="6936" max="7173" width="9.1796875" style="140"/>
    <col min="7174" max="7174" width="3.7265625" style="140" customWidth="1"/>
    <col min="7175" max="7175" width="14.453125" style="140" customWidth="1"/>
    <col min="7176" max="7176" width="3.7265625" style="140" customWidth="1"/>
    <col min="7177" max="7177" width="20.54296875" style="140" customWidth="1"/>
    <col min="7178" max="7188" width="9.26953125" style="140" customWidth="1"/>
    <col min="7189" max="7191" width="5.54296875" style="140" customWidth="1"/>
    <col min="7192" max="7429" width="9.1796875" style="140"/>
    <col min="7430" max="7430" width="3.7265625" style="140" customWidth="1"/>
    <col min="7431" max="7431" width="14.453125" style="140" customWidth="1"/>
    <col min="7432" max="7432" width="3.7265625" style="140" customWidth="1"/>
    <col min="7433" max="7433" width="20.54296875" style="140" customWidth="1"/>
    <col min="7434" max="7444" width="9.26953125" style="140" customWidth="1"/>
    <col min="7445" max="7447" width="5.54296875" style="140" customWidth="1"/>
    <col min="7448" max="7685" width="9.1796875" style="140"/>
    <col min="7686" max="7686" width="3.7265625" style="140" customWidth="1"/>
    <col min="7687" max="7687" width="14.453125" style="140" customWidth="1"/>
    <col min="7688" max="7688" width="3.7265625" style="140" customWidth="1"/>
    <col min="7689" max="7689" width="20.54296875" style="140" customWidth="1"/>
    <col min="7690" max="7700" width="9.26953125" style="140" customWidth="1"/>
    <col min="7701" max="7703" width="5.54296875" style="140" customWidth="1"/>
    <col min="7704" max="7941" width="9.1796875" style="140"/>
    <col min="7942" max="7942" width="3.7265625" style="140" customWidth="1"/>
    <col min="7943" max="7943" width="14.453125" style="140" customWidth="1"/>
    <col min="7944" max="7944" width="3.7265625" style="140" customWidth="1"/>
    <col min="7945" max="7945" width="20.54296875" style="140" customWidth="1"/>
    <col min="7946" max="7956" width="9.26953125" style="140" customWidth="1"/>
    <col min="7957" max="7959" width="5.54296875" style="140" customWidth="1"/>
    <col min="7960" max="8197" width="9.1796875" style="140"/>
    <col min="8198" max="8198" width="3.7265625" style="140" customWidth="1"/>
    <col min="8199" max="8199" width="14.453125" style="140" customWidth="1"/>
    <col min="8200" max="8200" width="3.7265625" style="140" customWidth="1"/>
    <col min="8201" max="8201" width="20.54296875" style="140" customWidth="1"/>
    <col min="8202" max="8212" width="9.26953125" style="140" customWidth="1"/>
    <col min="8213" max="8215" width="5.54296875" style="140" customWidth="1"/>
    <col min="8216" max="8453" width="9.1796875" style="140"/>
    <col min="8454" max="8454" width="3.7265625" style="140" customWidth="1"/>
    <col min="8455" max="8455" width="14.453125" style="140" customWidth="1"/>
    <col min="8456" max="8456" width="3.7265625" style="140" customWidth="1"/>
    <col min="8457" max="8457" width="20.54296875" style="140" customWidth="1"/>
    <col min="8458" max="8468" width="9.26953125" style="140" customWidth="1"/>
    <col min="8469" max="8471" width="5.54296875" style="140" customWidth="1"/>
    <col min="8472" max="8709" width="9.1796875" style="140"/>
    <col min="8710" max="8710" width="3.7265625" style="140" customWidth="1"/>
    <col min="8711" max="8711" width="14.453125" style="140" customWidth="1"/>
    <col min="8712" max="8712" width="3.7265625" style="140" customWidth="1"/>
    <col min="8713" max="8713" width="20.54296875" style="140" customWidth="1"/>
    <col min="8714" max="8724" width="9.26953125" style="140" customWidth="1"/>
    <col min="8725" max="8727" width="5.54296875" style="140" customWidth="1"/>
    <col min="8728" max="8965" width="9.1796875" style="140"/>
    <col min="8966" max="8966" width="3.7265625" style="140" customWidth="1"/>
    <col min="8967" max="8967" width="14.453125" style="140" customWidth="1"/>
    <col min="8968" max="8968" width="3.7265625" style="140" customWidth="1"/>
    <col min="8969" max="8969" width="20.54296875" style="140" customWidth="1"/>
    <col min="8970" max="8980" width="9.26953125" style="140" customWidth="1"/>
    <col min="8981" max="8983" width="5.54296875" style="140" customWidth="1"/>
    <col min="8984" max="9221" width="9.1796875" style="140"/>
    <col min="9222" max="9222" width="3.7265625" style="140" customWidth="1"/>
    <col min="9223" max="9223" width="14.453125" style="140" customWidth="1"/>
    <col min="9224" max="9224" width="3.7265625" style="140" customWidth="1"/>
    <col min="9225" max="9225" width="20.54296875" style="140" customWidth="1"/>
    <col min="9226" max="9236" width="9.26953125" style="140" customWidth="1"/>
    <col min="9237" max="9239" width="5.54296875" style="140" customWidth="1"/>
    <col min="9240" max="9477" width="9.1796875" style="140"/>
    <col min="9478" max="9478" width="3.7265625" style="140" customWidth="1"/>
    <col min="9479" max="9479" width="14.453125" style="140" customWidth="1"/>
    <col min="9480" max="9480" width="3.7265625" style="140" customWidth="1"/>
    <col min="9481" max="9481" width="20.54296875" style="140" customWidth="1"/>
    <col min="9482" max="9492" width="9.26953125" style="140" customWidth="1"/>
    <col min="9493" max="9495" width="5.54296875" style="140" customWidth="1"/>
    <col min="9496" max="9733" width="9.1796875" style="140"/>
    <col min="9734" max="9734" width="3.7265625" style="140" customWidth="1"/>
    <col min="9735" max="9735" width="14.453125" style="140" customWidth="1"/>
    <col min="9736" max="9736" width="3.7265625" style="140" customWidth="1"/>
    <col min="9737" max="9737" width="20.54296875" style="140" customWidth="1"/>
    <col min="9738" max="9748" width="9.26953125" style="140" customWidth="1"/>
    <col min="9749" max="9751" width="5.54296875" style="140" customWidth="1"/>
    <col min="9752" max="9989" width="9.1796875" style="140"/>
    <col min="9990" max="9990" width="3.7265625" style="140" customWidth="1"/>
    <col min="9991" max="9991" width="14.453125" style="140" customWidth="1"/>
    <col min="9992" max="9992" width="3.7265625" style="140" customWidth="1"/>
    <col min="9993" max="9993" width="20.54296875" style="140" customWidth="1"/>
    <col min="9994" max="10004" width="9.26953125" style="140" customWidth="1"/>
    <col min="10005" max="10007" width="5.54296875" style="140" customWidth="1"/>
    <col min="10008" max="10245" width="9.1796875" style="140"/>
    <col min="10246" max="10246" width="3.7265625" style="140" customWidth="1"/>
    <col min="10247" max="10247" width="14.453125" style="140" customWidth="1"/>
    <col min="10248" max="10248" width="3.7265625" style="140" customWidth="1"/>
    <col min="10249" max="10249" width="20.54296875" style="140" customWidth="1"/>
    <col min="10250" max="10260" width="9.26953125" style="140" customWidth="1"/>
    <col min="10261" max="10263" width="5.54296875" style="140" customWidth="1"/>
    <col min="10264" max="10501" width="9.1796875" style="140"/>
    <col min="10502" max="10502" width="3.7265625" style="140" customWidth="1"/>
    <col min="10503" max="10503" width="14.453125" style="140" customWidth="1"/>
    <col min="10504" max="10504" width="3.7265625" style="140" customWidth="1"/>
    <col min="10505" max="10505" width="20.54296875" style="140" customWidth="1"/>
    <col min="10506" max="10516" width="9.26953125" style="140" customWidth="1"/>
    <col min="10517" max="10519" width="5.54296875" style="140" customWidth="1"/>
    <col min="10520" max="10757" width="9.1796875" style="140"/>
    <col min="10758" max="10758" width="3.7265625" style="140" customWidth="1"/>
    <col min="10759" max="10759" width="14.453125" style="140" customWidth="1"/>
    <col min="10760" max="10760" width="3.7265625" style="140" customWidth="1"/>
    <col min="10761" max="10761" width="20.54296875" style="140" customWidth="1"/>
    <col min="10762" max="10772" width="9.26953125" style="140" customWidth="1"/>
    <col min="10773" max="10775" width="5.54296875" style="140" customWidth="1"/>
    <col min="10776" max="11013" width="9.1796875" style="140"/>
    <col min="11014" max="11014" width="3.7265625" style="140" customWidth="1"/>
    <col min="11015" max="11015" width="14.453125" style="140" customWidth="1"/>
    <col min="11016" max="11016" width="3.7265625" style="140" customWidth="1"/>
    <col min="11017" max="11017" width="20.54296875" style="140" customWidth="1"/>
    <col min="11018" max="11028" width="9.26953125" style="140" customWidth="1"/>
    <col min="11029" max="11031" width="5.54296875" style="140" customWidth="1"/>
    <col min="11032" max="11269" width="9.1796875" style="140"/>
    <col min="11270" max="11270" width="3.7265625" style="140" customWidth="1"/>
    <col min="11271" max="11271" width="14.453125" style="140" customWidth="1"/>
    <col min="11272" max="11272" width="3.7265625" style="140" customWidth="1"/>
    <col min="11273" max="11273" width="20.54296875" style="140" customWidth="1"/>
    <col min="11274" max="11284" width="9.26953125" style="140" customWidth="1"/>
    <col min="11285" max="11287" width="5.54296875" style="140" customWidth="1"/>
    <col min="11288" max="11525" width="9.1796875" style="140"/>
    <col min="11526" max="11526" width="3.7265625" style="140" customWidth="1"/>
    <col min="11527" max="11527" width="14.453125" style="140" customWidth="1"/>
    <col min="11528" max="11528" width="3.7265625" style="140" customWidth="1"/>
    <col min="11529" max="11529" width="20.54296875" style="140" customWidth="1"/>
    <col min="11530" max="11540" width="9.26953125" style="140" customWidth="1"/>
    <col min="11541" max="11543" width="5.54296875" style="140" customWidth="1"/>
    <col min="11544" max="11781" width="9.1796875" style="140"/>
    <col min="11782" max="11782" width="3.7265625" style="140" customWidth="1"/>
    <col min="11783" max="11783" width="14.453125" style="140" customWidth="1"/>
    <col min="11784" max="11784" width="3.7265625" style="140" customWidth="1"/>
    <col min="11785" max="11785" width="20.54296875" style="140" customWidth="1"/>
    <col min="11786" max="11796" width="9.26953125" style="140" customWidth="1"/>
    <col min="11797" max="11799" width="5.54296875" style="140" customWidth="1"/>
    <col min="11800" max="12037" width="9.1796875" style="140"/>
    <col min="12038" max="12038" width="3.7265625" style="140" customWidth="1"/>
    <col min="12039" max="12039" width="14.453125" style="140" customWidth="1"/>
    <col min="12040" max="12040" width="3.7265625" style="140" customWidth="1"/>
    <col min="12041" max="12041" width="20.54296875" style="140" customWidth="1"/>
    <col min="12042" max="12052" width="9.26953125" style="140" customWidth="1"/>
    <col min="12053" max="12055" width="5.54296875" style="140" customWidth="1"/>
    <col min="12056" max="12293" width="9.1796875" style="140"/>
    <col min="12294" max="12294" width="3.7265625" style="140" customWidth="1"/>
    <col min="12295" max="12295" width="14.453125" style="140" customWidth="1"/>
    <col min="12296" max="12296" width="3.7265625" style="140" customWidth="1"/>
    <col min="12297" max="12297" width="20.54296875" style="140" customWidth="1"/>
    <col min="12298" max="12308" width="9.26953125" style="140" customWidth="1"/>
    <col min="12309" max="12311" width="5.54296875" style="140" customWidth="1"/>
    <col min="12312" max="12549" width="9.1796875" style="140"/>
    <col min="12550" max="12550" width="3.7265625" style="140" customWidth="1"/>
    <col min="12551" max="12551" width="14.453125" style="140" customWidth="1"/>
    <col min="12552" max="12552" width="3.7265625" style="140" customWidth="1"/>
    <col min="12553" max="12553" width="20.54296875" style="140" customWidth="1"/>
    <col min="12554" max="12564" width="9.26953125" style="140" customWidth="1"/>
    <col min="12565" max="12567" width="5.54296875" style="140" customWidth="1"/>
    <col min="12568" max="12805" width="9.1796875" style="140"/>
    <col min="12806" max="12806" width="3.7265625" style="140" customWidth="1"/>
    <col min="12807" max="12807" width="14.453125" style="140" customWidth="1"/>
    <col min="12808" max="12808" width="3.7265625" style="140" customWidth="1"/>
    <col min="12809" max="12809" width="20.54296875" style="140" customWidth="1"/>
    <col min="12810" max="12820" width="9.26953125" style="140" customWidth="1"/>
    <col min="12821" max="12823" width="5.54296875" style="140" customWidth="1"/>
    <col min="12824" max="13061" width="9.1796875" style="140"/>
    <col min="13062" max="13062" width="3.7265625" style="140" customWidth="1"/>
    <col min="13063" max="13063" width="14.453125" style="140" customWidth="1"/>
    <col min="13064" max="13064" width="3.7265625" style="140" customWidth="1"/>
    <col min="13065" max="13065" width="20.54296875" style="140" customWidth="1"/>
    <col min="13066" max="13076" width="9.26953125" style="140" customWidth="1"/>
    <col min="13077" max="13079" width="5.54296875" style="140" customWidth="1"/>
    <col min="13080" max="13317" width="9.1796875" style="140"/>
    <col min="13318" max="13318" width="3.7265625" style="140" customWidth="1"/>
    <col min="13319" max="13319" width="14.453125" style="140" customWidth="1"/>
    <col min="13320" max="13320" width="3.7265625" style="140" customWidth="1"/>
    <col min="13321" max="13321" width="20.54296875" style="140" customWidth="1"/>
    <col min="13322" max="13332" width="9.26953125" style="140" customWidth="1"/>
    <col min="13333" max="13335" width="5.54296875" style="140" customWidth="1"/>
    <col min="13336" max="13573" width="9.1796875" style="140"/>
    <col min="13574" max="13574" width="3.7265625" style="140" customWidth="1"/>
    <col min="13575" max="13575" width="14.453125" style="140" customWidth="1"/>
    <col min="13576" max="13576" width="3.7265625" style="140" customWidth="1"/>
    <col min="13577" max="13577" width="20.54296875" style="140" customWidth="1"/>
    <col min="13578" max="13588" width="9.26953125" style="140" customWidth="1"/>
    <col min="13589" max="13591" width="5.54296875" style="140" customWidth="1"/>
    <col min="13592" max="13829" width="9.1796875" style="140"/>
    <col min="13830" max="13830" width="3.7265625" style="140" customWidth="1"/>
    <col min="13831" max="13831" width="14.453125" style="140" customWidth="1"/>
    <col min="13832" max="13832" width="3.7265625" style="140" customWidth="1"/>
    <col min="13833" max="13833" width="20.54296875" style="140" customWidth="1"/>
    <col min="13834" max="13844" width="9.26953125" style="140" customWidth="1"/>
    <col min="13845" max="13847" width="5.54296875" style="140" customWidth="1"/>
    <col min="13848" max="14085" width="9.1796875" style="140"/>
    <col min="14086" max="14086" width="3.7265625" style="140" customWidth="1"/>
    <col min="14087" max="14087" width="14.453125" style="140" customWidth="1"/>
    <col min="14088" max="14088" width="3.7265625" style="140" customWidth="1"/>
    <col min="14089" max="14089" width="20.54296875" style="140" customWidth="1"/>
    <col min="14090" max="14100" width="9.26953125" style="140" customWidth="1"/>
    <col min="14101" max="14103" width="5.54296875" style="140" customWidth="1"/>
    <col min="14104" max="14341" width="9.1796875" style="140"/>
    <col min="14342" max="14342" width="3.7265625" style="140" customWidth="1"/>
    <col min="14343" max="14343" width="14.453125" style="140" customWidth="1"/>
    <col min="14344" max="14344" width="3.7265625" style="140" customWidth="1"/>
    <col min="14345" max="14345" width="20.54296875" style="140" customWidth="1"/>
    <col min="14346" max="14356" width="9.26953125" style="140" customWidth="1"/>
    <col min="14357" max="14359" width="5.54296875" style="140" customWidth="1"/>
    <col min="14360" max="14597" width="9.1796875" style="140"/>
    <col min="14598" max="14598" width="3.7265625" style="140" customWidth="1"/>
    <col min="14599" max="14599" width="14.453125" style="140" customWidth="1"/>
    <col min="14600" max="14600" width="3.7265625" style="140" customWidth="1"/>
    <col min="14601" max="14601" width="20.54296875" style="140" customWidth="1"/>
    <col min="14602" max="14612" width="9.26953125" style="140" customWidth="1"/>
    <col min="14613" max="14615" width="5.54296875" style="140" customWidth="1"/>
    <col min="14616" max="14853" width="9.1796875" style="140"/>
    <col min="14854" max="14854" width="3.7265625" style="140" customWidth="1"/>
    <col min="14855" max="14855" width="14.453125" style="140" customWidth="1"/>
    <col min="14856" max="14856" width="3.7265625" style="140" customWidth="1"/>
    <col min="14857" max="14857" width="20.54296875" style="140" customWidth="1"/>
    <col min="14858" max="14868" width="9.26953125" style="140" customWidth="1"/>
    <col min="14869" max="14871" width="5.54296875" style="140" customWidth="1"/>
    <col min="14872" max="15109" width="9.1796875" style="140"/>
    <col min="15110" max="15110" width="3.7265625" style="140" customWidth="1"/>
    <col min="15111" max="15111" width="14.453125" style="140" customWidth="1"/>
    <col min="15112" max="15112" width="3.7265625" style="140" customWidth="1"/>
    <col min="15113" max="15113" width="20.54296875" style="140" customWidth="1"/>
    <col min="15114" max="15124" width="9.26953125" style="140" customWidth="1"/>
    <col min="15125" max="15127" width="5.54296875" style="140" customWidth="1"/>
    <col min="15128" max="15365" width="9.1796875" style="140"/>
    <col min="15366" max="15366" width="3.7265625" style="140" customWidth="1"/>
    <col min="15367" max="15367" width="14.453125" style="140" customWidth="1"/>
    <col min="15368" max="15368" width="3.7265625" style="140" customWidth="1"/>
    <col min="15369" max="15369" width="20.54296875" style="140" customWidth="1"/>
    <col min="15370" max="15380" width="9.26953125" style="140" customWidth="1"/>
    <col min="15381" max="15383" width="5.54296875" style="140" customWidth="1"/>
    <col min="15384" max="15621" width="9.1796875" style="140"/>
    <col min="15622" max="15622" width="3.7265625" style="140" customWidth="1"/>
    <col min="15623" max="15623" width="14.453125" style="140" customWidth="1"/>
    <col min="15624" max="15624" width="3.7265625" style="140" customWidth="1"/>
    <col min="15625" max="15625" width="20.54296875" style="140" customWidth="1"/>
    <col min="15626" max="15636" width="9.26953125" style="140" customWidth="1"/>
    <col min="15637" max="15639" width="5.54296875" style="140" customWidth="1"/>
    <col min="15640" max="15877" width="9.1796875" style="140"/>
    <col min="15878" max="15878" width="3.7265625" style="140" customWidth="1"/>
    <col min="15879" max="15879" width="14.453125" style="140" customWidth="1"/>
    <col min="15880" max="15880" width="3.7265625" style="140" customWidth="1"/>
    <col min="15881" max="15881" width="20.54296875" style="140" customWidth="1"/>
    <col min="15882" max="15892" width="9.26953125" style="140" customWidth="1"/>
    <col min="15893" max="15895" width="5.54296875" style="140" customWidth="1"/>
    <col min="15896" max="16133" width="9.1796875" style="140"/>
    <col min="16134" max="16134" width="3.7265625" style="140" customWidth="1"/>
    <col min="16135" max="16135" width="14.453125" style="140" customWidth="1"/>
    <col min="16136" max="16136" width="3.7265625" style="140" customWidth="1"/>
    <col min="16137" max="16137" width="20.54296875" style="140" customWidth="1"/>
    <col min="16138" max="16148" width="9.26953125" style="140" customWidth="1"/>
    <col min="16149" max="16151" width="5.54296875" style="140" customWidth="1"/>
    <col min="16152" max="16384" width="9.1796875" style="140"/>
  </cols>
  <sheetData>
    <row r="1" spans="1:28" x14ac:dyDescent="0.35">
      <c r="D1" s="2078"/>
      <c r="E1" s="2078"/>
      <c r="F1" s="2078"/>
      <c r="G1" s="2078"/>
      <c r="H1" s="2078"/>
      <c r="I1" s="2078"/>
      <c r="J1" s="2078"/>
      <c r="K1" s="2078"/>
      <c r="L1" s="2078"/>
      <c r="M1" s="2078"/>
      <c r="N1" s="2078"/>
      <c r="O1" s="2078"/>
      <c r="P1" s="2078"/>
      <c r="Q1" s="2078"/>
      <c r="R1" s="2078"/>
      <c r="S1" s="2078"/>
      <c r="T1" s="2078"/>
      <c r="U1" s="2078"/>
    </row>
    <row r="2" spans="1:28" x14ac:dyDescent="0.35">
      <c r="A2" s="819">
        <v>1</v>
      </c>
      <c r="B2" s="819" t="s">
        <v>0</v>
      </c>
      <c r="C2" s="819">
        <v>32</v>
      </c>
      <c r="D2" s="4651" t="s">
        <v>760</v>
      </c>
      <c r="E2" s="4652"/>
      <c r="F2" s="4652"/>
      <c r="G2" s="4652"/>
      <c r="H2" s="4652"/>
      <c r="I2" s="4652"/>
      <c r="J2" s="4652"/>
      <c r="K2" s="4652"/>
      <c r="L2" s="4652"/>
      <c r="M2" s="4652"/>
      <c r="N2" s="4652"/>
      <c r="O2" s="4652"/>
      <c r="P2" s="4652"/>
      <c r="Q2" s="4652"/>
      <c r="R2" s="4652"/>
      <c r="S2" s="4652"/>
      <c r="T2" s="4652"/>
      <c r="U2" s="4652"/>
      <c r="V2" s="4653"/>
    </row>
    <row r="3" spans="1:28" x14ac:dyDescent="0.35">
      <c r="A3" s="819">
        <v>2</v>
      </c>
      <c r="B3" s="819" t="s">
        <v>2</v>
      </c>
      <c r="C3" s="819"/>
      <c r="D3" s="4651" t="s">
        <v>761</v>
      </c>
      <c r="E3" s="4652"/>
      <c r="F3" s="4652"/>
      <c r="G3" s="4652"/>
      <c r="H3" s="4652"/>
      <c r="I3" s="4652"/>
      <c r="J3" s="4652"/>
      <c r="K3" s="4652"/>
      <c r="L3" s="4652"/>
      <c r="M3" s="4652"/>
      <c r="N3" s="4652"/>
      <c r="O3" s="4652"/>
      <c r="P3" s="4652"/>
      <c r="Q3" s="4652"/>
      <c r="R3" s="4652"/>
      <c r="S3" s="4652"/>
      <c r="T3" s="4652"/>
      <c r="U3" s="4652"/>
      <c r="V3" s="4653"/>
    </row>
    <row r="4" spans="1:28" ht="14.5" customHeight="1" x14ac:dyDescent="0.35">
      <c r="A4" s="819">
        <v>3</v>
      </c>
      <c r="B4" s="819" t="s">
        <v>4</v>
      </c>
      <c r="C4" s="819"/>
      <c r="D4" s="4651" t="s">
        <v>762</v>
      </c>
      <c r="E4" s="4652"/>
      <c r="F4" s="4652"/>
      <c r="G4" s="4652"/>
      <c r="H4" s="4652"/>
      <c r="I4" s="4652"/>
      <c r="J4" s="4652"/>
      <c r="K4" s="4652"/>
      <c r="L4" s="4652"/>
      <c r="M4" s="4652"/>
      <c r="N4" s="4652"/>
      <c r="O4" s="4652"/>
      <c r="P4" s="4652"/>
      <c r="Q4" s="4652"/>
      <c r="R4" s="4652"/>
      <c r="S4" s="4652"/>
      <c r="T4" s="4652"/>
      <c r="U4" s="4652"/>
      <c r="V4" s="4653"/>
    </row>
    <row r="5" spans="1:28" x14ac:dyDescent="0.35">
      <c r="A5" s="819">
        <v>4</v>
      </c>
      <c r="B5" s="819" t="s">
        <v>763</v>
      </c>
      <c r="C5" s="1192"/>
      <c r="D5" s="4651" t="s">
        <v>764</v>
      </c>
      <c r="E5" s="4652"/>
      <c r="F5" s="4652"/>
      <c r="G5" s="4652"/>
      <c r="H5" s="4652"/>
      <c r="I5" s="4652"/>
      <c r="J5" s="4652"/>
      <c r="K5" s="4652"/>
      <c r="L5" s="4652"/>
      <c r="M5" s="4652"/>
      <c r="N5" s="4652"/>
      <c r="O5" s="4652"/>
      <c r="P5" s="4652"/>
      <c r="Q5" s="4652"/>
      <c r="R5" s="4652"/>
      <c r="S5" s="4652"/>
      <c r="T5" s="4652"/>
      <c r="U5" s="4652"/>
      <c r="V5" s="4653"/>
    </row>
    <row r="6" spans="1:28" x14ac:dyDescent="0.35">
      <c r="A6" s="140"/>
      <c r="B6" s="140"/>
      <c r="C6" s="1192"/>
      <c r="V6" s="33"/>
    </row>
    <row r="7" spans="1:28" x14ac:dyDescent="0.35">
      <c r="A7" s="819">
        <v>5</v>
      </c>
      <c r="B7" s="1192" t="s">
        <v>6</v>
      </c>
      <c r="D7" s="90" t="s">
        <v>7</v>
      </c>
      <c r="E7" s="90" t="s">
        <v>765</v>
      </c>
      <c r="F7" s="90"/>
      <c r="G7" s="90"/>
      <c r="H7" s="90"/>
      <c r="I7" s="90"/>
      <c r="J7" s="90"/>
      <c r="K7" s="90"/>
      <c r="L7" s="90"/>
      <c r="M7" s="90"/>
      <c r="N7" s="90"/>
      <c r="O7" s="90"/>
      <c r="P7" s="90"/>
      <c r="Q7" s="89"/>
      <c r="R7" s="2079"/>
      <c r="S7" s="2079"/>
      <c r="T7" s="2079"/>
      <c r="U7" s="2079"/>
      <c r="V7" s="2079"/>
      <c r="W7" s="1427"/>
    </row>
    <row r="8" spans="1:28" x14ac:dyDescent="0.35">
      <c r="D8" s="1273"/>
      <c r="E8" s="2080">
        <v>2002</v>
      </c>
      <c r="F8" s="2080">
        <v>2003</v>
      </c>
      <c r="G8" s="2080">
        <v>2004</v>
      </c>
      <c r="H8" s="2080">
        <v>2005</v>
      </c>
      <c r="I8" s="2080">
        <v>2006</v>
      </c>
      <c r="J8" s="2080">
        <v>2007</v>
      </c>
      <c r="K8" s="2080">
        <v>2008</v>
      </c>
      <c r="L8" s="2080">
        <v>2009</v>
      </c>
      <c r="M8" s="2080">
        <v>2010</v>
      </c>
      <c r="N8" s="2080">
        <v>2011</v>
      </c>
      <c r="O8" s="2080">
        <v>2012</v>
      </c>
      <c r="P8" s="2080">
        <v>2013</v>
      </c>
      <c r="Q8" s="2080">
        <v>2014</v>
      </c>
      <c r="R8" s="2080">
        <v>2015</v>
      </c>
      <c r="S8" s="2080">
        <v>2016</v>
      </c>
      <c r="T8" s="2080">
        <v>2017</v>
      </c>
      <c r="U8" s="2080">
        <v>2018</v>
      </c>
      <c r="V8" s="2081">
        <v>2019</v>
      </c>
      <c r="W8" s="2081">
        <v>2020</v>
      </c>
    </row>
    <row r="9" spans="1:28" x14ac:dyDescent="0.35">
      <c r="B9" s="4820"/>
      <c r="C9" s="2082">
        <v>1</v>
      </c>
      <c r="D9" s="2083" t="s">
        <v>766</v>
      </c>
      <c r="E9" s="2096">
        <v>53.5</v>
      </c>
      <c r="F9" s="2096">
        <v>52.9</v>
      </c>
      <c r="G9" s="2096">
        <v>52.6</v>
      </c>
      <c r="H9" s="2096">
        <v>52.4</v>
      </c>
      <c r="I9" s="2096">
        <v>52.3</v>
      </c>
      <c r="J9" s="2096">
        <v>52.8</v>
      </c>
      <c r="K9" s="2096">
        <v>53.4</v>
      </c>
      <c r="L9" s="2096">
        <v>54.5</v>
      </c>
      <c r="M9" s="2096">
        <v>55.8</v>
      </c>
      <c r="N9" s="2096">
        <v>57.4</v>
      </c>
      <c r="O9" s="2096">
        <v>58.4</v>
      </c>
      <c r="P9" s="2096">
        <v>59</v>
      </c>
      <c r="Q9" s="2096">
        <v>59.8</v>
      </c>
      <c r="R9" s="2096">
        <v>60.2</v>
      </c>
      <c r="S9" s="2096">
        <v>60.9</v>
      </c>
      <c r="T9" s="2096">
        <v>61.5</v>
      </c>
      <c r="U9" s="2096">
        <v>61.8</v>
      </c>
      <c r="V9" s="2096">
        <v>62.2</v>
      </c>
      <c r="W9" s="2096">
        <v>62.5</v>
      </c>
      <c r="X9" s="2086"/>
      <c r="Y9" s="2087"/>
      <c r="Z9" s="2088"/>
      <c r="AA9" s="2088"/>
      <c r="AB9" s="2089"/>
    </row>
    <row r="10" spans="1:28" ht="13.5" customHeight="1" x14ac:dyDescent="0.35">
      <c r="B10" s="4820"/>
      <c r="C10" s="2082">
        <v>2</v>
      </c>
      <c r="D10" s="2083" t="s">
        <v>767</v>
      </c>
      <c r="E10" s="2096">
        <v>57.9</v>
      </c>
      <c r="F10" s="2096">
        <v>57.6</v>
      </c>
      <c r="G10" s="2096">
        <v>56.7</v>
      </c>
      <c r="H10" s="2096">
        <v>56</v>
      </c>
      <c r="I10" s="2096">
        <v>55.7</v>
      </c>
      <c r="J10" s="2096">
        <v>56.2</v>
      </c>
      <c r="K10" s="2096">
        <v>57</v>
      </c>
      <c r="L10" s="2096">
        <v>59.3</v>
      </c>
      <c r="M10" s="2096">
        <v>60.9</v>
      </c>
      <c r="N10" s="2096">
        <v>62.8</v>
      </c>
      <c r="O10" s="2096">
        <v>63.9</v>
      </c>
      <c r="P10" s="2096">
        <v>64.599999999999994</v>
      </c>
      <c r="Q10" s="2096">
        <v>65.7</v>
      </c>
      <c r="R10" s="2096">
        <v>66</v>
      </c>
      <c r="S10" s="2096">
        <v>66.5</v>
      </c>
      <c r="T10" s="2096">
        <v>66.8</v>
      </c>
      <c r="U10" s="2096">
        <v>67.3</v>
      </c>
      <c r="V10" s="2096">
        <v>67.8</v>
      </c>
      <c r="W10" s="2096">
        <v>68.5</v>
      </c>
      <c r="X10" s="2086"/>
      <c r="Y10" s="2087"/>
      <c r="Z10" s="2088"/>
      <c r="AA10" s="2088"/>
      <c r="AB10" s="2089"/>
    </row>
    <row r="11" spans="1:28" x14ac:dyDescent="0.35">
      <c r="B11" s="4820"/>
      <c r="C11" s="2082">
        <v>3</v>
      </c>
      <c r="D11" s="2083" t="s">
        <v>768</v>
      </c>
      <c r="E11" s="2099">
        <v>55.8</v>
      </c>
      <c r="F11" s="2099">
        <v>55.4</v>
      </c>
      <c r="G11" s="2099">
        <v>54.7</v>
      </c>
      <c r="H11" s="2099">
        <v>54.2</v>
      </c>
      <c r="I11" s="2099">
        <v>54.1</v>
      </c>
      <c r="J11" s="2099">
        <v>54.6</v>
      </c>
      <c r="K11" s="2099">
        <v>55.2</v>
      </c>
      <c r="L11" s="2099">
        <v>57</v>
      </c>
      <c r="M11" s="2099">
        <v>58.4</v>
      </c>
      <c r="N11" s="2099">
        <v>60.2</v>
      </c>
      <c r="O11" s="2099">
        <v>61.2</v>
      </c>
      <c r="P11" s="2099">
        <v>61.9</v>
      </c>
      <c r="Q11" s="2099">
        <v>62.8</v>
      </c>
      <c r="R11" s="2099">
        <v>63.2</v>
      </c>
      <c r="S11" s="2099">
        <v>63.8</v>
      </c>
      <c r="T11" s="2099">
        <v>64.2</v>
      </c>
      <c r="U11" s="2099">
        <v>64.599999999999994</v>
      </c>
      <c r="V11" s="2099">
        <v>65</v>
      </c>
      <c r="W11" s="2099">
        <v>65.599999999999994</v>
      </c>
      <c r="X11" s="2086"/>
      <c r="Y11" s="2087"/>
      <c r="Z11" s="2088"/>
      <c r="AA11" s="2088"/>
      <c r="AB11" s="2089"/>
    </row>
    <row r="12" spans="1:28" x14ac:dyDescent="0.35">
      <c r="B12" s="2090"/>
      <c r="C12" s="2082">
        <v>4</v>
      </c>
      <c r="D12" s="2091" t="s">
        <v>769</v>
      </c>
      <c r="E12" s="2092"/>
      <c r="F12" s="2092"/>
      <c r="G12" s="2092"/>
      <c r="H12" s="2092"/>
      <c r="I12" s="2092"/>
      <c r="J12" s="2092"/>
      <c r="K12" s="2092"/>
      <c r="L12" s="2092"/>
      <c r="M12" s="2093">
        <v>54.6</v>
      </c>
      <c r="N12" s="2093">
        <v>56</v>
      </c>
      <c r="O12" s="2093">
        <v>58.5</v>
      </c>
      <c r="P12" s="2093">
        <v>59.1</v>
      </c>
      <c r="Q12" s="2093">
        <v>59.5</v>
      </c>
      <c r="R12" s="2093">
        <v>60.1</v>
      </c>
      <c r="S12" s="2094">
        <v>60.9</v>
      </c>
      <c r="T12" s="2094">
        <v>61.6</v>
      </c>
      <c r="U12" s="2094">
        <v>61.9</v>
      </c>
      <c r="V12" s="2095"/>
      <c r="W12" s="2095"/>
      <c r="X12" s="2086"/>
      <c r="Y12" s="2087"/>
      <c r="Z12" s="2088"/>
      <c r="AA12" s="2088"/>
      <c r="AB12" s="2089"/>
    </row>
    <row r="13" spans="1:28" x14ac:dyDescent="0.35">
      <c r="B13" s="2090"/>
      <c r="C13" s="2082">
        <v>5</v>
      </c>
      <c r="D13" s="2083" t="s">
        <v>770</v>
      </c>
      <c r="E13" s="808"/>
      <c r="F13" s="808"/>
      <c r="G13" s="808"/>
      <c r="H13" s="808"/>
      <c r="I13" s="808"/>
      <c r="J13" s="808"/>
      <c r="K13" s="808"/>
      <c r="L13" s="808"/>
      <c r="M13" s="2096">
        <v>59.7</v>
      </c>
      <c r="N13" s="2096">
        <v>61.2</v>
      </c>
      <c r="O13" s="2096">
        <v>64</v>
      </c>
      <c r="P13" s="2096">
        <v>65.2</v>
      </c>
      <c r="Q13" s="2096">
        <v>65.900000000000006</v>
      </c>
      <c r="R13" s="2096">
        <v>66.599999999999994</v>
      </c>
      <c r="S13" s="2084">
        <v>66.900000000000006</v>
      </c>
      <c r="T13" s="2084">
        <v>67.599999999999994</v>
      </c>
      <c r="U13" s="2084">
        <v>67.900000000000006</v>
      </c>
      <c r="V13" s="2085"/>
      <c r="W13" s="2085"/>
      <c r="X13" s="2086"/>
      <c r="Y13" s="2087"/>
      <c r="Z13" s="2088"/>
      <c r="AA13" s="2088"/>
      <c r="AB13" s="2089"/>
    </row>
    <row r="14" spans="1:28" x14ac:dyDescent="0.35">
      <c r="B14" s="2090"/>
      <c r="C14" s="2082">
        <v>6</v>
      </c>
      <c r="D14" s="2097" t="s">
        <v>771</v>
      </c>
      <c r="E14" s="2098"/>
      <c r="F14" s="2098"/>
      <c r="G14" s="2098"/>
      <c r="H14" s="2098"/>
      <c r="I14" s="2098"/>
      <c r="J14" s="2098"/>
      <c r="K14" s="2098"/>
      <c r="L14" s="2098"/>
      <c r="M14" s="2099">
        <v>57.1</v>
      </c>
      <c r="N14" s="2099">
        <v>58.5</v>
      </c>
      <c r="O14" s="2099">
        <v>61.2</v>
      </c>
      <c r="P14" s="2099">
        <v>62.1</v>
      </c>
      <c r="Q14" s="2099">
        <v>62.7</v>
      </c>
      <c r="R14" s="2099">
        <v>63.3</v>
      </c>
      <c r="S14" s="2100">
        <v>63.9</v>
      </c>
      <c r="T14" s="2100">
        <v>64.599999999999994</v>
      </c>
      <c r="U14" s="2100">
        <v>64.8</v>
      </c>
      <c r="V14" s="2101"/>
      <c r="W14" s="2101"/>
      <c r="X14" s="2086"/>
      <c r="Y14" s="2087"/>
      <c r="Z14" s="2088"/>
      <c r="AA14" s="2088"/>
      <c r="AB14" s="2089"/>
    </row>
    <row r="15" spans="1:28" x14ac:dyDescent="0.35">
      <c r="B15" s="2090"/>
      <c r="C15" s="2082"/>
      <c r="D15" s="2102"/>
      <c r="E15" s="651"/>
      <c r="F15" s="651"/>
      <c r="G15" s="651"/>
      <c r="H15" s="651"/>
      <c r="I15" s="651"/>
      <c r="J15" s="651"/>
      <c r="K15" s="651"/>
      <c r="L15" s="651"/>
      <c r="M15" s="651"/>
      <c r="N15" s="651"/>
      <c r="O15" s="651"/>
      <c r="P15" s="651"/>
      <c r="Q15" s="651"/>
      <c r="R15" s="651"/>
      <c r="S15" s="2103"/>
      <c r="T15" s="2104"/>
      <c r="U15" s="2104"/>
      <c r="V15" s="2078"/>
      <c r="X15" s="2086"/>
      <c r="Y15" s="2087"/>
      <c r="Z15" s="2088"/>
      <c r="AA15" s="2088"/>
      <c r="AB15" s="2089"/>
    </row>
    <row r="16" spans="1:28" ht="15" customHeight="1" x14ac:dyDescent="0.35">
      <c r="B16" s="2090"/>
      <c r="C16" s="2105"/>
      <c r="D16" s="90" t="s">
        <v>35</v>
      </c>
      <c r="E16" s="90" t="s">
        <v>772</v>
      </c>
      <c r="F16" s="2106"/>
      <c r="G16" s="2106"/>
      <c r="H16" s="90"/>
      <c r="I16" s="89"/>
      <c r="J16" s="89"/>
      <c r="K16" s="89"/>
      <c r="L16" s="89"/>
      <c r="M16" s="89"/>
      <c r="N16" s="89"/>
      <c r="O16" s="89"/>
      <c r="P16" s="89"/>
      <c r="Q16" s="89"/>
      <c r="R16" s="2078"/>
      <c r="S16" s="2078"/>
      <c r="T16" s="2078"/>
      <c r="U16" s="2078"/>
      <c r="V16" s="2078"/>
      <c r="X16" s="2088"/>
      <c r="Y16" s="2088"/>
      <c r="Z16" s="2089"/>
    </row>
    <row r="17" spans="1:27" ht="15" customHeight="1" x14ac:dyDescent="0.35">
      <c r="B17" s="2090"/>
      <c r="C17" s="2105"/>
      <c r="D17" s="1273"/>
      <c r="E17" s="4830" t="s">
        <v>415</v>
      </c>
      <c r="F17" s="4830" t="s">
        <v>773</v>
      </c>
      <c r="G17" s="4830"/>
      <c r="H17" s="4830"/>
      <c r="I17" s="4831" t="s">
        <v>416</v>
      </c>
      <c r="J17" s="4831" t="s">
        <v>774</v>
      </c>
      <c r="K17" s="4831"/>
      <c r="L17" s="4831"/>
      <c r="M17" s="4832"/>
      <c r="N17" s="4832"/>
      <c r="O17" s="4832"/>
      <c r="P17" s="4832"/>
      <c r="Q17" s="4833"/>
      <c r="R17" s="4833"/>
      <c r="S17" s="4833"/>
      <c r="T17" s="4833"/>
      <c r="U17" s="2078"/>
      <c r="V17" s="2078"/>
      <c r="W17" s="2078"/>
      <c r="Y17" s="2088"/>
      <c r="Z17" s="2088"/>
      <c r="AA17" s="2089"/>
    </row>
    <row r="18" spans="1:27" ht="14.5" customHeight="1" x14ac:dyDescent="0.35">
      <c r="B18" s="2090"/>
      <c r="C18" s="2105"/>
      <c r="D18" s="1290"/>
      <c r="E18" s="2107" t="s">
        <v>775</v>
      </c>
      <c r="F18" s="2107" t="s">
        <v>776</v>
      </c>
      <c r="G18" s="2107" t="s">
        <v>777</v>
      </c>
      <c r="H18" s="2107" t="s">
        <v>778</v>
      </c>
      <c r="I18" s="2107" t="s">
        <v>775</v>
      </c>
      <c r="J18" s="2107" t="s">
        <v>776</v>
      </c>
      <c r="K18" s="2107" t="s">
        <v>777</v>
      </c>
      <c r="L18" s="2107" t="s">
        <v>778</v>
      </c>
      <c r="M18" s="2108"/>
      <c r="N18" s="2108"/>
      <c r="O18" s="2108"/>
      <c r="P18" s="2108"/>
      <c r="Q18" s="2108"/>
      <c r="R18" s="2108"/>
      <c r="S18" s="2108"/>
      <c r="T18" s="2108"/>
      <c r="U18" s="2078"/>
      <c r="V18" s="2078"/>
      <c r="W18" s="2078"/>
      <c r="Y18" s="2088"/>
      <c r="Z18" s="2088"/>
      <c r="AA18" s="2089"/>
    </row>
    <row r="19" spans="1:27" x14ac:dyDescent="0.35">
      <c r="B19" s="2090"/>
      <c r="C19" s="2105"/>
      <c r="D19" s="2109" t="s">
        <v>402</v>
      </c>
      <c r="E19" s="2110">
        <v>51.706295879901965</v>
      </c>
      <c r="F19" s="651">
        <v>52.267994217094333</v>
      </c>
      <c r="G19" s="651">
        <v>56.146501533486479</v>
      </c>
      <c r="H19" s="2111">
        <v>58.546086396242373</v>
      </c>
      <c r="I19" s="2112">
        <v>54.764432500197543</v>
      </c>
      <c r="J19" s="2113">
        <v>56.104650731650445</v>
      </c>
      <c r="K19" s="2113">
        <v>62.863892797478286</v>
      </c>
      <c r="L19" s="2114">
        <v>65.905129967996288</v>
      </c>
      <c r="M19" s="2115"/>
      <c r="N19" s="651"/>
      <c r="O19" s="651"/>
      <c r="P19" s="651"/>
      <c r="Q19" s="2113"/>
      <c r="R19" s="2113"/>
      <c r="S19" s="2113"/>
      <c r="T19" s="2113"/>
      <c r="U19" s="2078"/>
      <c r="V19" s="2078"/>
      <c r="W19" s="2078"/>
      <c r="Y19" s="2088"/>
      <c r="Z19" s="2088"/>
      <c r="AA19" s="2089"/>
    </row>
    <row r="20" spans="1:27" x14ac:dyDescent="0.35">
      <c r="B20" s="2090"/>
      <c r="C20" s="2105"/>
      <c r="D20" s="2109" t="s">
        <v>404</v>
      </c>
      <c r="E20" s="2110">
        <v>46.547766469617805</v>
      </c>
      <c r="F20" s="651">
        <v>46.875699770593776</v>
      </c>
      <c r="G20" s="651">
        <v>53.076362362527206</v>
      </c>
      <c r="H20" s="2111">
        <v>55.003038252310049</v>
      </c>
      <c r="I20" s="2112">
        <v>49.21493816995914</v>
      </c>
      <c r="J20" s="2113">
        <v>50.991430586947047</v>
      </c>
      <c r="K20" s="2113">
        <v>58.836609368098053</v>
      </c>
      <c r="L20" s="2114">
        <v>61.528154862287586</v>
      </c>
      <c r="M20" s="2115"/>
      <c r="N20" s="651"/>
      <c r="O20" s="651"/>
      <c r="P20" s="651"/>
      <c r="Q20" s="2113"/>
      <c r="R20" s="2113"/>
      <c r="S20" s="2113"/>
      <c r="T20" s="2113"/>
      <c r="U20" s="2078"/>
      <c r="V20" s="2078"/>
      <c r="W20" s="2078"/>
      <c r="Y20" s="2088"/>
      <c r="Z20" s="2088"/>
      <c r="AA20" s="2089"/>
    </row>
    <row r="21" spans="1:27" x14ac:dyDescent="0.35">
      <c r="B21" s="2090"/>
      <c r="C21" s="2105"/>
      <c r="D21" s="2109" t="s">
        <v>407</v>
      </c>
      <c r="E21" s="2110">
        <v>55.824827831004669</v>
      </c>
      <c r="F21" s="241">
        <v>56.158249612007012</v>
      </c>
      <c r="G21" s="651">
        <v>61.970676025497298</v>
      </c>
      <c r="H21" s="2111">
        <v>64.047415136035212</v>
      </c>
      <c r="I21" s="2112">
        <v>58.554470703155559</v>
      </c>
      <c r="J21" s="2113">
        <v>59.669725468737987</v>
      </c>
      <c r="K21" s="2113">
        <v>67.166320643632304</v>
      </c>
      <c r="L21" s="2114">
        <v>69.847614454865663</v>
      </c>
      <c r="M21" s="2115"/>
      <c r="N21" s="241"/>
      <c r="O21" s="651"/>
      <c r="P21" s="651"/>
      <c r="Q21" s="2113"/>
      <c r="R21" s="2113"/>
      <c r="S21" s="2113"/>
      <c r="T21" s="2113"/>
      <c r="U21" s="2078"/>
      <c r="V21" s="2078"/>
      <c r="W21" s="2078"/>
      <c r="Y21" s="2088"/>
      <c r="Z21" s="2088"/>
      <c r="AA21" s="2089"/>
    </row>
    <row r="22" spans="1:27" x14ac:dyDescent="0.35">
      <c r="D22" s="2109" t="s">
        <v>405</v>
      </c>
      <c r="E22" s="2110">
        <v>48.840621209822238</v>
      </c>
      <c r="F22" s="241">
        <v>48.941109797034848</v>
      </c>
      <c r="G22" s="241">
        <v>55.300831973003895</v>
      </c>
      <c r="H22" s="2116">
        <v>57.748897769832425</v>
      </c>
      <c r="I22" s="2117">
        <v>53.995520294500942</v>
      </c>
      <c r="J22" s="2118">
        <v>54.380024313743739</v>
      </c>
      <c r="K22" s="2118">
        <v>61.37920622725197</v>
      </c>
      <c r="L22" s="2119">
        <v>64.052628197505655</v>
      </c>
      <c r="M22" s="2115"/>
      <c r="N22" s="241"/>
      <c r="O22" s="241"/>
      <c r="P22" s="241"/>
      <c r="Q22" s="2118"/>
      <c r="R22" s="2118"/>
      <c r="S22" s="2118"/>
      <c r="T22" s="2118"/>
      <c r="U22" s="109"/>
      <c r="V22" s="109"/>
      <c r="W22" s="109"/>
      <c r="Y22" s="2086"/>
      <c r="Z22" s="2087"/>
    </row>
    <row r="23" spans="1:27" x14ac:dyDescent="0.35">
      <c r="D23" s="2109" t="s">
        <v>409</v>
      </c>
      <c r="E23" s="2110">
        <v>52.013123312778248</v>
      </c>
      <c r="F23" s="241">
        <v>52.585272486089572</v>
      </c>
      <c r="G23" s="241">
        <v>56.4151582089996</v>
      </c>
      <c r="H23" s="2116">
        <v>58.58448589320821</v>
      </c>
      <c r="I23" s="2117">
        <v>55.372911279555431</v>
      </c>
      <c r="J23" s="2118">
        <v>55.8327307101248</v>
      </c>
      <c r="K23" s="2118">
        <v>62.830881101166199</v>
      </c>
      <c r="L23" s="2119">
        <v>65.432407632441809</v>
      </c>
      <c r="M23" s="2115"/>
      <c r="N23" s="241"/>
      <c r="O23" s="241"/>
      <c r="P23" s="241"/>
      <c r="Q23" s="2118"/>
      <c r="R23" s="2118"/>
      <c r="S23" s="2118"/>
      <c r="T23" s="2118"/>
      <c r="U23" s="109"/>
      <c r="V23" s="109"/>
      <c r="W23" s="109"/>
      <c r="Y23" s="2086"/>
      <c r="Z23" s="2087"/>
    </row>
    <row r="24" spans="1:27" x14ac:dyDescent="0.35">
      <c r="D24" s="2109" t="s">
        <v>408</v>
      </c>
      <c r="E24" s="2110">
        <v>51.986526317989231</v>
      </c>
      <c r="F24" s="241">
        <v>52.824049903845861</v>
      </c>
      <c r="G24" s="241">
        <v>57.590459158650475</v>
      </c>
      <c r="H24" s="2116">
        <v>60.592240945454229</v>
      </c>
      <c r="I24" s="2117">
        <v>55.594951601053531</v>
      </c>
      <c r="J24" s="2118">
        <v>57.079064345558379</v>
      </c>
      <c r="K24" s="2118">
        <v>63.249464501628736</v>
      </c>
      <c r="L24" s="2119">
        <v>66.096963276660205</v>
      </c>
      <c r="M24" s="2115"/>
      <c r="N24" s="241"/>
      <c r="O24" s="241"/>
      <c r="P24" s="241"/>
      <c r="Q24" s="2118"/>
      <c r="R24" s="2118"/>
      <c r="S24" s="2118"/>
      <c r="T24" s="2118"/>
      <c r="U24" s="109"/>
      <c r="V24" s="109"/>
      <c r="W24" s="109"/>
      <c r="Y24" s="2086"/>
      <c r="Z24" s="2087"/>
    </row>
    <row r="25" spans="1:27" ht="14.5" customHeight="1" x14ac:dyDescent="0.35">
      <c r="D25" s="2109" t="s">
        <v>403</v>
      </c>
      <c r="E25" s="2110">
        <v>52.243562639979011</v>
      </c>
      <c r="F25" s="241">
        <v>52.777359452770327</v>
      </c>
      <c r="G25" s="241">
        <v>57.190779798866359</v>
      </c>
      <c r="H25" s="2116">
        <v>60.024430310223444</v>
      </c>
      <c r="I25" s="2117">
        <v>57.404712587346125</v>
      </c>
      <c r="J25" s="2118">
        <v>58.095989224200302</v>
      </c>
      <c r="K25" s="2118">
        <v>63.535126876829032</v>
      </c>
      <c r="L25" s="2119">
        <v>66.31492350562705</v>
      </c>
      <c r="M25" s="2115"/>
      <c r="N25" s="241"/>
      <c r="O25" s="241"/>
      <c r="P25" s="241"/>
      <c r="Q25" s="2118"/>
      <c r="R25" s="2118"/>
      <c r="S25" s="2118"/>
      <c r="T25" s="2118"/>
      <c r="U25" s="109"/>
      <c r="V25" s="109"/>
      <c r="W25" s="109"/>
      <c r="Y25" s="2086"/>
      <c r="Z25" s="2087"/>
    </row>
    <row r="26" spans="1:27" x14ac:dyDescent="0.35">
      <c r="D26" s="2109" t="s">
        <v>406</v>
      </c>
      <c r="E26" s="2110">
        <v>49.899893599401608</v>
      </c>
      <c r="F26" s="241">
        <v>50.722266367677435</v>
      </c>
      <c r="G26" s="241">
        <v>55.318906359882803</v>
      </c>
      <c r="H26" s="2116">
        <v>58.441296413935007</v>
      </c>
      <c r="I26" s="2117">
        <v>54.046041042006706</v>
      </c>
      <c r="J26" s="2118">
        <v>55.65356464251466</v>
      </c>
      <c r="K26" s="2118">
        <v>62.771516530488825</v>
      </c>
      <c r="L26" s="2119">
        <v>64.611968498554148</v>
      </c>
      <c r="M26" s="2115"/>
      <c r="N26" s="241"/>
      <c r="O26" s="241"/>
      <c r="P26" s="241"/>
      <c r="Q26" s="2118"/>
      <c r="R26" s="2118"/>
      <c r="S26" s="2118"/>
      <c r="T26" s="2118"/>
      <c r="U26" s="109"/>
      <c r="V26" s="109"/>
      <c r="W26" s="109"/>
      <c r="Y26" s="2086"/>
      <c r="Z26" s="2087"/>
    </row>
    <row r="27" spans="1:27" x14ac:dyDescent="0.35">
      <c r="D27" s="2109" t="s">
        <v>401</v>
      </c>
      <c r="E27" s="2110">
        <v>59.195049948431731</v>
      </c>
      <c r="F27" s="241">
        <v>60.454857987936514</v>
      </c>
      <c r="G27" s="241">
        <v>63.887296254636411</v>
      </c>
      <c r="H27" s="2116">
        <v>66.176079896430608</v>
      </c>
      <c r="I27" s="2117">
        <v>64.118472177856461</v>
      </c>
      <c r="J27" s="2118">
        <v>66.150159648308858</v>
      </c>
      <c r="K27" s="2118">
        <v>70.294979891901562</v>
      </c>
      <c r="L27" s="2119">
        <v>72.108249433178628</v>
      </c>
      <c r="M27" s="2115"/>
      <c r="N27" s="241"/>
      <c r="O27" s="241"/>
      <c r="P27" s="241"/>
      <c r="Q27" s="2118"/>
      <c r="R27" s="2118"/>
      <c r="S27" s="2118"/>
      <c r="T27" s="2118"/>
      <c r="U27" s="109"/>
      <c r="V27" s="109"/>
      <c r="W27" s="109"/>
      <c r="Y27" s="2086"/>
      <c r="Z27" s="2087"/>
    </row>
    <row r="28" spans="1:27" x14ac:dyDescent="0.35">
      <c r="C28" s="2105">
        <v>10</v>
      </c>
      <c r="D28" s="2120"/>
      <c r="E28" s="2121"/>
      <c r="F28" s="2122"/>
      <c r="G28" s="2123"/>
      <c r="H28" s="2123"/>
      <c r="I28" s="2124"/>
      <c r="J28" s="2123"/>
      <c r="K28" s="2123"/>
      <c r="L28" s="2123"/>
      <c r="M28" s="2115"/>
      <c r="N28" s="641"/>
      <c r="O28" s="641"/>
      <c r="P28" s="641"/>
      <c r="Q28" s="641"/>
      <c r="R28" s="641"/>
      <c r="S28" s="641"/>
      <c r="T28" s="641"/>
      <c r="U28" s="109"/>
      <c r="V28" s="109"/>
      <c r="W28" s="109"/>
      <c r="Y28" s="2086"/>
      <c r="Z28" s="2087"/>
    </row>
    <row r="29" spans="1:27" x14ac:dyDescent="0.35">
      <c r="H29" s="1629"/>
      <c r="I29" s="1629"/>
      <c r="J29" s="1629"/>
    </row>
    <row r="30" spans="1:27" x14ac:dyDescent="0.35">
      <c r="A30" s="819">
        <v>6</v>
      </c>
      <c r="B30" s="819" t="s">
        <v>56</v>
      </c>
      <c r="C30" s="819"/>
      <c r="D30" s="2078"/>
      <c r="E30" s="109"/>
      <c r="F30" s="109"/>
      <c r="G30" s="109"/>
      <c r="H30" s="109"/>
      <c r="I30" s="109"/>
      <c r="J30" s="109"/>
      <c r="K30" s="109"/>
      <c r="L30" s="109"/>
      <c r="M30" s="109"/>
      <c r="N30" s="109"/>
      <c r="O30" s="109"/>
      <c r="P30" s="109"/>
      <c r="Q30" s="109"/>
      <c r="R30" s="109"/>
      <c r="S30" s="109"/>
      <c r="T30" s="109"/>
      <c r="U30" s="109"/>
      <c r="V30" s="109"/>
    </row>
    <row r="31" spans="1:27" x14ac:dyDescent="0.35">
      <c r="B31" s="4820"/>
      <c r="D31" s="2078"/>
      <c r="E31" s="109"/>
      <c r="F31" s="109"/>
      <c r="G31" s="109"/>
      <c r="H31" s="109"/>
      <c r="I31" s="109"/>
      <c r="J31" s="109"/>
      <c r="K31" s="109"/>
      <c r="L31" s="109"/>
      <c r="M31" s="109"/>
      <c r="N31" s="109"/>
      <c r="O31" s="109"/>
      <c r="P31" s="109"/>
      <c r="Q31" s="109"/>
      <c r="R31" s="109"/>
      <c r="S31" s="109"/>
      <c r="T31" s="109"/>
      <c r="U31" s="109"/>
      <c r="V31" s="109"/>
    </row>
    <row r="32" spans="1:27" x14ac:dyDescent="0.35">
      <c r="B32" s="4820"/>
      <c r="D32" s="2078"/>
      <c r="E32" s="109"/>
      <c r="F32" s="109"/>
      <c r="G32" s="109"/>
      <c r="H32" s="109"/>
      <c r="I32" s="109"/>
      <c r="J32" s="109"/>
      <c r="K32" s="109"/>
      <c r="L32" s="109"/>
      <c r="M32" s="109"/>
      <c r="N32" s="109"/>
      <c r="O32" s="109"/>
      <c r="P32" s="109"/>
      <c r="Q32" s="109"/>
      <c r="R32" s="109"/>
      <c r="S32" s="109"/>
      <c r="T32" s="109"/>
      <c r="U32" s="109"/>
      <c r="V32" s="109"/>
    </row>
    <row r="33" spans="2:22" x14ac:dyDescent="0.35">
      <c r="B33" s="4820"/>
      <c r="D33" s="2078"/>
      <c r="E33" s="109"/>
      <c r="F33" s="109"/>
      <c r="G33" s="109"/>
      <c r="H33" s="109"/>
      <c r="I33" s="109"/>
      <c r="J33" s="109"/>
      <c r="K33" s="109"/>
      <c r="L33" s="109"/>
      <c r="M33" s="109"/>
      <c r="N33" s="109"/>
      <c r="O33" s="109"/>
      <c r="P33" s="109"/>
      <c r="Q33" s="109"/>
      <c r="R33" s="109"/>
      <c r="S33" s="109"/>
      <c r="T33" s="109"/>
      <c r="U33" s="109"/>
      <c r="V33" s="109"/>
    </row>
    <row r="34" spans="2:22" x14ac:dyDescent="0.35">
      <c r="B34" s="4820"/>
      <c r="D34" s="2078"/>
      <c r="E34" s="109"/>
      <c r="F34" s="109"/>
      <c r="G34" s="109"/>
      <c r="H34" s="109"/>
      <c r="I34" s="109"/>
      <c r="J34" s="109"/>
      <c r="K34" s="109"/>
      <c r="L34" s="109"/>
      <c r="M34" s="109"/>
      <c r="N34" s="109"/>
      <c r="O34" s="109"/>
      <c r="P34" s="109"/>
      <c r="Q34" s="109"/>
      <c r="R34" s="109"/>
      <c r="S34" s="109"/>
      <c r="T34" s="109"/>
      <c r="U34" s="109"/>
      <c r="V34" s="109"/>
    </row>
    <row r="35" spans="2:22" x14ac:dyDescent="0.35">
      <c r="B35" s="4820"/>
      <c r="D35" s="2078"/>
      <c r="E35" s="109"/>
      <c r="F35" s="109"/>
      <c r="G35" s="109"/>
      <c r="H35" s="109"/>
      <c r="I35" s="109"/>
      <c r="J35" s="109"/>
      <c r="K35" s="109"/>
      <c r="L35" s="109"/>
      <c r="M35" s="109"/>
      <c r="N35" s="109"/>
      <c r="O35" s="109"/>
      <c r="P35" s="109"/>
      <c r="Q35" s="109"/>
      <c r="R35" s="109"/>
      <c r="S35" s="109"/>
      <c r="T35" s="109"/>
      <c r="U35" s="109"/>
      <c r="V35" s="109"/>
    </row>
    <row r="36" spans="2:22" x14ac:dyDescent="0.35">
      <c r="B36" s="4820"/>
      <c r="D36" s="2078"/>
      <c r="E36" s="109"/>
      <c r="F36" s="109"/>
      <c r="G36" s="109"/>
      <c r="H36" s="109"/>
      <c r="I36" s="109"/>
      <c r="J36" s="109"/>
      <c r="K36" s="109"/>
      <c r="L36" s="109"/>
      <c r="M36" s="109"/>
      <c r="N36" s="109"/>
      <c r="O36" s="109"/>
      <c r="P36" s="109"/>
      <c r="Q36" s="109"/>
      <c r="R36" s="109"/>
      <c r="S36" s="109"/>
      <c r="T36" s="109"/>
      <c r="U36" s="109"/>
      <c r="V36" s="109"/>
    </row>
    <row r="37" spans="2:22" x14ac:dyDescent="0.35">
      <c r="B37" s="4820"/>
      <c r="D37" s="2078"/>
      <c r="E37" s="109"/>
      <c r="F37" s="109"/>
      <c r="G37" s="109"/>
      <c r="H37" s="109"/>
      <c r="I37" s="109"/>
      <c r="J37" s="109"/>
      <c r="K37" s="109"/>
      <c r="L37" s="109"/>
      <c r="M37" s="109"/>
      <c r="N37" s="109"/>
      <c r="O37" s="109"/>
      <c r="P37" s="109"/>
      <c r="Q37" s="109"/>
      <c r="R37" s="109"/>
      <c r="S37" s="109"/>
      <c r="T37" s="109"/>
      <c r="U37" s="109"/>
      <c r="V37" s="109"/>
    </row>
    <row r="38" spans="2:22" x14ac:dyDescent="0.35">
      <c r="B38" s="4820"/>
      <c r="D38" s="2078"/>
      <c r="E38" s="109"/>
      <c r="F38" s="109"/>
      <c r="G38" s="109"/>
      <c r="H38" s="109"/>
      <c r="I38" s="109"/>
      <c r="J38" s="109"/>
      <c r="K38" s="109"/>
      <c r="L38" s="109"/>
      <c r="M38" s="109"/>
      <c r="N38" s="109"/>
      <c r="O38" s="109"/>
      <c r="P38" s="109"/>
      <c r="Q38" s="109"/>
      <c r="R38" s="109"/>
      <c r="S38" s="109"/>
      <c r="T38" s="109"/>
      <c r="U38" s="109"/>
      <c r="V38" s="109"/>
    </row>
    <row r="39" spans="2:22" x14ac:dyDescent="0.35">
      <c r="B39" s="4820"/>
      <c r="D39" s="2078"/>
      <c r="E39" s="109"/>
      <c r="F39" s="109"/>
      <c r="G39" s="109"/>
      <c r="H39" s="109"/>
      <c r="I39" s="109"/>
      <c r="J39" s="109"/>
      <c r="K39" s="109"/>
      <c r="L39" s="109"/>
      <c r="M39" s="109"/>
      <c r="N39" s="109"/>
      <c r="O39" s="109"/>
      <c r="P39" s="109"/>
      <c r="Q39" s="109"/>
      <c r="R39" s="109"/>
      <c r="S39" s="109"/>
      <c r="T39" s="109"/>
      <c r="U39" s="109"/>
      <c r="V39" s="109"/>
    </row>
    <row r="40" spans="2:22" x14ac:dyDescent="0.35">
      <c r="B40" s="4820"/>
      <c r="D40" s="2078"/>
      <c r="E40" s="109"/>
      <c r="F40" s="109"/>
      <c r="G40" s="109"/>
      <c r="H40" s="109"/>
      <c r="I40" s="109"/>
      <c r="J40" s="109"/>
      <c r="K40" s="109"/>
      <c r="L40" s="109"/>
      <c r="M40" s="109"/>
      <c r="N40" s="109"/>
      <c r="O40" s="109"/>
      <c r="P40" s="109"/>
      <c r="Q40" s="109"/>
      <c r="R40" s="109"/>
      <c r="S40" s="109"/>
      <c r="T40" s="109"/>
      <c r="U40" s="109"/>
      <c r="V40" s="109"/>
    </row>
    <row r="41" spans="2:22" x14ac:dyDescent="0.35">
      <c r="D41" s="2078"/>
      <c r="E41" s="109"/>
      <c r="F41" s="109"/>
      <c r="G41" s="109"/>
      <c r="H41" s="109"/>
      <c r="I41" s="109"/>
      <c r="J41" s="109"/>
      <c r="K41" s="109"/>
      <c r="L41" s="109"/>
      <c r="M41" s="109"/>
      <c r="N41" s="109"/>
      <c r="O41" s="109"/>
      <c r="P41" s="109"/>
      <c r="Q41" s="109"/>
      <c r="R41" s="109"/>
      <c r="S41" s="109"/>
      <c r="T41" s="109"/>
      <c r="U41" s="109"/>
      <c r="V41" s="109"/>
    </row>
    <row r="42" spans="2:22" x14ac:dyDescent="0.35">
      <c r="D42" s="2078"/>
      <c r="E42" s="109"/>
      <c r="F42" s="109"/>
      <c r="G42" s="109"/>
      <c r="H42" s="109"/>
      <c r="I42" s="109"/>
      <c r="J42" s="109"/>
      <c r="K42" s="109"/>
      <c r="L42" s="109"/>
      <c r="M42" s="109"/>
      <c r="N42" s="109"/>
      <c r="O42" s="109"/>
      <c r="P42" s="109"/>
      <c r="Q42" s="109"/>
      <c r="R42" s="109"/>
      <c r="S42" s="109"/>
      <c r="T42" s="109"/>
      <c r="U42" s="109"/>
      <c r="V42" s="109"/>
    </row>
    <row r="43" spans="2:22" x14ac:dyDescent="0.35">
      <c r="B43" s="2125"/>
      <c r="C43" s="2125"/>
      <c r="D43" s="2078"/>
      <c r="E43" s="109"/>
      <c r="F43" s="109"/>
      <c r="G43" s="109"/>
      <c r="H43" s="109"/>
      <c r="I43" s="109"/>
      <c r="J43" s="109"/>
      <c r="K43" s="109"/>
      <c r="L43" s="109"/>
      <c r="M43" s="109"/>
      <c r="N43" s="109"/>
      <c r="O43" s="109"/>
      <c r="P43" s="109"/>
      <c r="Q43" s="109"/>
      <c r="R43" s="109"/>
      <c r="S43" s="109"/>
      <c r="T43" s="109"/>
      <c r="U43" s="109"/>
      <c r="V43" s="109"/>
    </row>
    <row r="44" spans="2:22" x14ac:dyDescent="0.35">
      <c r="D44" s="2078"/>
      <c r="E44" s="109"/>
      <c r="F44" s="109"/>
      <c r="G44" s="109"/>
      <c r="H44" s="109"/>
      <c r="I44" s="109"/>
      <c r="J44" s="109"/>
      <c r="K44" s="109"/>
      <c r="L44" s="109"/>
      <c r="M44" s="109"/>
      <c r="N44" s="109"/>
      <c r="O44" s="109"/>
      <c r="P44" s="109"/>
      <c r="Q44" s="109"/>
      <c r="R44" s="109"/>
      <c r="S44" s="109"/>
      <c r="T44" s="109"/>
      <c r="U44" s="109"/>
      <c r="V44" s="109"/>
    </row>
    <row r="45" spans="2:22" x14ac:dyDescent="0.35">
      <c r="D45" s="2078"/>
      <c r="E45" s="109"/>
      <c r="F45" s="109"/>
      <c r="G45" s="109"/>
      <c r="H45" s="109"/>
      <c r="I45" s="109"/>
      <c r="J45" s="109"/>
      <c r="K45" s="109"/>
      <c r="L45" s="109"/>
      <c r="M45" s="109"/>
      <c r="N45" s="109"/>
      <c r="O45" s="2078"/>
      <c r="P45" s="109"/>
      <c r="Q45" s="109"/>
      <c r="R45" s="109"/>
      <c r="S45" s="109"/>
      <c r="T45" s="109"/>
      <c r="U45" s="109"/>
      <c r="V45" s="112"/>
    </row>
    <row r="46" spans="2:22" x14ac:dyDescent="0.35">
      <c r="D46" s="2078"/>
      <c r="E46" s="2078"/>
      <c r="F46" s="2078"/>
      <c r="G46" s="2078"/>
      <c r="H46" s="2078"/>
      <c r="I46" s="2078"/>
      <c r="J46" s="2078"/>
      <c r="K46" s="2078"/>
      <c r="L46" s="2078"/>
      <c r="M46" s="2078"/>
      <c r="N46" s="2078"/>
      <c r="O46" s="2078"/>
      <c r="P46" s="2078"/>
      <c r="Q46" s="2078"/>
      <c r="R46" s="2078"/>
      <c r="S46" s="2078"/>
      <c r="T46" s="2078"/>
      <c r="U46" s="2078"/>
      <c r="V46" s="2078"/>
    </row>
    <row r="47" spans="2:22" x14ac:dyDescent="0.35">
      <c r="D47" s="2078"/>
      <c r="E47" s="2078"/>
      <c r="F47" s="2078"/>
      <c r="G47" s="2078"/>
      <c r="H47" s="2078"/>
      <c r="I47" s="2078"/>
      <c r="J47" s="2078"/>
      <c r="K47" s="2078"/>
      <c r="L47" s="2078"/>
      <c r="M47" s="2078"/>
      <c r="N47" s="2078"/>
      <c r="O47" s="2078"/>
      <c r="P47" s="2078"/>
      <c r="Q47" s="2078"/>
      <c r="R47" s="2078"/>
      <c r="S47" s="2078"/>
      <c r="T47" s="2078"/>
      <c r="U47" s="2078"/>
      <c r="V47" s="2078"/>
    </row>
    <row r="48" spans="2:22" x14ac:dyDescent="0.35">
      <c r="D48" s="2078"/>
      <c r="E48" s="2078"/>
      <c r="F48" s="2078"/>
      <c r="G48" s="2078"/>
      <c r="H48" s="2078"/>
      <c r="I48" s="2078"/>
      <c r="J48" s="2078"/>
      <c r="K48" s="2078"/>
      <c r="L48" s="2078"/>
      <c r="M48" s="2078"/>
      <c r="N48" s="2078"/>
      <c r="O48" s="2078"/>
      <c r="P48" s="2078"/>
      <c r="Q48" s="2078"/>
      <c r="R48" s="2078"/>
      <c r="S48" s="2078"/>
      <c r="T48" s="2078"/>
      <c r="U48" s="2078"/>
      <c r="V48" s="2078"/>
    </row>
    <row r="49" spans="1:23" x14ac:dyDescent="0.35">
      <c r="A49" s="819">
        <v>7</v>
      </c>
      <c r="B49" s="819" t="s">
        <v>58</v>
      </c>
      <c r="C49" s="819"/>
      <c r="D49" s="4642" t="s">
        <v>498</v>
      </c>
      <c r="E49" s="4643"/>
      <c r="F49" s="4643"/>
      <c r="G49" s="4643"/>
      <c r="H49" s="4643"/>
      <c r="I49" s="4643"/>
      <c r="J49" s="4643"/>
      <c r="K49" s="4643"/>
      <c r="L49" s="4643"/>
      <c r="M49" s="4643"/>
      <c r="N49" s="4643"/>
      <c r="O49" s="4643"/>
      <c r="P49" s="4643"/>
      <c r="Q49" s="4643"/>
      <c r="R49" s="4643"/>
      <c r="S49" s="4643"/>
      <c r="T49" s="4643"/>
      <c r="U49" s="4643"/>
      <c r="V49" s="4644"/>
    </row>
    <row r="50" spans="1:23" ht="16.5" customHeight="1" x14ac:dyDescent="0.35">
      <c r="A50" s="870">
        <v>8</v>
      </c>
      <c r="B50" s="870" t="s">
        <v>60</v>
      </c>
      <c r="C50" s="870"/>
      <c r="D50" s="4688" t="s">
        <v>779</v>
      </c>
      <c r="E50" s="4689"/>
      <c r="F50" s="4689"/>
      <c r="G50" s="4689"/>
      <c r="H50" s="4689"/>
      <c r="I50" s="4689"/>
      <c r="J50" s="4689"/>
      <c r="K50" s="4689"/>
      <c r="L50" s="4689"/>
      <c r="M50" s="4689"/>
      <c r="N50" s="4689"/>
      <c r="O50" s="4689"/>
      <c r="P50" s="4689"/>
      <c r="Q50" s="4689"/>
      <c r="R50" s="4689"/>
      <c r="S50" s="4689"/>
      <c r="T50" s="4689"/>
      <c r="U50" s="4689"/>
      <c r="V50" s="4690"/>
    </row>
    <row r="51" spans="1:23" ht="13.5" customHeight="1" x14ac:dyDescent="0.35">
      <c r="A51" s="819">
        <v>9</v>
      </c>
      <c r="B51" s="819" t="s">
        <v>62</v>
      </c>
      <c r="C51" s="819"/>
      <c r="D51" s="4821" t="s">
        <v>780</v>
      </c>
      <c r="E51" s="4822"/>
      <c r="F51" s="4822"/>
      <c r="G51" s="4822"/>
      <c r="H51" s="4822"/>
      <c r="I51" s="4822"/>
      <c r="J51" s="4822"/>
      <c r="K51" s="4822"/>
      <c r="L51" s="4822"/>
      <c r="M51" s="4822"/>
      <c r="N51" s="4822"/>
      <c r="O51" s="4822"/>
      <c r="P51" s="4822"/>
      <c r="Q51" s="4822"/>
      <c r="R51" s="4822"/>
      <c r="S51" s="4822"/>
      <c r="T51" s="4822"/>
      <c r="U51" s="4822"/>
      <c r="V51" s="4823"/>
    </row>
    <row r="52" spans="1:23" x14ac:dyDescent="0.35">
      <c r="B52" s="819"/>
      <c r="C52" s="819"/>
      <c r="D52" s="4824" t="s">
        <v>781</v>
      </c>
      <c r="E52" s="4825"/>
      <c r="F52" s="4825"/>
      <c r="G52" s="4825"/>
      <c r="H52" s="4825"/>
      <c r="I52" s="4825"/>
      <c r="J52" s="4825"/>
      <c r="K52" s="4825"/>
      <c r="L52" s="4825"/>
      <c r="M52" s="4825"/>
      <c r="N52" s="4825"/>
      <c r="O52" s="4825"/>
      <c r="P52" s="4825"/>
      <c r="Q52" s="4825"/>
      <c r="R52" s="4825"/>
      <c r="S52" s="4825"/>
      <c r="T52" s="4825"/>
      <c r="U52" s="4825"/>
      <c r="V52" s="4826"/>
    </row>
    <row r="53" spans="1:23" s="1764" customFormat="1" ht="14" x14ac:dyDescent="0.3">
      <c r="A53" s="1255">
        <v>10</v>
      </c>
      <c r="B53" s="1255" t="s">
        <v>64</v>
      </c>
      <c r="C53" s="1256"/>
      <c r="D53" s="4827"/>
      <c r="E53" s="4828"/>
      <c r="F53" s="4828"/>
      <c r="G53" s="4828"/>
      <c r="H53" s="4828"/>
      <c r="I53" s="4828"/>
      <c r="J53" s="4828"/>
      <c r="K53" s="4828"/>
      <c r="L53" s="4828"/>
      <c r="M53" s="4828"/>
      <c r="N53" s="4828"/>
      <c r="O53" s="4828"/>
      <c r="P53" s="4828"/>
      <c r="Q53" s="4828"/>
      <c r="R53" s="4828"/>
      <c r="S53" s="4828"/>
      <c r="T53" s="4828"/>
      <c r="U53" s="4828"/>
      <c r="V53" s="4829"/>
    </row>
    <row r="54" spans="1:23" x14ac:dyDescent="0.35">
      <c r="B54" s="819"/>
      <c r="D54" s="10"/>
      <c r="E54" s="10"/>
      <c r="F54" s="10"/>
      <c r="G54" s="10"/>
      <c r="H54" s="10"/>
      <c r="I54" s="10"/>
      <c r="J54" s="10"/>
      <c r="K54" s="10"/>
      <c r="L54" s="10"/>
      <c r="M54" s="10"/>
      <c r="N54" s="10"/>
      <c r="O54" s="1427"/>
      <c r="P54" s="1427"/>
      <c r="Q54" s="1427"/>
      <c r="R54" s="1427"/>
      <c r="S54" s="1427"/>
      <c r="T54" s="1427"/>
      <c r="U54" s="1427"/>
      <c r="V54" s="1427"/>
      <c r="W54" s="1427"/>
    </row>
    <row r="55" spans="1:23" x14ac:dyDescent="0.35">
      <c r="B55" s="819"/>
      <c r="D55" s="10"/>
      <c r="E55" s="10"/>
      <c r="F55" s="10"/>
      <c r="G55" s="10"/>
      <c r="H55" s="10"/>
      <c r="I55" s="10"/>
      <c r="J55" s="10"/>
      <c r="K55" s="10"/>
      <c r="L55" s="10"/>
      <c r="M55" s="10"/>
      <c r="N55" s="10"/>
      <c r="O55" s="1427"/>
      <c r="P55" s="1427"/>
      <c r="Q55" s="1427"/>
      <c r="R55" s="1427"/>
      <c r="S55" s="1427"/>
      <c r="T55" s="1427"/>
      <c r="U55" s="1427"/>
      <c r="V55" s="1427"/>
      <c r="W55" s="1427"/>
    </row>
    <row r="56" spans="1:23" x14ac:dyDescent="0.35">
      <c r="B56" s="819"/>
      <c r="D56" s="10"/>
      <c r="E56" s="10"/>
      <c r="F56" s="10"/>
      <c r="G56" s="10"/>
      <c r="H56" s="10"/>
      <c r="I56" s="10"/>
      <c r="J56" s="10"/>
      <c r="K56" s="10"/>
      <c r="L56" s="10"/>
      <c r="M56" s="10"/>
      <c r="N56" s="10"/>
      <c r="O56" s="1427"/>
      <c r="P56" s="1427"/>
      <c r="Q56" s="1427"/>
      <c r="R56" s="1427"/>
      <c r="S56" s="1427"/>
      <c r="T56" s="1427"/>
      <c r="U56" s="1427"/>
      <c r="V56" s="1427"/>
      <c r="W56" s="1427"/>
    </row>
    <row r="57" spans="1:23" x14ac:dyDescent="0.35">
      <c r="B57" s="819"/>
      <c r="D57" s="10"/>
      <c r="E57" s="10"/>
      <c r="F57" s="10"/>
      <c r="G57" s="10"/>
      <c r="H57" s="10"/>
      <c r="I57" s="10"/>
      <c r="J57" s="10"/>
      <c r="K57" s="10"/>
      <c r="L57" s="10"/>
      <c r="M57" s="10"/>
      <c r="N57" s="10"/>
      <c r="O57" s="1427"/>
      <c r="P57" s="1427"/>
      <c r="Q57" s="1427"/>
      <c r="R57" s="1427"/>
      <c r="S57" s="1427"/>
      <c r="T57" s="1427"/>
      <c r="U57" s="1427"/>
      <c r="V57" s="1427"/>
      <c r="W57" s="1427"/>
    </row>
    <row r="58" spans="1:23" x14ac:dyDescent="0.35">
      <c r="B58" s="819"/>
      <c r="D58" s="10"/>
      <c r="E58" s="10"/>
      <c r="F58" s="10"/>
      <c r="G58" s="10"/>
      <c r="H58" s="10"/>
      <c r="I58" s="10"/>
      <c r="J58" s="10"/>
      <c r="K58" s="10"/>
      <c r="L58" s="10"/>
      <c r="M58" s="10"/>
      <c r="N58" s="10"/>
      <c r="O58" s="1427"/>
      <c r="P58" s="1427"/>
      <c r="Q58" s="1427"/>
      <c r="R58" s="1427"/>
      <c r="S58" s="1427"/>
      <c r="T58" s="1427"/>
      <c r="U58" s="1427"/>
      <c r="V58" s="1427"/>
      <c r="W58" s="1427"/>
    </row>
  </sheetData>
  <mergeCells count="15">
    <mergeCell ref="B9:B11"/>
    <mergeCell ref="E17:H17"/>
    <mergeCell ref="I17:L17"/>
    <mergeCell ref="M17:P17"/>
    <mergeCell ref="Q17:T17"/>
    <mergeCell ref="D53:V53"/>
    <mergeCell ref="D2:V2"/>
    <mergeCell ref="D3:V3"/>
    <mergeCell ref="D4:V4"/>
    <mergeCell ref="D5:V5"/>
    <mergeCell ref="B31:B40"/>
    <mergeCell ref="D49:V49"/>
    <mergeCell ref="D50:V50"/>
    <mergeCell ref="D51:V51"/>
    <mergeCell ref="D52:V52"/>
  </mergeCells>
  <pageMargins left="0.74803149606299202" right="0.74803149606299202" top="0.98425196850393704" bottom="0.98425196850393704" header="0.511811023622047" footer="0.511811023622047"/>
  <pageSetup paperSize="9" scale="5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AA53"/>
  <sheetViews>
    <sheetView showGridLines="0" view="pageBreakPreview" zoomScaleNormal="100" zoomScaleSheetLayoutView="100" workbookViewId="0">
      <selection activeCell="AA1" sqref="AA1:AA1048576"/>
    </sheetView>
  </sheetViews>
  <sheetFormatPr defaultColWidth="9.1796875" defaultRowHeight="14" x14ac:dyDescent="0.3"/>
  <cols>
    <col min="1" max="1" width="3.7265625" style="2070" customWidth="1"/>
    <col min="2" max="2" width="14.453125" style="1768" customWidth="1"/>
    <col min="3" max="3" width="3.7265625" style="1768" customWidth="1"/>
    <col min="4" max="4" width="25.54296875" style="1764" customWidth="1"/>
    <col min="5" max="15" width="7.453125" style="1764" customWidth="1"/>
    <col min="16" max="19" width="6.54296875" style="1764" customWidth="1"/>
    <col min="20" max="20" width="6.453125" style="1764" customWidth="1"/>
    <col min="21" max="21" width="5.54296875" style="1764" customWidth="1"/>
    <col min="22" max="22" width="7.81640625" style="1764" customWidth="1"/>
    <col min="23" max="23" width="6.1796875" style="1764" customWidth="1"/>
    <col min="24" max="24" width="7" style="1764" customWidth="1"/>
    <col min="25" max="25" width="6.54296875" style="1764" customWidth="1"/>
    <col min="26" max="258" width="9.1796875" style="1764"/>
    <col min="259" max="259" width="3.7265625" style="1764" customWidth="1"/>
    <col min="260" max="260" width="14.453125" style="1764" customWidth="1"/>
    <col min="261" max="261" width="3.7265625" style="1764" customWidth="1"/>
    <col min="262" max="262" width="25.54296875" style="1764" customWidth="1"/>
    <col min="263" max="273" width="7.453125" style="1764" customWidth="1"/>
    <col min="274" max="276" width="6.54296875" style="1764" customWidth="1"/>
    <col min="277" max="278" width="9.1796875" style="1764"/>
    <col min="279" max="279" width="7.81640625" style="1764" customWidth="1"/>
    <col min="280" max="514" width="9.1796875" style="1764"/>
    <col min="515" max="515" width="3.7265625" style="1764" customWidth="1"/>
    <col min="516" max="516" width="14.453125" style="1764" customWidth="1"/>
    <col min="517" max="517" width="3.7265625" style="1764" customWidth="1"/>
    <col min="518" max="518" width="25.54296875" style="1764" customWidth="1"/>
    <col min="519" max="529" width="7.453125" style="1764" customWidth="1"/>
    <col min="530" max="532" width="6.54296875" style="1764" customWidth="1"/>
    <col min="533" max="534" width="9.1796875" style="1764"/>
    <col min="535" max="535" width="7.81640625" style="1764" customWidth="1"/>
    <col min="536" max="770" width="9.1796875" style="1764"/>
    <col min="771" max="771" width="3.7265625" style="1764" customWidth="1"/>
    <col min="772" max="772" width="14.453125" style="1764" customWidth="1"/>
    <col min="773" max="773" width="3.7265625" style="1764" customWidth="1"/>
    <col min="774" max="774" width="25.54296875" style="1764" customWidth="1"/>
    <col min="775" max="785" width="7.453125" style="1764" customWidth="1"/>
    <col min="786" max="788" width="6.54296875" style="1764" customWidth="1"/>
    <col min="789" max="790" width="9.1796875" style="1764"/>
    <col min="791" max="791" width="7.81640625" style="1764" customWidth="1"/>
    <col min="792" max="1026" width="9.1796875" style="1764"/>
    <col min="1027" max="1027" width="3.7265625" style="1764" customWidth="1"/>
    <col min="1028" max="1028" width="14.453125" style="1764" customWidth="1"/>
    <col min="1029" max="1029" width="3.7265625" style="1764" customWidth="1"/>
    <col min="1030" max="1030" width="25.54296875" style="1764" customWidth="1"/>
    <col min="1031" max="1041" width="7.453125" style="1764" customWidth="1"/>
    <col min="1042" max="1044" width="6.54296875" style="1764" customWidth="1"/>
    <col min="1045" max="1046" width="9.1796875" style="1764"/>
    <col min="1047" max="1047" width="7.81640625" style="1764" customWidth="1"/>
    <col min="1048" max="1282" width="9.1796875" style="1764"/>
    <col min="1283" max="1283" width="3.7265625" style="1764" customWidth="1"/>
    <col min="1284" max="1284" width="14.453125" style="1764" customWidth="1"/>
    <col min="1285" max="1285" width="3.7265625" style="1764" customWidth="1"/>
    <col min="1286" max="1286" width="25.54296875" style="1764" customWidth="1"/>
    <col min="1287" max="1297" width="7.453125" style="1764" customWidth="1"/>
    <col min="1298" max="1300" width="6.54296875" style="1764" customWidth="1"/>
    <col min="1301" max="1302" width="9.1796875" style="1764"/>
    <col min="1303" max="1303" width="7.81640625" style="1764" customWidth="1"/>
    <col min="1304" max="1538" width="9.1796875" style="1764"/>
    <col min="1539" max="1539" width="3.7265625" style="1764" customWidth="1"/>
    <col min="1540" max="1540" width="14.453125" style="1764" customWidth="1"/>
    <col min="1541" max="1541" width="3.7265625" style="1764" customWidth="1"/>
    <col min="1542" max="1542" width="25.54296875" style="1764" customWidth="1"/>
    <col min="1543" max="1553" width="7.453125" style="1764" customWidth="1"/>
    <col min="1554" max="1556" width="6.54296875" style="1764" customWidth="1"/>
    <col min="1557" max="1558" width="9.1796875" style="1764"/>
    <col min="1559" max="1559" width="7.81640625" style="1764" customWidth="1"/>
    <col min="1560" max="1794" width="9.1796875" style="1764"/>
    <col min="1795" max="1795" width="3.7265625" style="1764" customWidth="1"/>
    <col min="1796" max="1796" width="14.453125" style="1764" customWidth="1"/>
    <col min="1797" max="1797" width="3.7265625" style="1764" customWidth="1"/>
    <col min="1798" max="1798" width="25.54296875" style="1764" customWidth="1"/>
    <col min="1799" max="1809" width="7.453125" style="1764" customWidth="1"/>
    <col min="1810" max="1812" width="6.54296875" style="1764" customWidth="1"/>
    <col min="1813" max="1814" width="9.1796875" style="1764"/>
    <col min="1815" max="1815" width="7.81640625" style="1764" customWidth="1"/>
    <col min="1816" max="2050" width="9.1796875" style="1764"/>
    <col min="2051" max="2051" width="3.7265625" style="1764" customWidth="1"/>
    <col min="2052" max="2052" width="14.453125" style="1764" customWidth="1"/>
    <col min="2053" max="2053" width="3.7265625" style="1764" customWidth="1"/>
    <col min="2054" max="2054" width="25.54296875" style="1764" customWidth="1"/>
    <col min="2055" max="2065" width="7.453125" style="1764" customWidth="1"/>
    <col min="2066" max="2068" width="6.54296875" style="1764" customWidth="1"/>
    <col min="2069" max="2070" width="9.1796875" style="1764"/>
    <col min="2071" max="2071" width="7.81640625" style="1764" customWidth="1"/>
    <col min="2072" max="2306" width="9.1796875" style="1764"/>
    <col min="2307" max="2307" width="3.7265625" style="1764" customWidth="1"/>
    <col min="2308" max="2308" width="14.453125" style="1764" customWidth="1"/>
    <col min="2309" max="2309" width="3.7265625" style="1764" customWidth="1"/>
    <col min="2310" max="2310" width="25.54296875" style="1764" customWidth="1"/>
    <col min="2311" max="2321" width="7.453125" style="1764" customWidth="1"/>
    <col min="2322" max="2324" width="6.54296875" style="1764" customWidth="1"/>
    <col min="2325" max="2326" width="9.1796875" style="1764"/>
    <col min="2327" max="2327" width="7.81640625" style="1764" customWidth="1"/>
    <col min="2328" max="2562" width="9.1796875" style="1764"/>
    <col min="2563" max="2563" width="3.7265625" style="1764" customWidth="1"/>
    <col min="2564" max="2564" width="14.453125" style="1764" customWidth="1"/>
    <col min="2565" max="2565" width="3.7265625" style="1764" customWidth="1"/>
    <col min="2566" max="2566" width="25.54296875" style="1764" customWidth="1"/>
    <col min="2567" max="2577" width="7.453125" style="1764" customWidth="1"/>
    <col min="2578" max="2580" width="6.54296875" style="1764" customWidth="1"/>
    <col min="2581" max="2582" width="9.1796875" style="1764"/>
    <col min="2583" max="2583" width="7.81640625" style="1764" customWidth="1"/>
    <col min="2584" max="2818" width="9.1796875" style="1764"/>
    <col min="2819" max="2819" width="3.7265625" style="1764" customWidth="1"/>
    <col min="2820" max="2820" width="14.453125" style="1764" customWidth="1"/>
    <col min="2821" max="2821" width="3.7265625" style="1764" customWidth="1"/>
    <col min="2822" max="2822" width="25.54296875" style="1764" customWidth="1"/>
    <col min="2823" max="2833" width="7.453125" style="1764" customWidth="1"/>
    <col min="2834" max="2836" width="6.54296875" style="1764" customWidth="1"/>
    <col min="2837" max="2838" width="9.1796875" style="1764"/>
    <col min="2839" max="2839" width="7.81640625" style="1764" customWidth="1"/>
    <col min="2840" max="3074" width="9.1796875" style="1764"/>
    <col min="3075" max="3075" width="3.7265625" style="1764" customWidth="1"/>
    <col min="3076" max="3076" width="14.453125" style="1764" customWidth="1"/>
    <col min="3077" max="3077" width="3.7265625" style="1764" customWidth="1"/>
    <col min="3078" max="3078" width="25.54296875" style="1764" customWidth="1"/>
    <col min="3079" max="3089" width="7.453125" style="1764" customWidth="1"/>
    <col min="3090" max="3092" width="6.54296875" style="1764" customWidth="1"/>
    <col min="3093" max="3094" width="9.1796875" style="1764"/>
    <col min="3095" max="3095" width="7.81640625" style="1764" customWidth="1"/>
    <col min="3096" max="3330" width="9.1796875" style="1764"/>
    <col min="3331" max="3331" width="3.7265625" style="1764" customWidth="1"/>
    <col min="3332" max="3332" width="14.453125" style="1764" customWidth="1"/>
    <col min="3333" max="3333" width="3.7265625" style="1764" customWidth="1"/>
    <col min="3334" max="3334" width="25.54296875" style="1764" customWidth="1"/>
    <col min="3335" max="3345" width="7.453125" style="1764" customWidth="1"/>
    <col min="3346" max="3348" width="6.54296875" style="1764" customWidth="1"/>
    <col min="3349" max="3350" width="9.1796875" style="1764"/>
    <col min="3351" max="3351" width="7.81640625" style="1764" customWidth="1"/>
    <col min="3352" max="3586" width="9.1796875" style="1764"/>
    <col min="3587" max="3587" width="3.7265625" style="1764" customWidth="1"/>
    <col min="3588" max="3588" width="14.453125" style="1764" customWidth="1"/>
    <col min="3589" max="3589" width="3.7265625" style="1764" customWidth="1"/>
    <col min="3590" max="3590" width="25.54296875" style="1764" customWidth="1"/>
    <col min="3591" max="3601" width="7.453125" style="1764" customWidth="1"/>
    <col min="3602" max="3604" width="6.54296875" style="1764" customWidth="1"/>
    <col min="3605" max="3606" width="9.1796875" style="1764"/>
    <col min="3607" max="3607" width="7.81640625" style="1764" customWidth="1"/>
    <col min="3608" max="3842" width="9.1796875" style="1764"/>
    <col min="3843" max="3843" width="3.7265625" style="1764" customWidth="1"/>
    <col min="3844" max="3844" width="14.453125" style="1764" customWidth="1"/>
    <col min="3845" max="3845" width="3.7265625" style="1764" customWidth="1"/>
    <col min="3846" max="3846" width="25.54296875" style="1764" customWidth="1"/>
    <col min="3847" max="3857" width="7.453125" style="1764" customWidth="1"/>
    <col min="3858" max="3860" width="6.54296875" style="1764" customWidth="1"/>
    <col min="3861" max="3862" width="9.1796875" style="1764"/>
    <col min="3863" max="3863" width="7.81640625" style="1764" customWidth="1"/>
    <col min="3864" max="4098" width="9.1796875" style="1764"/>
    <col min="4099" max="4099" width="3.7265625" style="1764" customWidth="1"/>
    <col min="4100" max="4100" width="14.453125" style="1764" customWidth="1"/>
    <col min="4101" max="4101" width="3.7265625" style="1764" customWidth="1"/>
    <col min="4102" max="4102" width="25.54296875" style="1764" customWidth="1"/>
    <col min="4103" max="4113" width="7.453125" style="1764" customWidth="1"/>
    <col min="4114" max="4116" width="6.54296875" style="1764" customWidth="1"/>
    <col min="4117" max="4118" width="9.1796875" style="1764"/>
    <col min="4119" max="4119" width="7.81640625" style="1764" customWidth="1"/>
    <col min="4120" max="4354" width="9.1796875" style="1764"/>
    <col min="4355" max="4355" width="3.7265625" style="1764" customWidth="1"/>
    <col min="4356" max="4356" width="14.453125" style="1764" customWidth="1"/>
    <col min="4357" max="4357" width="3.7265625" style="1764" customWidth="1"/>
    <col min="4358" max="4358" width="25.54296875" style="1764" customWidth="1"/>
    <col min="4359" max="4369" width="7.453125" style="1764" customWidth="1"/>
    <col min="4370" max="4372" width="6.54296875" style="1764" customWidth="1"/>
    <col min="4373" max="4374" width="9.1796875" style="1764"/>
    <col min="4375" max="4375" width="7.81640625" style="1764" customWidth="1"/>
    <col min="4376" max="4610" width="9.1796875" style="1764"/>
    <col min="4611" max="4611" width="3.7265625" style="1764" customWidth="1"/>
    <col min="4612" max="4612" width="14.453125" style="1764" customWidth="1"/>
    <col min="4613" max="4613" width="3.7265625" style="1764" customWidth="1"/>
    <col min="4614" max="4614" width="25.54296875" style="1764" customWidth="1"/>
    <col min="4615" max="4625" width="7.453125" style="1764" customWidth="1"/>
    <col min="4626" max="4628" width="6.54296875" style="1764" customWidth="1"/>
    <col min="4629" max="4630" width="9.1796875" style="1764"/>
    <col min="4631" max="4631" width="7.81640625" style="1764" customWidth="1"/>
    <col min="4632" max="4866" width="9.1796875" style="1764"/>
    <col min="4867" max="4867" width="3.7265625" style="1764" customWidth="1"/>
    <col min="4868" max="4868" width="14.453125" style="1764" customWidth="1"/>
    <col min="4869" max="4869" width="3.7265625" style="1764" customWidth="1"/>
    <col min="4870" max="4870" width="25.54296875" style="1764" customWidth="1"/>
    <col min="4871" max="4881" width="7.453125" style="1764" customWidth="1"/>
    <col min="4882" max="4884" width="6.54296875" style="1764" customWidth="1"/>
    <col min="4885" max="4886" width="9.1796875" style="1764"/>
    <col min="4887" max="4887" width="7.81640625" style="1764" customWidth="1"/>
    <col min="4888" max="5122" width="9.1796875" style="1764"/>
    <col min="5123" max="5123" width="3.7265625" style="1764" customWidth="1"/>
    <col min="5124" max="5124" width="14.453125" style="1764" customWidth="1"/>
    <col min="5125" max="5125" width="3.7265625" style="1764" customWidth="1"/>
    <col min="5126" max="5126" width="25.54296875" style="1764" customWidth="1"/>
    <col min="5127" max="5137" width="7.453125" style="1764" customWidth="1"/>
    <col min="5138" max="5140" width="6.54296875" style="1764" customWidth="1"/>
    <col min="5141" max="5142" width="9.1796875" style="1764"/>
    <col min="5143" max="5143" width="7.81640625" style="1764" customWidth="1"/>
    <col min="5144" max="5378" width="9.1796875" style="1764"/>
    <col min="5379" max="5379" width="3.7265625" style="1764" customWidth="1"/>
    <col min="5380" max="5380" width="14.453125" style="1764" customWidth="1"/>
    <col min="5381" max="5381" width="3.7265625" style="1764" customWidth="1"/>
    <col min="5382" max="5382" width="25.54296875" style="1764" customWidth="1"/>
    <col min="5383" max="5393" width="7.453125" style="1764" customWidth="1"/>
    <col min="5394" max="5396" width="6.54296875" style="1764" customWidth="1"/>
    <col min="5397" max="5398" width="9.1796875" style="1764"/>
    <col min="5399" max="5399" width="7.81640625" style="1764" customWidth="1"/>
    <col min="5400" max="5634" width="9.1796875" style="1764"/>
    <col min="5635" max="5635" width="3.7265625" style="1764" customWidth="1"/>
    <col min="5636" max="5636" width="14.453125" style="1764" customWidth="1"/>
    <col min="5637" max="5637" width="3.7265625" style="1764" customWidth="1"/>
    <col min="5638" max="5638" width="25.54296875" style="1764" customWidth="1"/>
    <col min="5639" max="5649" width="7.453125" style="1764" customWidth="1"/>
    <col min="5650" max="5652" width="6.54296875" style="1764" customWidth="1"/>
    <col min="5653" max="5654" width="9.1796875" style="1764"/>
    <col min="5655" max="5655" width="7.81640625" style="1764" customWidth="1"/>
    <col min="5656" max="5890" width="9.1796875" style="1764"/>
    <col min="5891" max="5891" width="3.7265625" style="1764" customWidth="1"/>
    <col min="5892" max="5892" width="14.453125" style="1764" customWidth="1"/>
    <col min="5893" max="5893" width="3.7265625" style="1764" customWidth="1"/>
    <col min="5894" max="5894" width="25.54296875" style="1764" customWidth="1"/>
    <col min="5895" max="5905" width="7.453125" style="1764" customWidth="1"/>
    <col min="5906" max="5908" width="6.54296875" style="1764" customWidth="1"/>
    <col min="5909" max="5910" width="9.1796875" style="1764"/>
    <col min="5911" max="5911" width="7.81640625" style="1764" customWidth="1"/>
    <col min="5912" max="6146" width="9.1796875" style="1764"/>
    <col min="6147" max="6147" width="3.7265625" style="1764" customWidth="1"/>
    <col min="6148" max="6148" width="14.453125" style="1764" customWidth="1"/>
    <col min="6149" max="6149" width="3.7265625" style="1764" customWidth="1"/>
    <col min="6150" max="6150" width="25.54296875" style="1764" customWidth="1"/>
    <col min="6151" max="6161" width="7.453125" style="1764" customWidth="1"/>
    <col min="6162" max="6164" width="6.54296875" style="1764" customWidth="1"/>
    <col min="6165" max="6166" width="9.1796875" style="1764"/>
    <col min="6167" max="6167" width="7.81640625" style="1764" customWidth="1"/>
    <col min="6168" max="6402" width="9.1796875" style="1764"/>
    <col min="6403" max="6403" width="3.7265625" style="1764" customWidth="1"/>
    <col min="6404" max="6404" width="14.453125" style="1764" customWidth="1"/>
    <col min="6405" max="6405" width="3.7265625" style="1764" customWidth="1"/>
    <col min="6406" max="6406" width="25.54296875" style="1764" customWidth="1"/>
    <col min="6407" max="6417" width="7.453125" style="1764" customWidth="1"/>
    <col min="6418" max="6420" width="6.54296875" style="1764" customWidth="1"/>
    <col min="6421" max="6422" width="9.1796875" style="1764"/>
    <col min="6423" max="6423" width="7.81640625" style="1764" customWidth="1"/>
    <col min="6424" max="6658" width="9.1796875" style="1764"/>
    <col min="6659" max="6659" width="3.7265625" style="1764" customWidth="1"/>
    <col min="6660" max="6660" width="14.453125" style="1764" customWidth="1"/>
    <col min="6661" max="6661" width="3.7265625" style="1764" customWidth="1"/>
    <col min="6662" max="6662" width="25.54296875" style="1764" customWidth="1"/>
    <col min="6663" max="6673" width="7.453125" style="1764" customWidth="1"/>
    <col min="6674" max="6676" width="6.54296875" style="1764" customWidth="1"/>
    <col min="6677" max="6678" width="9.1796875" style="1764"/>
    <col min="6679" max="6679" width="7.81640625" style="1764" customWidth="1"/>
    <col min="6680" max="6914" width="9.1796875" style="1764"/>
    <col min="6915" max="6915" width="3.7265625" style="1764" customWidth="1"/>
    <col min="6916" max="6916" width="14.453125" style="1764" customWidth="1"/>
    <col min="6917" max="6917" width="3.7265625" style="1764" customWidth="1"/>
    <col min="6918" max="6918" width="25.54296875" style="1764" customWidth="1"/>
    <col min="6919" max="6929" width="7.453125" style="1764" customWidth="1"/>
    <col min="6930" max="6932" width="6.54296875" style="1764" customWidth="1"/>
    <col min="6933" max="6934" width="9.1796875" style="1764"/>
    <col min="6935" max="6935" width="7.81640625" style="1764" customWidth="1"/>
    <col min="6936" max="7170" width="9.1796875" style="1764"/>
    <col min="7171" max="7171" width="3.7265625" style="1764" customWidth="1"/>
    <col min="7172" max="7172" width="14.453125" style="1764" customWidth="1"/>
    <col min="7173" max="7173" width="3.7265625" style="1764" customWidth="1"/>
    <col min="7174" max="7174" width="25.54296875" style="1764" customWidth="1"/>
    <col min="7175" max="7185" width="7.453125" style="1764" customWidth="1"/>
    <col min="7186" max="7188" width="6.54296875" style="1764" customWidth="1"/>
    <col min="7189" max="7190" width="9.1796875" style="1764"/>
    <col min="7191" max="7191" width="7.81640625" style="1764" customWidth="1"/>
    <col min="7192" max="7426" width="9.1796875" style="1764"/>
    <col min="7427" max="7427" width="3.7265625" style="1764" customWidth="1"/>
    <col min="7428" max="7428" width="14.453125" style="1764" customWidth="1"/>
    <col min="7429" max="7429" width="3.7265625" style="1764" customWidth="1"/>
    <col min="7430" max="7430" width="25.54296875" style="1764" customWidth="1"/>
    <col min="7431" max="7441" width="7.453125" style="1764" customWidth="1"/>
    <col min="7442" max="7444" width="6.54296875" style="1764" customWidth="1"/>
    <col min="7445" max="7446" width="9.1796875" style="1764"/>
    <col min="7447" max="7447" width="7.81640625" style="1764" customWidth="1"/>
    <col min="7448" max="7682" width="9.1796875" style="1764"/>
    <col min="7683" max="7683" width="3.7265625" style="1764" customWidth="1"/>
    <col min="7684" max="7684" width="14.453125" style="1764" customWidth="1"/>
    <col min="7685" max="7685" width="3.7265625" style="1764" customWidth="1"/>
    <col min="7686" max="7686" width="25.54296875" style="1764" customWidth="1"/>
    <col min="7687" max="7697" width="7.453125" style="1764" customWidth="1"/>
    <col min="7698" max="7700" width="6.54296875" style="1764" customWidth="1"/>
    <col min="7701" max="7702" width="9.1796875" style="1764"/>
    <col min="7703" max="7703" width="7.81640625" style="1764" customWidth="1"/>
    <col min="7704" max="7938" width="9.1796875" style="1764"/>
    <col min="7939" max="7939" width="3.7265625" style="1764" customWidth="1"/>
    <col min="7940" max="7940" width="14.453125" style="1764" customWidth="1"/>
    <col min="7941" max="7941" width="3.7265625" style="1764" customWidth="1"/>
    <col min="7942" max="7942" width="25.54296875" style="1764" customWidth="1"/>
    <col min="7943" max="7953" width="7.453125" style="1764" customWidth="1"/>
    <col min="7954" max="7956" width="6.54296875" style="1764" customWidth="1"/>
    <col min="7957" max="7958" width="9.1796875" style="1764"/>
    <col min="7959" max="7959" width="7.81640625" style="1764" customWidth="1"/>
    <col min="7960" max="8194" width="9.1796875" style="1764"/>
    <col min="8195" max="8195" width="3.7265625" style="1764" customWidth="1"/>
    <col min="8196" max="8196" width="14.453125" style="1764" customWidth="1"/>
    <col min="8197" max="8197" width="3.7265625" style="1764" customWidth="1"/>
    <col min="8198" max="8198" width="25.54296875" style="1764" customWidth="1"/>
    <col min="8199" max="8209" width="7.453125" style="1764" customWidth="1"/>
    <col min="8210" max="8212" width="6.54296875" style="1764" customWidth="1"/>
    <col min="8213" max="8214" width="9.1796875" style="1764"/>
    <col min="8215" max="8215" width="7.81640625" style="1764" customWidth="1"/>
    <col min="8216" max="8450" width="9.1796875" style="1764"/>
    <col min="8451" max="8451" width="3.7265625" style="1764" customWidth="1"/>
    <col min="8452" max="8452" width="14.453125" style="1764" customWidth="1"/>
    <col min="8453" max="8453" width="3.7265625" style="1764" customWidth="1"/>
    <col min="8454" max="8454" width="25.54296875" style="1764" customWidth="1"/>
    <col min="8455" max="8465" width="7.453125" style="1764" customWidth="1"/>
    <col min="8466" max="8468" width="6.54296875" style="1764" customWidth="1"/>
    <col min="8469" max="8470" width="9.1796875" style="1764"/>
    <col min="8471" max="8471" width="7.81640625" style="1764" customWidth="1"/>
    <col min="8472" max="8706" width="9.1796875" style="1764"/>
    <col min="8707" max="8707" width="3.7265625" style="1764" customWidth="1"/>
    <col min="8708" max="8708" width="14.453125" style="1764" customWidth="1"/>
    <col min="8709" max="8709" width="3.7265625" style="1764" customWidth="1"/>
    <col min="8710" max="8710" width="25.54296875" style="1764" customWidth="1"/>
    <col min="8711" max="8721" width="7.453125" style="1764" customWidth="1"/>
    <col min="8722" max="8724" width="6.54296875" style="1764" customWidth="1"/>
    <col min="8725" max="8726" width="9.1796875" style="1764"/>
    <col min="8727" max="8727" width="7.81640625" style="1764" customWidth="1"/>
    <col min="8728" max="8962" width="9.1796875" style="1764"/>
    <col min="8963" max="8963" width="3.7265625" style="1764" customWidth="1"/>
    <col min="8964" max="8964" width="14.453125" style="1764" customWidth="1"/>
    <col min="8965" max="8965" width="3.7265625" style="1764" customWidth="1"/>
    <col min="8966" max="8966" width="25.54296875" style="1764" customWidth="1"/>
    <col min="8967" max="8977" width="7.453125" style="1764" customWidth="1"/>
    <col min="8978" max="8980" width="6.54296875" style="1764" customWidth="1"/>
    <col min="8981" max="8982" width="9.1796875" style="1764"/>
    <col min="8983" max="8983" width="7.81640625" style="1764" customWidth="1"/>
    <col min="8984" max="9218" width="9.1796875" style="1764"/>
    <col min="9219" max="9219" width="3.7265625" style="1764" customWidth="1"/>
    <col min="9220" max="9220" width="14.453125" style="1764" customWidth="1"/>
    <col min="9221" max="9221" width="3.7265625" style="1764" customWidth="1"/>
    <col min="9222" max="9222" width="25.54296875" style="1764" customWidth="1"/>
    <col min="9223" max="9233" width="7.453125" style="1764" customWidth="1"/>
    <col min="9234" max="9236" width="6.54296875" style="1764" customWidth="1"/>
    <col min="9237" max="9238" width="9.1796875" style="1764"/>
    <col min="9239" max="9239" width="7.81640625" style="1764" customWidth="1"/>
    <col min="9240" max="9474" width="9.1796875" style="1764"/>
    <col min="9475" max="9475" width="3.7265625" style="1764" customWidth="1"/>
    <col min="9476" max="9476" width="14.453125" style="1764" customWidth="1"/>
    <col min="9477" max="9477" width="3.7265625" style="1764" customWidth="1"/>
    <col min="9478" max="9478" width="25.54296875" style="1764" customWidth="1"/>
    <col min="9479" max="9489" width="7.453125" style="1764" customWidth="1"/>
    <col min="9490" max="9492" width="6.54296875" style="1764" customWidth="1"/>
    <col min="9493" max="9494" width="9.1796875" style="1764"/>
    <col min="9495" max="9495" width="7.81640625" style="1764" customWidth="1"/>
    <col min="9496" max="9730" width="9.1796875" style="1764"/>
    <col min="9731" max="9731" width="3.7265625" style="1764" customWidth="1"/>
    <col min="9732" max="9732" width="14.453125" style="1764" customWidth="1"/>
    <col min="9733" max="9733" width="3.7265625" style="1764" customWidth="1"/>
    <col min="9734" max="9734" width="25.54296875" style="1764" customWidth="1"/>
    <col min="9735" max="9745" width="7.453125" style="1764" customWidth="1"/>
    <col min="9746" max="9748" width="6.54296875" style="1764" customWidth="1"/>
    <col min="9749" max="9750" width="9.1796875" style="1764"/>
    <col min="9751" max="9751" width="7.81640625" style="1764" customWidth="1"/>
    <col min="9752" max="9986" width="9.1796875" style="1764"/>
    <col min="9987" max="9987" width="3.7265625" style="1764" customWidth="1"/>
    <col min="9988" max="9988" width="14.453125" style="1764" customWidth="1"/>
    <col min="9989" max="9989" width="3.7265625" style="1764" customWidth="1"/>
    <col min="9990" max="9990" width="25.54296875" style="1764" customWidth="1"/>
    <col min="9991" max="10001" width="7.453125" style="1764" customWidth="1"/>
    <col min="10002" max="10004" width="6.54296875" style="1764" customWidth="1"/>
    <col min="10005" max="10006" width="9.1796875" style="1764"/>
    <col min="10007" max="10007" width="7.81640625" style="1764" customWidth="1"/>
    <col min="10008" max="10242" width="9.1796875" style="1764"/>
    <col min="10243" max="10243" width="3.7265625" style="1764" customWidth="1"/>
    <col min="10244" max="10244" width="14.453125" style="1764" customWidth="1"/>
    <col min="10245" max="10245" width="3.7265625" style="1764" customWidth="1"/>
    <col min="10246" max="10246" width="25.54296875" style="1764" customWidth="1"/>
    <col min="10247" max="10257" width="7.453125" style="1764" customWidth="1"/>
    <col min="10258" max="10260" width="6.54296875" style="1764" customWidth="1"/>
    <col min="10261" max="10262" width="9.1796875" style="1764"/>
    <col min="10263" max="10263" width="7.81640625" style="1764" customWidth="1"/>
    <col min="10264" max="10498" width="9.1796875" style="1764"/>
    <col min="10499" max="10499" width="3.7265625" style="1764" customWidth="1"/>
    <col min="10500" max="10500" width="14.453125" style="1764" customWidth="1"/>
    <col min="10501" max="10501" width="3.7265625" style="1764" customWidth="1"/>
    <col min="10502" max="10502" width="25.54296875" style="1764" customWidth="1"/>
    <col min="10503" max="10513" width="7.453125" style="1764" customWidth="1"/>
    <col min="10514" max="10516" width="6.54296875" style="1764" customWidth="1"/>
    <col min="10517" max="10518" width="9.1796875" style="1764"/>
    <col min="10519" max="10519" width="7.81640625" style="1764" customWidth="1"/>
    <col min="10520" max="10754" width="9.1796875" style="1764"/>
    <col min="10755" max="10755" width="3.7265625" style="1764" customWidth="1"/>
    <col min="10756" max="10756" width="14.453125" style="1764" customWidth="1"/>
    <col min="10757" max="10757" width="3.7265625" style="1764" customWidth="1"/>
    <col min="10758" max="10758" width="25.54296875" style="1764" customWidth="1"/>
    <col min="10759" max="10769" width="7.453125" style="1764" customWidth="1"/>
    <col min="10770" max="10772" width="6.54296875" style="1764" customWidth="1"/>
    <col min="10773" max="10774" width="9.1796875" style="1764"/>
    <col min="10775" max="10775" width="7.81640625" style="1764" customWidth="1"/>
    <col min="10776" max="11010" width="9.1796875" style="1764"/>
    <col min="11011" max="11011" width="3.7265625" style="1764" customWidth="1"/>
    <col min="11012" max="11012" width="14.453125" style="1764" customWidth="1"/>
    <col min="11013" max="11013" width="3.7265625" style="1764" customWidth="1"/>
    <col min="11014" max="11014" width="25.54296875" style="1764" customWidth="1"/>
    <col min="11015" max="11025" width="7.453125" style="1764" customWidth="1"/>
    <col min="11026" max="11028" width="6.54296875" style="1764" customWidth="1"/>
    <col min="11029" max="11030" width="9.1796875" style="1764"/>
    <col min="11031" max="11031" width="7.81640625" style="1764" customWidth="1"/>
    <col min="11032" max="11266" width="9.1796875" style="1764"/>
    <col min="11267" max="11267" width="3.7265625" style="1764" customWidth="1"/>
    <col min="11268" max="11268" width="14.453125" style="1764" customWidth="1"/>
    <col min="11269" max="11269" width="3.7265625" style="1764" customWidth="1"/>
    <col min="11270" max="11270" width="25.54296875" style="1764" customWidth="1"/>
    <col min="11271" max="11281" width="7.453125" style="1764" customWidth="1"/>
    <col min="11282" max="11284" width="6.54296875" style="1764" customWidth="1"/>
    <col min="11285" max="11286" width="9.1796875" style="1764"/>
    <col min="11287" max="11287" width="7.81640625" style="1764" customWidth="1"/>
    <col min="11288" max="11522" width="9.1796875" style="1764"/>
    <col min="11523" max="11523" width="3.7265625" style="1764" customWidth="1"/>
    <col min="11524" max="11524" width="14.453125" style="1764" customWidth="1"/>
    <col min="11525" max="11525" width="3.7265625" style="1764" customWidth="1"/>
    <col min="11526" max="11526" width="25.54296875" style="1764" customWidth="1"/>
    <col min="11527" max="11537" width="7.453125" style="1764" customWidth="1"/>
    <col min="11538" max="11540" width="6.54296875" style="1764" customWidth="1"/>
    <col min="11541" max="11542" width="9.1796875" style="1764"/>
    <col min="11543" max="11543" width="7.81640625" style="1764" customWidth="1"/>
    <col min="11544" max="11778" width="9.1796875" style="1764"/>
    <col min="11779" max="11779" width="3.7265625" style="1764" customWidth="1"/>
    <col min="11780" max="11780" width="14.453125" style="1764" customWidth="1"/>
    <col min="11781" max="11781" width="3.7265625" style="1764" customWidth="1"/>
    <col min="11782" max="11782" width="25.54296875" style="1764" customWidth="1"/>
    <col min="11783" max="11793" width="7.453125" style="1764" customWidth="1"/>
    <col min="11794" max="11796" width="6.54296875" style="1764" customWidth="1"/>
    <col min="11797" max="11798" width="9.1796875" style="1764"/>
    <col min="11799" max="11799" width="7.81640625" style="1764" customWidth="1"/>
    <col min="11800" max="12034" width="9.1796875" style="1764"/>
    <col min="12035" max="12035" width="3.7265625" style="1764" customWidth="1"/>
    <col min="12036" max="12036" width="14.453125" style="1764" customWidth="1"/>
    <col min="12037" max="12037" width="3.7265625" style="1764" customWidth="1"/>
    <col min="12038" max="12038" width="25.54296875" style="1764" customWidth="1"/>
    <col min="12039" max="12049" width="7.453125" style="1764" customWidth="1"/>
    <col min="12050" max="12052" width="6.54296875" style="1764" customWidth="1"/>
    <col min="12053" max="12054" width="9.1796875" style="1764"/>
    <col min="12055" max="12055" width="7.81640625" style="1764" customWidth="1"/>
    <col min="12056" max="12290" width="9.1796875" style="1764"/>
    <col min="12291" max="12291" width="3.7265625" style="1764" customWidth="1"/>
    <col min="12292" max="12292" width="14.453125" style="1764" customWidth="1"/>
    <col min="12293" max="12293" width="3.7265625" style="1764" customWidth="1"/>
    <col min="12294" max="12294" width="25.54296875" style="1764" customWidth="1"/>
    <col min="12295" max="12305" width="7.453125" style="1764" customWidth="1"/>
    <col min="12306" max="12308" width="6.54296875" style="1764" customWidth="1"/>
    <col min="12309" max="12310" width="9.1796875" style="1764"/>
    <col min="12311" max="12311" width="7.81640625" style="1764" customWidth="1"/>
    <col min="12312" max="12546" width="9.1796875" style="1764"/>
    <col min="12547" max="12547" width="3.7265625" style="1764" customWidth="1"/>
    <col min="12548" max="12548" width="14.453125" style="1764" customWidth="1"/>
    <col min="12549" max="12549" width="3.7265625" style="1764" customWidth="1"/>
    <col min="12550" max="12550" width="25.54296875" style="1764" customWidth="1"/>
    <col min="12551" max="12561" width="7.453125" style="1764" customWidth="1"/>
    <col min="12562" max="12564" width="6.54296875" style="1764" customWidth="1"/>
    <col min="12565" max="12566" width="9.1796875" style="1764"/>
    <col min="12567" max="12567" width="7.81640625" style="1764" customWidth="1"/>
    <col min="12568" max="12802" width="9.1796875" style="1764"/>
    <col min="12803" max="12803" width="3.7265625" style="1764" customWidth="1"/>
    <col min="12804" max="12804" width="14.453125" style="1764" customWidth="1"/>
    <col min="12805" max="12805" width="3.7265625" style="1764" customWidth="1"/>
    <col min="12806" max="12806" width="25.54296875" style="1764" customWidth="1"/>
    <col min="12807" max="12817" width="7.453125" style="1764" customWidth="1"/>
    <col min="12818" max="12820" width="6.54296875" style="1764" customWidth="1"/>
    <col min="12821" max="12822" width="9.1796875" style="1764"/>
    <col min="12823" max="12823" width="7.81640625" style="1764" customWidth="1"/>
    <col min="12824" max="13058" width="9.1796875" style="1764"/>
    <col min="13059" max="13059" width="3.7265625" style="1764" customWidth="1"/>
    <col min="13060" max="13060" width="14.453125" style="1764" customWidth="1"/>
    <col min="13061" max="13061" width="3.7265625" style="1764" customWidth="1"/>
    <col min="13062" max="13062" width="25.54296875" style="1764" customWidth="1"/>
    <col min="13063" max="13073" width="7.453125" style="1764" customWidth="1"/>
    <col min="13074" max="13076" width="6.54296875" style="1764" customWidth="1"/>
    <col min="13077" max="13078" width="9.1796875" style="1764"/>
    <col min="13079" max="13079" width="7.81640625" style="1764" customWidth="1"/>
    <col min="13080" max="13314" width="9.1796875" style="1764"/>
    <col min="13315" max="13315" width="3.7265625" style="1764" customWidth="1"/>
    <col min="13316" max="13316" width="14.453125" style="1764" customWidth="1"/>
    <col min="13317" max="13317" width="3.7265625" style="1764" customWidth="1"/>
    <col min="13318" max="13318" width="25.54296875" style="1764" customWidth="1"/>
    <col min="13319" max="13329" width="7.453125" style="1764" customWidth="1"/>
    <col min="13330" max="13332" width="6.54296875" style="1764" customWidth="1"/>
    <col min="13333" max="13334" width="9.1796875" style="1764"/>
    <col min="13335" max="13335" width="7.81640625" style="1764" customWidth="1"/>
    <col min="13336" max="13570" width="9.1796875" style="1764"/>
    <col min="13571" max="13571" width="3.7265625" style="1764" customWidth="1"/>
    <col min="13572" max="13572" width="14.453125" style="1764" customWidth="1"/>
    <col min="13573" max="13573" width="3.7265625" style="1764" customWidth="1"/>
    <col min="13574" max="13574" width="25.54296875" style="1764" customWidth="1"/>
    <col min="13575" max="13585" width="7.453125" style="1764" customWidth="1"/>
    <col min="13586" max="13588" width="6.54296875" style="1764" customWidth="1"/>
    <col min="13589" max="13590" width="9.1796875" style="1764"/>
    <col min="13591" max="13591" width="7.81640625" style="1764" customWidth="1"/>
    <col min="13592" max="13826" width="9.1796875" style="1764"/>
    <col min="13827" max="13827" width="3.7265625" style="1764" customWidth="1"/>
    <col min="13828" max="13828" width="14.453125" style="1764" customWidth="1"/>
    <col min="13829" max="13829" width="3.7265625" style="1764" customWidth="1"/>
    <col min="13830" max="13830" width="25.54296875" style="1764" customWidth="1"/>
    <col min="13831" max="13841" width="7.453125" style="1764" customWidth="1"/>
    <col min="13842" max="13844" width="6.54296875" style="1764" customWidth="1"/>
    <col min="13845" max="13846" width="9.1796875" style="1764"/>
    <col min="13847" max="13847" width="7.81640625" style="1764" customWidth="1"/>
    <col min="13848" max="14082" width="9.1796875" style="1764"/>
    <col min="14083" max="14083" width="3.7265625" style="1764" customWidth="1"/>
    <col min="14084" max="14084" width="14.453125" style="1764" customWidth="1"/>
    <col min="14085" max="14085" width="3.7265625" style="1764" customWidth="1"/>
    <col min="14086" max="14086" width="25.54296875" style="1764" customWidth="1"/>
    <col min="14087" max="14097" width="7.453125" style="1764" customWidth="1"/>
    <col min="14098" max="14100" width="6.54296875" style="1764" customWidth="1"/>
    <col min="14101" max="14102" width="9.1796875" style="1764"/>
    <col min="14103" max="14103" width="7.81640625" style="1764" customWidth="1"/>
    <col min="14104" max="14338" width="9.1796875" style="1764"/>
    <col min="14339" max="14339" width="3.7265625" style="1764" customWidth="1"/>
    <col min="14340" max="14340" width="14.453125" style="1764" customWidth="1"/>
    <col min="14341" max="14341" width="3.7265625" style="1764" customWidth="1"/>
    <col min="14342" max="14342" width="25.54296875" style="1764" customWidth="1"/>
    <col min="14343" max="14353" width="7.453125" style="1764" customWidth="1"/>
    <col min="14354" max="14356" width="6.54296875" style="1764" customWidth="1"/>
    <col min="14357" max="14358" width="9.1796875" style="1764"/>
    <col min="14359" max="14359" width="7.81640625" style="1764" customWidth="1"/>
    <col min="14360" max="14594" width="9.1796875" style="1764"/>
    <col min="14595" max="14595" width="3.7265625" style="1764" customWidth="1"/>
    <col min="14596" max="14596" width="14.453125" style="1764" customWidth="1"/>
    <col min="14597" max="14597" width="3.7265625" style="1764" customWidth="1"/>
    <col min="14598" max="14598" width="25.54296875" style="1764" customWidth="1"/>
    <col min="14599" max="14609" width="7.453125" style="1764" customWidth="1"/>
    <col min="14610" max="14612" width="6.54296875" style="1764" customWidth="1"/>
    <col min="14613" max="14614" width="9.1796875" style="1764"/>
    <col min="14615" max="14615" width="7.81640625" style="1764" customWidth="1"/>
    <col min="14616" max="14850" width="9.1796875" style="1764"/>
    <col min="14851" max="14851" width="3.7265625" style="1764" customWidth="1"/>
    <col min="14852" max="14852" width="14.453125" style="1764" customWidth="1"/>
    <col min="14853" max="14853" width="3.7265625" style="1764" customWidth="1"/>
    <col min="14854" max="14854" width="25.54296875" style="1764" customWidth="1"/>
    <col min="14855" max="14865" width="7.453125" style="1764" customWidth="1"/>
    <col min="14866" max="14868" width="6.54296875" style="1764" customWidth="1"/>
    <col min="14869" max="14870" width="9.1796875" style="1764"/>
    <col min="14871" max="14871" width="7.81640625" style="1764" customWidth="1"/>
    <col min="14872" max="15106" width="9.1796875" style="1764"/>
    <col min="15107" max="15107" width="3.7265625" style="1764" customWidth="1"/>
    <col min="15108" max="15108" width="14.453125" style="1764" customWidth="1"/>
    <col min="15109" max="15109" width="3.7265625" style="1764" customWidth="1"/>
    <col min="15110" max="15110" width="25.54296875" style="1764" customWidth="1"/>
    <col min="15111" max="15121" width="7.453125" style="1764" customWidth="1"/>
    <col min="15122" max="15124" width="6.54296875" style="1764" customWidth="1"/>
    <col min="15125" max="15126" width="9.1796875" style="1764"/>
    <col min="15127" max="15127" width="7.81640625" style="1764" customWidth="1"/>
    <col min="15128" max="15362" width="9.1796875" style="1764"/>
    <col min="15363" max="15363" width="3.7265625" style="1764" customWidth="1"/>
    <col min="15364" max="15364" width="14.453125" style="1764" customWidth="1"/>
    <col min="15365" max="15365" width="3.7265625" style="1764" customWidth="1"/>
    <col min="15366" max="15366" width="25.54296875" style="1764" customWidth="1"/>
    <col min="15367" max="15377" width="7.453125" style="1764" customWidth="1"/>
    <col min="15378" max="15380" width="6.54296875" style="1764" customWidth="1"/>
    <col min="15381" max="15382" width="9.1796875" style="1764"/>
    <col min="15383" max="15383" width="7.81640625" style="1764" customWidth="1"/>
    <col min="15384" max="15618" width="9.1796875" style="1764"/>
    <col min="15619" max="15619" width="3.7265625" style="1764" customWidth="1"/>
    <col min="15620" max="15620" width="14.453125" style="1764" customWidth="1"/>
    <col min="15621" max="15621" width="3.7265625" style="1764" customWidth="1"/>
    <col min="15622" max="15622" width="25.54296875" style="1764" customWidth="1"/>
    <col min="15623" max="15633" width="7.453125" style="1764" customWidth="1"/>
    <col min="15634" max="15636" width="6.54296875" style="1764" customWidth="1"/>
    <col min="15637" max="15638" width="9.1796875" style="1764"/>
    <col min="15639" max="15639" width="7.81640625" style="1764" customWidth="1"/>
    <col min="15640" max="15874" width="9.1796875" style="1764"/>
    <col min="15875" max="15875" width="3.7265625" style="1764" customWidth="1"/>
    <col min="15876" max="15876" width="14.453125" style="1764" customWidth="1"/>
    <col min="15877" max="15877" width="3.7265625" style="1764" customWidth="1"/>
    <col min="15878" max="15878" width="25.54296875" style="1764" customWidth="1"/>
    <col min="15879" max="15889" width="7.453125" style="1764" customWidth="1"/>
    <col min="15890" max="15892" width="6.54296875" style="1764" customWidth="1"/>
    <col min="15893" max="15894" width="9.1796875" style="1764"/>
    <col min="15895" max="15895" width="7.81640625" style="1764" customWidth="1"/>
    <col min="15896" max="16130" width="9.1796875" style="1764"/>
    <col min="16131" max="16131" width="3.7265625" style="1764" customWidth="1"/>
    <col min="16132" max="16132" width="14.453125" style="1764" customWidth="1"/>
    <col min="16133" max="16133" width="3.7265625" style="1764" customWidth="1"/>
    <col min="16134" max="16134" width="25.54296875" style="1764" customWidth="1"/>
    <col min="16135" max="16145" width="7.453125" style="1764" customWidth="1"/>
    <col min="16146" max="16148" width="6.54296875" style="1764" customWidth="1"/>
    <col min="16149" max="16150" width="9.1796875" style="1764"/>
    <col min="16151" max="16151" width="7.81640625" style="1764" customWidth="1"/>
    <col min="16152" max="16384" width="9.1796875" style="1764"/>
  </cols>
  <sheetData>
    <row r="1" spans="1:27" x14ac:dyDescent="0.3">
      <c r="R1" s="1764" t="s">
        <v>143</v>
      </c>
    </row>
    <row r="2" spans="1:27" ht="14.15" customHeight="1" x14ac:dyDescent="0.3">
      <c r="A2" s="1255">
        <v>1</v>
      </c>
      <c r="B2" s="1255" t="s">
        <v>0</v>
      </c>
      <c r="C2" s="1255">
        <v>33</v>
      </c>
      <c r="D2" s="4715" t="s">
        <v>782</v>
      </c>
      <c r="E2" s="4716"/>
      <c r="F2" s="4716"/>
      <c r="G2" s="4716"/>
      <c r="H2" s="4716"/>
      <c r="I2" s="4716"/>
      <c r="J2" s="4716"/>
      <c r="K2" s="4716"/>
      <c r="L2" s="4716"/>
      <c r="M2" s="4716"/>
      <c r="N2" s="4716"/>
      <c r="O2" s="4716"/>
      <c r="P2" s="4716"/>
      <c r="Q2" s="4716"/>
      <c r="R2" s="4716"/>
      <c r="S2" s="4716"/>
      <c r="T2" s="4716"/>
      <c r="U2" s="4716"/>
      <c r="V2" s="4716"/>
      <c r="W2" s="4716"/>
      <c r="X2" s="4716"/>
      <c r="Y2" s="4717"/>
    </row>
    <row r="3" spans="1:27" ht="14.15" customHeight="1" x14ac:dyDescent="0.3">
      <c r="A3" s="1255">
        <v>2</v>
      </c>
      <c r="B3" s="1255" t="s">
        <v>2</v>
      </c>
      <c r="C3" s="1255"/>
      <c r="D3" s="4715" t="s">
        <v>761</v>
      </c>
      <c r="E3" s="4716"/>
      <c r="F3" s="4716"/>
      <c r="G3" s="4716"/>
      <c r="H3" s="4716"/>
      <c r="I3" s="4716"/>
      <c r="J3" s="4716"/>
      <c r="K3" s="4716"/>
      <c r="L3" s="4716"/>
      <c r="M3" s="4716"/>
      <c r="N3" s="4716"/>
      <c r="O3" s="4716"/>
      <c r="P3" s="4716"/>
      <c r="Q3" s="4716"/>
      <c r="R3" s="4716"/>
      <c r="S3" s="4716"/>
      <c r="T3" s="4716"/>
      <c r="U3" s="4716"/>
      <c r="V3" s="4716"/>
      <c r="W3" s="4716"/>
      <c r="X3" s="4716"/>
      <c r="Y3" s="4717"/>
    </row>
    <row r="4" spans="1:27" ht="14.15" customHeight="1" x14ac:dyDescent="0.3">
      <c r="A4" s="1255">
        <v>3</v>
      </c>
      <c r="B4" s="1255" t="s">
        <v>4</v>
      </c>
      <c r="C4" s="1255"/>
      <c r="D4" s="4715" t="s">
        <v>762</v>
      </c>
      <c r="E4" s="4716"/>
      <c r="F4" s="4716"/>
      <c r="G4" s="4716"/>
      <c r="H4" s="4716"/>
      <c r="I4" s="4716"/>
      <c r="J4" s="4716"/>
      <c r="K4" s="4716"/>
      <c r="L4" s="4716"/>
      <c r="M4" s="4716"/>
      <c r="N4" s="4716"/>
      <c r="O4" s="4716"/>
      <c r="P4" s="4716"/>
      <c r="Q4" s="4716"/>
      <c r="R4" s="4716"/>
      <c r="S4" s="4716"/>
      <c r="T4" s="4716"/>
      <c r="U4" s="4716"/>
      <c r="V4" s="4716"/>
      <c r="W4" s="4716"/>
      <c r="X4" s="4716"/>
      <c r="Y4" s="4717"/>
    </row>
    <row r="5" spans="1:27" ht="29.25" customHeight="1" x14ac:dyDescent="0.3">
      <c r="A5" s="1255">
        <v>4</v>
      </c>
      <c r="B5" s="1255" t="s">
        <v>763</v>
      </c>
      <c r="C5" s="1255"/>
      <c r="D5" s="4715" t="s">
        <v>783</v>
      </c>
      <c r="E5" s="4716"/>
      <c r="F5" s="4716"/>
      <c r="G5" s="4716"/>
      <c r="H5" s="4716"/>
      <c r="I5" s="4716"/>
      <c r="J5" s="4716"/>
      <c r="K5" s="4716"/>
      <c r="L5" s="4716"/>
      <c r="M5" s="4716"/>
      <c r="N5" s="4716"/>
      <c r="O5" s="4716"/>
      <c r="P5" s="4716"/>
      <c r="Q5" s="4716"/>
      <c r="R5" s="4716"/>
      <c r="S5" s="4716"/>
      <c r="T5" s="4716"/>
      <c r="U5" s="4716"/>
      <c r="V5" s="4716"/>
      <c r="W5" s="4716"/>
      <c r="X5" s="4716"/>
      <c r="Y5" s="4717"/>
    </row>
    <row r="6" spans="1:27" ht="29.5" customHeight="1" x14ac:dyDescent="0.3">
      <c r="A6" s="1764"/>
      <c r="B6" s="1764"/>
      <c r="C6" s="728"/>
      <c r="D6" s="2126"/>
      <c r="E6" s="1257"/>
      <c r="F6" s="1257"/>
      <c r="G6" s="1257"/>
      <c r="H6" s="1257"/>
      <c r="I6" s="1257"/>
      <c r="J6" s="1257"/>
      <c r="K6" s="1257"/>
    </row>
    <row r="7" spans="1:27" x14ac:dyDescent="0.3">
      <c r="A7" s="1255">
        <v>5</v>
      </c>
      <c r="B7" s="728" t="s">
        <v>6</v>
      </c>
      <c r="C7" s="728"/>
      <c r="D7" s="2127" t="s">
        <v>7</v>
      </c>
      <c r="E7" s="2128" t="s">
        <v>784</v>
      </c>
      <c r="F7" s="1765"/>
      <c r="G7" s="785"/>
      <c r="H7" s="785"/>
      <c r="I7" s="1257"/>
      <c r="J7" s="1257"/>
      <c r="K7" s="1257"/>
    </row>
    <row r="8" spans="1:27" x14ac:dyDescent="0.3">
      <c r="A8" s="1255"/>
      <c r="B8" s="728"/>
      <c r="C8" s="728"/>
      <c r="D8" s="2129"/>
      <c r="E8" s="2130" t="s">
        <v>785</v>
      </c>
      <c r="F8" s="2131"/>
      <c r="G8" s="2131"/>
      <c r="H8" s="2131">
        <v>1998</v>
      </c>
      <c r="I8" s="2080">
        <v>2002</v>
      </c>
      <c r="J8" s="2080">
        <v>2003</v>
      </c>
      <c r="K8" s="2080">
        <v>2004</v>
      </c>
      <c r="L8" s="2080">
        <v>2005</v>
      </c>
      <c r="M8" s="2080">
        <v>2006</v>
      </c>
      <c r="N8" s="2080">
        <v>2007</v>
      </c>
      <c r="O8" s="2080">
        <v>2008</v>
      </c>
      <c r="P8" s="2080">
        <v>2009</v>
      </c>
      <c r="Q8" s="2080">
        <v>2010</v>
      </c>
      <c r="R8" s="2080">
        <v>2011</v>
      </c>
      <c r="S8" s="2080">
        <v>2012</v>
      </c>
      <c r="T8" s="2080">
        <v>2013</v>
      </c>
      <c r="U8" s="2080">
        <v>2014</v>
      </c>
      <c r="V8" s="2080">
        <v>2015</v>
      </c>
      <c r="W8" s="2081">
        <v>2016</v>
      </c>
      <c r="X8" s="2132">
        <v>2017</v>
      </c>
      <c r="Y8" s="2107">
        <v>2018</v>
      </c>
      <c r="Z8" s="2107">
        <v>2019</v>
      </c>
      <c r="AA8" s="2107">
        <v>2020</v>
      </c>
    </row>
    <row r="9" spans="1:27" x14ac:dyDescent="0.3">
      <c r="A9" s="1255"/>
      <c r="B9" s="728"/>
      <c r="C9" s="2133"/>
      <c r="D9" s="1677" t="s">
        <v>786</v>
      </c>
      <c r="E9" s="1270"/>
      <c r="F9" s="1270"/>
      <c r="G9" s="1270"/>
      <c r="H9" s="1270"/>
      <c r="I9" s="2495">
        <v>55.5</v>
      </c>
      <c r="J9" s="2495">
        <v>57.2</v>
      </c>
      <c r="K9" s="2495">
        <v>55.7</v>
      </c>
      <c r="L9" s="2495">
        <v>55.6</v>
      </c>
      <c r="M9" s="2495">
        <v>53.8</v>
      </c>
      <c r="N9" s="2495">
        <v>49.5</v>
      </c>
      <c r="O9" s="2495">
        <v>47.4</v>
      </c>
      <c r="P9" s="2495">
        <v>44</v>
      </c>
      <c r="Q9" s="2495">
        <v>38.200000000000003</v>
      </c>
      <c r="R9" s="2495">
        <v>36.9</v>
      </c>
      <c r="S9" s="2495">
        <v>34</v>
      </c>
      <c r="T9" s="2495">
        <v>31.7</v>
      </c>
      <c r="U9" s="2495">
        <v>30.3</v>
      </c>
      <c r="V9" s="2495">
        <v>29</v>
      </c>
      <c r="W9" s="2495">
        <v>27.9</v>
      </c>
      <c r="X9" s="2495">
        <v>26.9</v>
      </c>
      <c r="Y9" s="2495">
        <v>26</v>
      </c>
      <c r="Z9" s="2495">
        <v>24.7</v>
      </c>
      <c r="AA9" s="4527">
        <v>23.6</v>
      </c>
    </row>
    <row r="10" spans="1:27" x14ac:dyDescent="0.3">
      <c r="A10" s="1255"/>
      <c r="B10" s="728"/>
      <c r="C10" s="2133"/>
      <c r="D10" s="2135" t="s">
        <v>787</v>
      </c>
      <c r="E10" s="1272"/>
      <c r="F10" s="1272"/>
      <c r="G10" s="1272"/>
      <c r="H10" s="2136"/>
      <c r="I10" s="2123">
        <v>75.3</v>
      </c>
      <c r="J10" s="2123">
        <v>76.8</v>
      </c>
      <c r="K10" s="2123">
        <v>76.5</v>
      </c>
      <c r="L10" s="2123">
        <v>75.099999999999994</v>
      </c>
      <c r="M10" s="2123">
        <v>72.400000000000006</v>
      </c>
      <c r="N10" s="2123">
        <v>68</v>
      </c>
      <c r="O10" s="2123">
        <v>64</v>
      </c>
      <c r="P10" s="2123">
        <v>57.1</v>
      </c>
      <c r="Q10" s="2123">
        <v>53.5</v>
      </c>
      <c r="R10" s="2123">
        <v>48.8</v>
      </c>
      <c r="S10" s="2123">
        <v>44.1</v>
      </c>
      <c r="T10" s="2123">
        <v>41</v>
      </c>
      <c r="U10" s="2123">
        <v>39.799999999999997</v>
      </c>
      <c r="V10" s="2123">
        <v>39.200000000000003</v>
      </c>
      <c r="W10" s="2123">
        <v>38.700000000000003</v>
      </c>
      <c r="X10" s="2123">
        <v>38.200000000000003</v>
      </c>
      <c r="Y10" s="2123">
        <v>37.9</v>
      </c>
      <c r="Z10" s="2123">
        <v>36.5</v>
      </c>
      <c r="AA10" s="2498">
        <v>34.1</v>
      </c>
    </row>
    <row r="11" spans="1:27" hidden="1" x14ac:dyDescent="0.3">
      <c r="B11" s="1259"/>
      <c r="C11" s="1259"/>
      <c r="D11" s="1774"/>
      <c r="E11" s="1519">
        <v>1998</v>
      </c>
      <c r="F11" s="1519">
        <v>1999</v>
      </c>
      <c r="G11" s="1519">
        <v>2000</v>
      </c>
      <c r="H11" s="1519">
        <v>2001</v>
      </c>
      <c r="I11" s="1622">
        <v>2002</v>
      </c>
      <c r="J11" s="1622">
        <v>2003</v>
      </c>
      <c r="K11" s="1622">
        <v>2004</v>
      </c>
      <c r="L11" s="1622">
        <v>2005</v>
      </c>
      <c r="M11" s="1622">
        <v>2006</v>
      </c>
      <c r="N11" s="1622">
        <v>2007</v>
      </c>
      <c r="O11" s="1622">
        <v>2008</v>
      </c>
      <c r="P11" s="1622">
        <v>2009</v>
      </c>
      <c r="Q11" s="1622">
        <v>2010</v>
      </c>
      <c r="R11" s="1622">
        <v>2011</v>
      </c>
      <c r="S11" s="1622">
        <v>2012</v>
      </c>
      <c r="T11" s="1622">
        <v>2013</v>
      </c>
      <c r="U11" s="1622">
        <v>2014</v>
      </c>
      <c r="V11" s="2139">
        <v>2015</v>
      </c>
      <c r="W11" s="1765"/>
      <c r="X11" s="1765"/>
      <c r="Y11" s="2140"/>
      <c r="Z11" s="2138"/>
      <c r="AA11" s="2138"/>
    </row>
    <row r="12" spans="1:27" ht="15.75" hidden="1" customHeight="1" x14ac:dyDescent="0.3">
      <c r="B12" s="1259"/>
      <c r="C12" s="2133">
        <v>2</v>
      </c>
      <c r="D12" s="2141" t="s">
        <v>788</v>
      </c>
      <c r="E12" s="1765"/>
      <c r="F12" s="1765"/>
      <c r="G12" s="1765"/>
      <c r="H12" s="1765"/>
      <c r="I12" s="1765"/>
      <c r="J12" s="1765"/>
      <c r="K12" s="1765"/>
      <c r="L12" s="1765"/>
      <c r="M12" s="1765"/>
      <c r="N12" s="1765"/>
      <c r="O12" s="1765"/>
      <c r="P12" s="1765"/>
      <c r="Q12" s="1765"/>
      <c r="R12" s="1765"/>
      <c r="S12" s="1765"/>
      <c r="T12" s="1765"/>
      <c r="U12" s="1765"/>
      <c r="V12" s="2142"/>
      <c r="W12" s="1765"/>
      <c r="X12" s="1765"/>
      <c r="Y12" s="2140"/>
      <c r="Z12" s="2134"/>
      <c r="AA12" s="2134"/>
    </row>
    <row r="13" spans="1:27" ht="15.75" hidden="1" customHeight="1" x14ac:dyDescent="0.3">
      <c r="B13" s="2143"/>
      <c r="C13" s="2144"/>
      <c r="D13" s="1615" t="s">
        <v>789</v>
      </c>
      <c r="E13" s="1270"/>
      <c r="F13" s="1270"/>
      <c r="G13" s="1270"/>
      <c r="H13" s="1270">
        <v>28.8</v>
      </c>
      <c r="I13" s="1270">
        <v>33.1</v>
      </c>
      <c r="J13" s="1270">
        <v>36.5</v>
      </c>
      <c r="K13" s="1270">
        <v>38.1</v>
      </c>
      <c r="L13" s="1765"/>
      <c r="M13" s="1765"/>
      <c r="N13" s="1765"/>
      <c r="O13" s="1765"/>
      <c r="P13" s="1765"/>
      <c r="Q13" s="1765"/>
      <c r="R13" s="1765"/>
      <c r="S13" s="1765"/>
      <c r="T13" s="1765"/>
      <c r="U13" s="1765"/>
      <c r="V13" s="2142"/>
      <c r="W13" s="1765"/>
      <c r="X13" s="1765"/>
      <c r="Y13" s="2140"/>
      <c r="Z13" s="2134"/>
      <c r="AA13" s="2134"/>
    </row>
    <row r="14" spans="1:27" ht="15.75" hidden="1" customHeight="1" x14ac:dyDescent="0.3">
      <c r="B14" s="2143"/>
      <c r="C14" s="2144"/>
      <c r="D14" s="2145" t="s">
        <v>790</v>
      </c>
      <c r="E14" s="1270"/>
      <c r="F14" s="1270"/>
      <c r="G14" s="1270"/>
      <c r="H14" s="1270">
        <v>39.6</v>
      </c>
      <c r="I14" s="1270">
        <v>44.7</v>
      </c>
      <c r="J14" s="1270">
        <v>49.3</v>
      </c>
      <c r="K14" s="1270">
        <v>52.8</v>
      </c>
      <c r="L14" s="1765"/>
      <c r="M14" s="1765"/>
      <c r="N14" s="1765"/>
      <c r="O14" s="1765"/>
      <c r="P14" s="1765"/>
      <c r="Q14" s="1765"/>
      <c r="R14" s="1765"/>
      <c r="S14" s="1765"/>
      <c r="T14" s="1765"/>
      <c r="U14" s="2146"/>
      <c r="V14" s="2147"/>
      <c r="W14" s="1765"/>
      <c r="X14" s="1765"/>
      <c r="Y14" s="2140"/>
      <c r="Z14" s="2134"/>
      <c r="AA14" s="2134"/>
    </row>
    <row r="15" spans="1:27" ht="15.75" hidden="1" customHeight="1" x14ac:dyDescent="0.3">
      <c r="B15" s="2143"/>
      <c r="C15" s="2144">
        <v>3</v>
      </c>
      <c r="D15" s="2148" t="s">
        <v>791</v>
      </c>
      <c r="E15" s="2149"/>
      <c r="F15" s="2149"/>
      <c r="G15" s="2149"/>
      <c r="H15" s="2149"/>
      <c r="I15" s="2149"/>
      <c r="J15" s="2149"/>
      <c r="K15" s="2149"/>
      <c r="L15" s="2150"/>
      <c r="M15" s="2150"/>
      <c r="N15" s="2150"/>
      <c r="O15" s="2150"/>
      <c r="P15" s="2150"/>
      <c r="Q15" s="2150"/>
      <c r="R15" s="2150"/>
      <c r="S15" s="2150"/>
      <c r="T15" s="2150"/>
      <c r="U15" s="1765"/>
      <c r="V15" s="2142"/>
      <c r="W15" s="1765"/>
      <c r="X15" s="1765"/>
      <c r="Y15" s="2140"/>
      <c r="Z15" s="2134"/>
      <c r="AA15" s="2134"/>
    </row>
    <row r="16" spans="1:27" ht="15.75" hidden="1" customHeight="1" x14ac:dyDescent="0.3">
      <c r="B16" s="2143"/>
      <c r="C16" s="2144"/>
      <c r="D16" s="1615" t="s">
        <v>789</v>
      </c>
      <c r="E16" s="1270">
        <v>55</v>
      </c>
      <c r="F16" s="1270">
        <v>56</v>
      </c>
      <c r="G16" s="1270">
        <v>58</v>
      </c>
      <c r="H16" s="1270">
        <v>58</v>
      </c>
      <c r="I16" s="1270">
        <v>59</v>
      </c>
      <c r="J16" s="1270">
        <v>59</v>
      </c>
      <c r="K16" s="1270">
        <v>59</v>
      </c>
      <c r="L16" s="1765"/>
      <c r="M16" s="1765"/>
      <c r="N16" s="1765"/>
      <c r="O16" s="1765"/>
      <c r="P16" s="1765"/>
      <c r="Q16" s="1765"/>
      <c r="R16" s="1765"/>
      <c r="S16" s="1765"/>
      <c r="T16" s="1765"/>
      <c r="U16" s="1765"/>
      <c r="V16" s="2142"/>
      <c r="W16" s="1765"/>
      <c r="X16" s="1765"/>
      <c r="Y16" s="2140"/>
      <c r="Z16" s="2134"/>
      <c r="AA16" s="2134"/>
    </row>
    <row r="17" spans="1:27" ht="15.75" hidden="1" customHeight="1" x14ac:dyDescent="0.3">
      <c r="B17" s="2143"/>
      <c r="C17" s="2144"/>
      <c r="D17" s="2145" t="s">
        <v>790</v>
      </c>
      <c r="E17" s="2151">
        <v>81</v>
      </c>
      <c r="F17" s="2151">
        <v>86</v>
      </c>
      <c r="G17" s="2151">
        <v>91</v>
      </c>
      <c r="H17" s="2151">
        <v>96</v>
      </c>
      <c r="I17" s="2151">
        <v>100</v>
      </c>
      <c r="J17" s="2151">
        <v>104</v>
      </c>
      <c r="K17" s="2151">
        <v>106</v>
      </c>
      <c r="L17" s="2146"/>
      <c r="M17" s="2146"/>
      <c r="N17" s="2146"/>
      <c r="O17" s="2146"/>
      <c r="P17" s="2146"/>
      <c r="Q17" s="2146"/>
      <c r="R17" s="2146"/>
      <c r="S17" s="2146"/>
      <c r="T17" s="2146"/>
      <c r="U17" s="2146"/>
      <c r="V17" s="2147"/>
      <c r="W17" s="1765"/>
      <c r="X17" s="1765"/>
      <c r="Y17" s="2140"/>
      <c r="Z17" s="2134"/>
      <c r="AA17" s="2134"/>
    </row>
    <row r="18" spans="1:27" ht="15.75" hidden="1" customHeight="1" x14ac:dyDescent="0.3">
      <c r="C18" s="2144">
        <v>4</v>
      </c>
      <c r="D18" s="2148" t="s">
        <v>792</v>
      </c>
      <c r="E18" s="1765"/>
      <c r="F18" s="1765"/>
      <c r="G18" s="1765"/>
      <c r="H18" s="1765"/>
      <c r="I18" s="1765"/>
      <c r="J18" s="1765"/>
      <c r="K18" s="1765"/>
      <c r="L18" s="1765"/>
      <c r="M18" s="1765"/>
      <c r="N18" s="1765"/>
      <c r="O18" s="1765"/>
      <c r="P18" s="1765"/>
      <c r="Q18" s="1765"/>
      <c r="R18" s="1765"/>
      <c r="S18" s="1765"/>
      <c r="T18" s="1765"/>
      <c r="U18" s="1765"/>
      <c r="V18" s="2152"/>
      <c r="W18" s="1765"/>
      <c r="X18" s="1765"/>
      <c r="Y18" s="2140"/>
      <c r="Z18" s="2134"/>
      <c r="AA18" s="2134"/>
    </row>
    <row r="19" spans="1:27" ht="15.75" hidden="1" customHeight="1" x14ac:dyDescent="0.3">
      <c r="C19" s="2144"/>
      <c r="D19" s="1615" t="s">
        <v>789</v>
      </c>
      <c r="E19" s="1270">
        <v>48</v>
      </c>
      <c r="F19" s="1765"/>
      <c r="G19" s="1765"/>
      <c r="H19" s="1765"/>
      <c r="I19" s="1765"/>
      <c r="J19" s="1270">
        <v>43</v>
      </c>
      <c r="K19" s="1765"/>
      <c r="L19" s="1765"/>
      <c r="M19" s="1765"/>
      <c r="N19" s="1765"/>
      <c r="O19" s="1765"/>
      <c r="P19" s="1765"/>
      <c r="Q19" s="1765"/>
      <c r="R19" s="1765"/>
      <c r="S19" s="1765"/>
      <c r="T19" s="1765"/>
      <c r="U19" s="1765"/>
      <c r="V19" s="2142"/>
      <c r="W19" s="1765"/>
      <c r="X19" s="1765"/>
      <c r="Y19" s="2140"/>
      <c r="Z19" s="2134"/>
      <c r="AA19" s="2134"/>
    </row>
    <row r="20" spans="1:27" ht="15.75" hidden="1" customHeight="1" x14ac:dyDescent="0.3">
      <c r="B20" s="2143"/>
      <c r="C20" s="2144"/>
      <c r="D20" s="1615" t="s">
        <v>790</v>
      </c>
      <c r="E20" s="2153"/>
      <c r="F20" s="2153"/>
      <c r="G20" s="2153"/>
      <c r="H20" s="2153"/>
      <c r="I20" s="2153"/>
      <c r="J20" s="2153">
        <v>58</v>
      </c>
      <c r="K20" s="2153"/>
      <c r="L20" s="2153"/>
      <c r="M20" s="2153"/>
      <c r="N20" s="2153"/>
      <c r="O20" s="2153"/>
      <c r="P20" s="2153"/>
      <c r="Q20" s="2153"/>
      <c r="R20" s="2153"/>
      <c r="S20" s="2153"/>
      <c r="T20" s="2153"/>
      <c r="U20" s="2153"/>
      <c r="V20" s="2142"/>
      <c r="W20" s="1765"/>
      <c r="X20" s="1765"/>
      <c r="Y20" s="2140"/>
      <c r="Z20" s="2134"/>
      <c r="AA20" s="2134"/>
    </row>
    <row r="21" spans="1:27" ht="15.75" customHeight="1" x14ac:dyDescent="0.3">
      <c r="B21" s="2143"/>
      <c r="C21" s="2144"/>
      <c r="D21" s="2154" t="s">
        <v>35</v>
      </c>
      <c r="E21" s="2130" t="s">
        <v>793</v>
      </c>
      <c r="F21" s="2155"/>
      <c r="G21" s="2155"/>
      <c r="H21" s="2155"/>
      <c r="I21" s="2155"/>
      <c r="J21" s="2155"/>
      <c r="K21" s="2155"/>
      <c r="L21" s="2155"/>
      <c r="M21" s="2155"/>
      <c r="N21" s="2155"/>
      <c r="O21" s="2156"/>
      <c r="P21" s="2157"/>
      <c r="Q21" s="2157"/>
      <c r="R21" s="2157"/>
      <c r="S21" s="2157"/>
      <c r="T21" s="2157"/>
      <c r="U21" s="2157"/>
      <c r="V21" s="2157"/>
      <c r="W21" s="2157"/>
      <c r="X21" s="2157"/>
      <c r="Y21" s="2158"/>
      <c r="Z21" s="2134"/>
      <c r="AA21" s="2134"/>
    </row>
    <row r="22" spans="1:27" x14ac:dyDescent="0.3">
      <c r="B22" s="2143"/>
      <c r="C22" s="2144"/>
      <c r="D22" s="1615" t="s">
        <v>789</v>
      </c>
      <c r="E22" s="2153"/>
      <c r="F22" s="2153"/>
      <c r="G22" s="2153"/>
      <c r="H22" s="2153"/>
      <c r="I22" s="2153"/>
      <c r="J22" s="2153"/>
      <c r="K22" s="2153"/>
      <c r="L22" s="2153"/>
      <c r="M22" s="2153"/>
      <c r="N22" s="2153"/>
      <c r="O22" s="2153"/>
      <c r="P22" s="2159">
        <v>39</v>
      </c>
      <c r="Q22" s="2159">
        <v>35</v>
      </c>
      <c r="R22" s="2159">
        <v>28</v>
      </c>
      <c r="S22" s="2159">
        <v>27</v>
      </c>
      <c r="T22" s="2159">
        <v>28</v>
      </c>
      <c r="U22" s="2159">
        <v>29</v>
      </c>
      <c r="V22" s="2159">
        <v>29</v>
      </c>
      <c r="W22" s="2159">
        <v>26</v>
      </c>
      <c r="X22" s="2159">
        <v>23</v>
      </c>
      <c r="Y22" s="2159">
        <v>25</v>
      </c>
      <c r="Z22" s="2138"/>
      <c r="AA22" s="2138"/>
    </row>
    <row r="23" spans="1:27" ht="15.75" customHeight="1" x14ac:dyDescent="0.3">
      <c r="B23" s="2143"/>
      <c r="C23" s="2144"/>
      <c r="D23" s="1617" t="s">
        <v>790</v>
      </c>
      <c r="E23" s="2160"/>
      <c r="F23" s="2160"/>
      <c r="G23" s="2160"/>
      <c r="H23" s="2160"/>
      <c r="I23" s="2160"/>
      <c r="J23" s="2160"/>
      <c r="K23" s="2160"/>
      <c r="L23" s="2160"/>
      <c r="M23" s="2160"/>
      <c r="N23" s="2160"/>
      <c r="O23" s="2160"/>
      <c r="P23" s="2161">
        <v>56</v>
      </c>
      <c r="Q23" s="2161">
        <v>52</v>
      </c>
      <c r="R23" s="2161">
        <v>40</v>
      </c>
      <c r="S23" s="2161">
        <v>41</v>
      </c>
      <c r="T23" s="2161">
        <v>43</v>
      </c>
      <c r="U23" s="2161">
        <v>42</v>
      </c>
      <c r="V23" s="2161">
        <v>39</v>
      </c>
      <c r="W23" s="2161">
        <v>36</v>
      </c>
      <c r="X23" s="2161">
        <v>33</v>
      </c>
      <c r="Y23" s="2159">
        <v>34</v>
      </c>
      <c r="Z23" s="2137"/>
      <c r="AA23" s="2137"/>
    </row>
    <row r="24" spans="1:27" s="2163" customFormat="1" ht="15.75" customHeight="1" x14ac:dyDescent="0.3">
      <c r="A24" s="2070"/>
      <c r="B24" s="2162"/>
      <c r="C24" s="2162"/>
      <c r="D24" s="2154" t="s">
        <v>234</v>
      </c>
      <c r="E24" s="2130" t="s">
        <v>794</v>
      </c>
      <c r="F24" s="2155"/>
      <c r="G24" s="2155"/>
      <c r="H24" s="2155"/>
      <c r="I24" s="2155"/>
      <c r="J24" s="2155"/>
      <c r="K24" s="2155"/>
      <c r="L24" s="2155"/>
      <c r="M24" s="2155"/>
      <c r="N24" s="2155"/>
      <c r="O24" s="2156"/>
      <c r="P24" s="2157"/>
      <c r="Q24" s="2157"/>
      <c r="R24" s="2157"/>
      <c r="S24" s="2157"/>
      <c r="T24" s="2157"/>
      <c r="U24" s="2157"/>
      <c r="V24" s="2157"/>
      <c r="W24" s="2157"/>
      <c r="X24" s="2157"/>
      <c r="Y24" s="2158"/>
      <c r="Z24" s="2134"/>
      <c r="AA24" s="2134"/>
    </row>
    <row r="25" spans="1:27" ht="15" customHeight="1" x14ac:dyDescent="0.3">
      <c r="D25" s="1615" t="s">
        <v>789</v>
      </c>
      <c r="E25" s="2153"/>
      <c r="F25" s="2153"/>
      <c r="G25" s="2153"/>
      <c r="H25" s="2153">
        <v>45</v>
      </c>
      <c r="I25" s="2153"/>
      <c r="J25" s="2153"/>
      <c r="K25" s="2153"/>
      <c r="L25" s="2153"/>
      <c r="M25" s="2153"/>
      <c r="N25" s="2153"/>
      <c r="O25" s="2153"/>
      <c r="P25" s="2159"/>
      <c r="Q25" s="2159"/>
      <c r="R25" s="2159"/>
      <c r="S25" s="2159"/>
      <c r="T25" s="2159"/>
      <c r="U25" s="2159"/>
      <c r="V25" s="2159"/>
      <c r="W25" s="2159">
        <v>35</v>
      </c>
      <c r="X25" s="2159"/>
      <c r="Y25" s="2140"/>
      <c r="Z25" s="2138"/>
      <c r="AA25" s="2138"/>
    </row>
    <row r="26" spans="1:27" ht="16.5" customHeight="1" x14ac:dyDescent="0.3">
      <c r="D26" s="1617" t="s">
        <v>790</v>
      </c>
      <c r="E26" s="2160"/>
      <c r="F26" s="2160"/>
      <c r="G26" s="2160"/>
      <c r="H26" s="2160">
        <v>59</v>
      </c>
      <c r="I26" s="2160"/>
      <c r="J26" s="2160"/>
      <c r="K26" s="2160"/>
      <c r="L26" s="2160"/>
      <c r="M26" s="2160"/>
      <c r="N26" s="2160"/>
      <c r="O26" s="2160"/>
      <c r="P26" s="2161"/>
      <c r="Q26" s="2161"/>
      <c r="R26" s="2161"/>
      <c r="S26" s="2161"/>
      <c r="T26" s="2161"/>
      <c r="U26" s="2161"/>
      <c r="V26" s="2161"/>
      <c r="W26" s="2161">
        <v>42</v>
      </c>
      <c r="X26" s="2161"/>
      <c r="Y26" s="2164"/>
      <c r="Z26" s="2137"/>
      <c r="AA26" s="2137"/>
    </row>
    <row r="27" spans="1:27" ht="31.5" customHeight="1" x14ac:dyDescent="0.3">
      <c r="X27" s="2165"/>
    </row>
    <row r="28" spans="1:27" ht="27.75" customHeight="1" x14ac:dyDescent="0.3">
      <c r="X28" s="2166"/>
    </row>
    <row r="29" spans="1:27" x14ac:dyDescent="0.3">
      <c r="A29" s="1255">
        <v>6</v>
      </c>
      <c r="B29" s="1255" t="s">
        <v>58</v>
      </c>
      <c r="C29" s="1255"/>
      <c r="D29" s="2167" t="s">
        <v>144</v>
      </c>
      <c r="E29" s="2168"/>
      <c r="F29" s="2168"/>
      <c r="G29" s="2168"/>
      <c r="H29" s="2168"/>
      <c r="I29" s="2168"/>
      <c r="J29" s="2168"/>
      <c r="K29" s="2168"/>
      <c r="L29" s="2168"/>
      <c r="M29" s="2168"/>
      <c r="N29" s="2168"/>
      <c r="O29" s="2168"/>
      <c r="P29" s="2168"/>
      <c r="Q29" s="2168"/>
      <c r="R29" s="2168"/>
      <c r="S29" s="2168"/>
      <c r="T29" s="2168"/>
      <c r="U29" s="2168"/>
      <c r="V29" s="2168"/>
      <c r="W29" s="2169"/>
    </row>
    <row r="30" spans="1:27" x14ac:dyDescent="0.3">
      <c r="A30" s="1306">
        <v>7</v>
      </c>
      <c r="B30" s="1306" t="s">
        <v>60</v>
      </c>
      <c r="C30" s="1306"/>
      <c r="D30" s="4837" t="s">
        <v>795</v>
      </c>
      <c r="E30" s="4838"/>
      <c r="F30" s="4838"/>
      <c r="G30" s="4838"/>
      <c r="H30" s="4838"/>
      <c r="I30" s="4838"/>
      <c r="J30" s="4838"/>
      <c r="K30" s="4838"/>
      <c r="L30" s="4838"/>
      <c r="M30" s="4838"/>
      <c r="N30" s="4838"/>
      <c r="O30" s="4838"/>
      <c r="P30" s="4838"/>
      <c r="Q30" s="4838"/>
      <c r="R30" s="4838"/>
      <c r="S30" s="4838"/>
      <c r="T30" s="4838"/>
      <c r="U30" s="4838"/>
      <c r="V30" s="4838"/>
      <c r="W30" s="4839"/>
    </row>
    <row r="31" spans="1:27" ht="42.75" customHeight="1" x14ac:dyDescent="0.3">
      <c r="A31" s="1255">
        <v>8</v>
      </c>
      <c r="B31" s="1255" t="s">
        <v>62</v>
      </c>
      <c r="C31" s="1256"/>
      <c r="D31" s="4837" t="s">
        <v>1966</v>
      </c>
      <c r="E31" s="4838"/>
      <c r="F31" s="4838"/>
      <c r="G31" s="4838"/>
      <c r="H31" s="4838"/>
      <c r="I31" s="4838"/>
      <c r="J31" s="4838"/>
      <c r="K31" s="4838"/>
      <c r="L31" s="4838"/>
      <c r="M31" s="4838"/>
      <c r="N31" s="4838"/>
      <c r="O31" s="4838"/>
      <c r="P31" s="4838"/>
      <c r="Q31" s="4838"/>
      <c r="R31" s="4838"/>
      <c r="S31" s="4838"/>
      <c r="T31" s="4838"/>
      <c r="U31" s="4838"/>
      <c r="V31" s="4838"/>
      <c r="W31" s="4839"/>
    </row>
    <row r="32" spans="1:27" ht="14.5" x14ac:dyDescent="0.3">
      <c r="A32" s="1255">
        <v>9</v>
      </c>
      <c r="B32" s="1255" t="s">
        <v>64</v>
      </c>
      <c r="D32" s="4834" t="s">
        <v>796</v>
      </c>
      <c r="E32" s="4835"/>
      <c r="F32" s="4835"/>
      <c r="G32" s="4835"/>
      <c r="H32" s="4835"/>
      <c r="I32" s="4835"/>
      <c r="J32" s="4835"/>
      <c r="K32" s="4835"/>
      <c r="L32" s="4835"/>
      <c r="M32" s="4835"/>
      <c r="N32" s="4835"/>
      <c r="O32" s="4835"/>
      <c r="P32" s="4835"/>
      <c r="Q32" s="4835"/>
      <c r="R32" s="4835"/>
      <c r="S32" s="4835"/>
      <c r="T32" s="4835"/>
      <c r="U32" s="4835"/>
      <c r="V32" s="4835"/>
      <c r="W32" s="4836"/>
    </row>
    <row r="51" spans="1:25" x14ac:dyDescent="0.3">
      <c r="A51" s="1764"/>
      <c r="B51" s="1764"/>
      <c r="C51" s="1764"/>
      <c r="D51" s="2170"/>
      <c r="E51" s="2131"/>
      <c r="F51" s="2131"/>
      <c r="G51" s="2131"/>
      <c r="H51" s="2171">
        <v>2002</v>
      </c>
      <c r="I51" s="2171">
        <v>2003</v>
      </c>
      <c r="J51" s="2171">
        <v>2004</v>
      </c>
      <c r="K51" s="2171">
        <v>2005</v>
      </c>
      <c r="L51" s="2171">
        <v>2006</v>
      </c>
      <c r="M51" s="2171">
        <v>2007</v>
      </c>
      <c r="N51" s="2171">
        <v>2008</v>
      </c>
      <c r="O51" s="2171">
        <v>2009</v>
      </c>
      <c r="P51" s="2171">
        <v>2010</v>
      </c>
      <c r="Q51" s="2171">
        <v>2011</v>
      </c>
      <c r="R51" s="2171">
        <v>2012</v>
      </c>
      <c r="S51" s="2171">
        <v>2013</v>
      </c>
      <c r="T51" s="2171">
        <v>2014</v>
      </c>
      <c r="U51" s="2171">
        <v>2015</v>
      </c>
      <c r="V51" s="2171">
        <v>2016</v>
      </c>
      <c r="W51" s="2171">
        <v>2017</v>
      </c>
      <c r="X51" s="2171">
        <v>2018</v>
      </c>
      <c r="Y51" s="2171">
        <v>2019</v>
      </c>
    </row>
    <row r="52" spans="1:25" x14ac:dyDescent="0.3">
      <c r="A52" s="1764"/>
      <c r="B52" s="1764"/>
      <c r="C52" s="1764"/>
      <c r="E52" s="1270"/>
      <c r="F52" s="1270"/>
      <c r="G52" s="1650" t="s">
        <v>786</v>
      </c>
      <c r="H52" s="1270">
        <f>I9</f>
        <v>55.5</v>
      </c>
      <c r="I52" s="1270">
        <f t="shared" ref="I52:X53" si="0">J9</f>
        <v>57.2</v>
      </c>
      <c r="J52" s="1270">
        <f t="shared" si="0"/>
        <v>55.7</v>
      </c>
      <c r="K52" s="1270">
        <f t="shared" si="0"/>
        <v>55.6</v>
      </c>
      <c r="L52" s="1270">
        <f t="shared" si="0"/>
        <v>53.8</v>
      </c>
      <c r="M52" s="1270">
        <f t="shared" si="0"/>
        <v>49.5</v>
      </c>
      <c r="N52" s="1270">
        <f t="shared" si="0"/>
        <v>47.4</v>
      </c>
      <c r="O52" s="1270">
        <f t="shared" si="0"/>
        <v>44</v>
      </c>
      <c r="P52" s="1270">
        <f t="shared" si="0"/>
        <v>38.200000000000003</v>
      </c>
      <c r="Q52" s="1270">
        <f t="shared" si="0"/>
        <v>36.9</v>
      </c>
      <c r="R52" s="1270">
        <f t="shared" si="0"/>
        <v>34</v>
      </c>
      <c r="S52" s="1270">
        <f t="shared" si="0"/>
        <v>31.7</v>
      </c>
      <c r="T52" s="1270">
        <f t="shared" si="0"/>
        <v>30.3</v>
      </c>
      <c r="U52" s="1270">
        <f t="shared" si="0"/>
        <v>29</v>
      </c>
      <c r="V52" s="1270">
        <f t="shared" si="0"/>
        <v>27.9</v>
      </c>
      <c r="W52" s="1270">
        <f t="shared" si="0"/>
        <v>26.9</v>
      </c>
      <c r="X52" s="1270">
        <f>Y9</f>
        <v>26</v>
      </c>
      <c r="Y52" s="1270">
        <v>22.1</v>
      </c>
    </row>
    <row r="53" spans="1:25" x14ac:dyDescent="0.3">
      <c r="A53" s="1764"/>
      <c r="B53" s="1764"/>
      <c r="C53" s="1764"/>
      <c r="E53" s="2153"/>
      <c r="F53" s="2153"/>
      <c r="G53" s="2172" t="s">
        <v>797</v>
      </c>
      <c r="H53" s="1272">
        <f>I10</f>
        <v>75.3</v>
      </c>
      <c r="I53" s="1272">
        <f t="shared" si="0"/>
        <v>76.8</v>
      </c>
      <c r="J53" s="1272">
        <f t="shared" si="0"/>
        <v>76.5</v>
      </c>
      <c r="K53" s="1272">
        <f t="shared" si="0"/>
        <v>75.099999999999994</v>
      </c>
      <c r="L53" s="1272">
        <f t="shared" si="0"/>
        <v>72.400000000000006</v>
      </c>
      <c r="M53" s="1272">
        <f t="shared" si="0"/>
        <v>68</v>
      </c>
      <c r="N53" s="1272">
        <f t="shared" si="0"/>
        <v>64</v>
      </c>
      <c r="O53" s="1272">
        <f t="shared" si="0"/>
        <v>57.1</v>
      </c>
      <c r="P53" s="1272">
        <f t="shared" si="0"/>
        <v>53.5</v>
      </c>
      <c r="Q53" s="1272">
        <f t="shared" si="0"/>
        <v>48.8</v>
      </c>
      <c r="R53" s="1272">
        <f t="shared" si="0"/>
        <v>44.1</v>
      </c>
      <c r="S53" s="1272">
        <f t="shared" si="0"/>
        <v>41</v>
      </c>
      <c r="T53" s="1272">
        <f t="shared" si="0"/>
        <v>39.799999999999997</v>
      </c>
      <c r="U53" s="1272">
        <f t="shared" si="0"/>
        <v>39.200000000000003</v>
      </c>
      <c r="V53" s="1272">
        <f t="shared" si="0"/>
        <v>38.700000000000003</v>
      </c>
      <c r="W53" s="1272">
        <f t="shared" si="0"/>
        <v>38.200000000000003</v>
      </c>
      <c r="X53" s="1272">
        <f t="shared" si="0"/>
        <v>37.9</v>
      </c>
      <c r="Y53" s="1270">
        <v>28.5</v>
      </c>
    </row>
  </sheetData>
  <mergeCells count="7">
    <mergeCell ref="D32:W32"/>
    <mergeCell ref="D2:Y2"/>
    <mergeCell ref="D3:Y3"/>
    <mergeCell ref="D4:Y4"/>
    <mergeCell ref="D5:Y5"/>
    <mergeCell ref="D30:W30"/>
    <mergeCell ref="D31:W31"/>
  </mergeCells>
  <pageMargins left="0.74803149606299202" right="0.74803149606299202" top="0.98425196850393704" bottom="0.98425196850393704" header="0.511811023622047" footer="0.511811023622047"/>
  <pageSetup paperSize="9" scale="5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2:Y131"/>
  <sheetViews>
    <sheetView showGridLines="0" view="pageBreakPreview" zoomScaleNormal="100" zoomScaleSheetLayoutView="100" workbookViewId="0">
      <selection activeCell="D5" sqref="D5:X5"/>
    </sheetView>
  </sheetViews>
  <sheetFormatPr defaultColWidth="9.1796875" defaultRowHeight="14" x14ac:dyDescent="0.3"/>
  <cols>
    <col min="1" max="1" width="8.453125" style="2070" customWidth="1"/>
    <col min="2" max="2" width="14.453125" style="1768" customWidth="1"/>
    <col min="3" max="3" width="3.7265625" style="1768" customWidth="1"/>
    <col min="4" max="4" width="26.1796875" style="1764" customWidth="1"/>
    <col min="5" max="13" width="8" style="2220" customWidth="1"/>
    <col min="14" max="15" width="10.453125" style="1764" bestFit="1" customWidth="1"/>
    <col min="16" max="16384" width="9.1796875" style="1764"/>
  </cols>
  <sheetData>
    <row r="2" spans="1:25" ht="14.15" customHeight="1" x14ac:dyDescent="0.3">
      <c r="A2" s="1255">
        <v>1</v>
      </c>
      <c r="B2" s="1255" t="s">
        <v>0</v>
      </c>
      <c r="C2" s="1255">
        <v>34</v>
      </c>
      <c r="D2" s="4733" t="s">
        <v>798</v>
      </c>
      <c r="E2" s="4734"/>
      <c r="F2" s="4734"/>
      <c r="G2" s="4734"/>
      <c r="H2" s="4734"/>
      <c r="I2" s="4734"/>
      <c r="J2" s="4734"/>
      <c r="K2" s="4734"/>
      <c r="L2" s="4734"/>
      <c r="M2" s="4734"/>
      <c r="N2" s="4734"/>
      <c r="O2" s="4734"/>
      <c r="P2" s="4734"/>
      <c r="Q2" s="4734"/>
      <c r="R2" s="4734"/>
      <c r="S2" s="4734"/>
      <c r="T2" s="4734"/>
      <c r="U2" s="4734"/>
      <c r="V2" s="4734"/>
      <c r="W2" s="4734"/>
      <c r="X2" s="4735"/>
    </row>
    <row r="3" spans="1:25" ht="14.15" customHeight="1" x14ac:dyDescent="0.3">
      <c r="A3" s="1255">
        <v>2</v>
      </c>
      <c r="B3" s="1255" t="s">
        <v>2</v>
      </c>
      <c r="C3" s="1255"/>
      <c r="D3" s="4733" t="s">
        <v>761</v>
      </c>
      <c r="E3" s="4734"/>
      <c r="F3" s="4734"/>
      <c r="G3" s="4734"/>
      <c r="H3" s="4734"/>
      <c r="I3" s="4734"/>
      <c r="J3" s="4734"/>
      <c r="K3" s="4734"/>
      <c r="L3" s="4734"/>
      <c r="M3" s="4734"/>
      <c r="N3" s="4734"/>
      <c r="O3" s="4734"/>
      <c r="P3" s="4734"/>
      <c r="Q3" s="4734"/>
      <c r="R3" s="4734"/>
      <c r="S3" s="4734"/>
      <c r="T3" s="4734"/>
      <c r="U3" s="4734"/>
      <c r="V3" s="4734"/>
      <c r="W3" s="4734"/>
      <c r="X3" s="4735"/>
    </row>
    <row r="4" spans="1:25" ht="14.15" customHeight="1" x14ac:dyDescent="0.3">
      <c r="A4" s="1255">
        <v>3</v>
      </c>
      <c r="B4" s="1255" t="s">
        <v>4</v>
      </c>
      <c r="C4" s="1255"/>
      <c r="D4" s="4733" t="s">
        <v>762</v>
      </c>
      <c r="E4" s="4734"/>
      <c r="F4" s="4734"/>
      <c r="G4" s="4734"/>
      <c r="H4" s="4734"/>
      <c r="I4" s="4734"/>
      <c r="J4" s="4734"/>
      <c r="K4" s="4734"/>
      <c r="L4" s="4734"/>
      <c r="M4" s="4734"/>
      <c r="N4" s="4734"/>
      <c r="O4" s="4734"/>
      <c r="P4" s="4734"/>
      <c r="Q4" s="4734"/>
      <c r="R4" s="4734"/>
      <c r="S4" s="4734"/>
      <c r="T4" s="4734"/>
      <c r="U4" s="4734"/>
      <c r="V4" s="4734"/>
      <c r="W4" s="4734"/>
      <c r="X4" s="4735"/>
    </row>
    <row r="5" spans="1:25" ht="14.15" customHeight="1" x14ac:dyDescent="0.3">
      <c r="A5" s="2070">
        <v>4</v>
      </c>
      <c r="B5" s="1255" t="s">
        <v>799</v>
      </c>
      <c r="C5" s="728"/>
      <c r="D5" s="4733" t="s">
        <v>1970</v>
      </c>
      <c r="E5" s="4734"/>
      <c r="F5" s="4734"/>
      <c r="G5" s="4734"/>
      <c r="H5" s="4734"/>
      <c r="I5" s="4734"/>
      <c r="J5" s="4734"/>
      <c r="K5" s="4734"/>
      <c r="L5" s="4734"/>
      <c r="M5" s="4734"/>
      <c r="N5" s="4734"/>
      <c r="O5" s="4734"/>
      <c r="P5" s="4734"/>
      <c r="Q5" s="4734"/>
      <c r="R5" s="4734"/>
      <c r="S5" s="4734"/>
      <c r="T5" s="4734"/>
      <c r="U5" s="4734"/>
      <c r="V5" s="4734"/>
      <c r="W5" s="4734"/>
      <c r="X5" s="4735"/>
    </row>
    <row r="6" spans="1:25" x14ac:dyDescent="0.3">
      <c r="B6" s="1255"/>
      <c r="C6" s="728"/>
      <c r="D6" s="1513"/>
      <c r="E6" s="1513"/>
      <c r="F6" s="1513"/>
      <c r="G6" s="1513"/>
      <c r="H6" s="1513"/>
      <c r="I6" s="1513"/>
      <c r="J6" s="1513"/>
      <c r="K6" s="1513"/>
      <c r="L6" s="1513"/>
      <c r="M6" s="1513"/>
      <c r="N6" s="1513"/>
      <c r="O6" s="1513"/>
      <c r="P6" s="1513"/>
      <c r="Q6" s="1513"/>
      <c r="R6" s="1513"/>
      <c r="S6" s="1513"/>
      <c r="T6" s="1513"/>
      <c r="U6" s="1513"/>
      <c r="V6" s="1513"/>
    </row>
    <row r="7" spans="1:25" s="1265" customFormat="1" ht="13" x14ac:dyDescent="0.3">
      <c r="A7" s="1255">
        <v>5</v>
      </c>
      <c r="B7" s="728" t="s">
        <v>6</v>
      </c>
      <c r="C7" s="1260"/>
      <c r="D7" s="2173" t="s">
        <v>85</v>
      </c>
      <c r="E7" s="2174" t="s">
        <v>800</v>
      </c>
      <c r="F7" s="2175"/>
      <c r="G7" s="2175"/>
      <c r="H7" s="1258"/>
      <c r="I7" s="1622"/>
      <c r="J7" s="1622"/>
      <c r="K7" s="1622"/>
      <c r="L7" s="1622"/>
      <c r="M7" s="1622"/>
      <c r="N7" s="1629"/>
      <c r="O7" s="1270"/>
      <c r="P7" s="1270"/>
      <c r="Q7" s="1270"/>
      <c r="R7" s="1270"/>
      <c r="S7" s="1270"/>
      <c r="T7" s="1270"/>
      <c r="U7" s="1270"/>
      <c r="V7" s="1270"/>
      <c r="W7" s="1270"/>
    </row>
    <row r="8" spans="1:25" s="1265" customFormat="1" ht="10.5" x14ac:dyDescent="0.25">
      <c r="A8" s="1259"/>
      <c r="B8" s="1260"/>
      <c r="C8" s="1260"/>
      <c r="D8" s="2131"/>
      <c r="E8" s="2176"/>
      <c r="F8" s="2176"/>
      <c r="G8" s="2177">
        <v>2001</v>
      </c>
      <c r="H8" s="2177">
        <v>2002</v>
      </c>
      <c r="I8" s="2177">
        <v>2003</v>
      </c>
      <c r="J8" s="2177">
        <v>2004</v>
      </c>
      <c r="K8" s="2177">
        <v>2005</v>
      </c>
      <c r="L8" s="2177">
        <v>2006</v>
      </c>
      <c r="M8" s="2177">
        <v>2007</v>
      </c>
      <c r="N8" s="2177">
        <v>2008</v>
      </c>
      <c r="O8" s="2177">
        <v>2009</v>
      </c>
      <c r="P8" s="2177">
        <v>2010</v>
      </c>
      <c r="Q8" s="2177">
        <v>2011</v>
      </c>
      <c r="R8" s="2177">
        <v>2012</v>
      </c>
      <c r="S8" s="2177">
        <v>2013</v>
      </c>
      <c r="T8" s="2177">
        <v>2014</v>
      </c>
      <c r="U8" s="2178">
        <v>2015</v>
      </c>
      <c r="V8" s="2179">
        <v>2016</v>
      </c>
      <c r="W8" s="2180">
        <v>2017</v>
      </c>
      <c r="X8" s="2180">
        <v>2018</v>
      </c>
      <c r="Y8" s="2180">
        <v>2019</v>
      </c>
    </row>
    <row r="9" spans="1:25" s="1265" customFormat="1" ht="20.5" x14ac:dyDescent="0.25">
      <c r="A9" s="2181"/>
      <c r="B9" s="1260"/>
      <c r="C9" s="2182"/>
      <c r="D9" s="1996" t="str">
        <f>D2</f>
        <v>Severe acute malnutrition under five years</v>
      </c>
      <c r="E9" s="2183"/>
      <c r="F9" s="2183" t="s">
        <v>801</v>
      </c>
      <c r="G9" s="2184" t="s">
        <v>802</v>
      </c>
      <c r="H9" s="2184" t="s">
        <v>803</v>
      </c>
      <c r="I9" s="2184" t="s">
        <v>804</v>
      </c>
      <c r="J9" s="2184" t="s">
        <v>805</v>
      </c>
      <c r="K9" s="2184" t="s">
        <v>806</v>
      </c>
      <c r="L9" s="2184" t="s">
        <v>807</v>
      </c>
      <c r="M9" s="2184" t="s">
        <v>808</v>
      </c>
      <c r="N9" s="2184" t="s">
        <v>809</v>
      </c>
      <c r="O9" s="2184" t="s">
        <v>810</v>
      </c>
      <c r="P9" s="2184" t="s">
        <v>811</v>
      </c>
      <c r="Q9" s="2184" t="s">
        <v>812</v>
      </c>
      <c r="R9" s="2184" t="s">
        <v>813</v>
      </c>
      <c r="S9" s="2184" t="s">
        <v>814</v>
      </c>
      <c r="T9" s="2184" t="s">
        <v>815</v>
      </c>
      <c r="U9" s="2185" t="s">
        <v>816</v>
      </c>
      <c r="V9" s="2186" t="s">
        <v>817</v>
      </c>
      <c r="W9" s="2185" t="s">
        <v>818</v>
      </c>
      <c r="X9" s="2184" t="s">
        <v>819</v>
      </c>
      <c r="Y9" s="2187">
        <v>11194</v>
      </c>
    </row>
    <row r="10" spans="1:25" s="1265" customFormat="1" ht="11.25" customHeight="1" x14ac:dyDescent="0.25">
      <c r="A10" s="2181"/>
      <c r="B10" s="1260"/>
      <c r="C10" s="2182"/>
      <c r="D10" s="1772"/>
      <c r="E10" s="2188"/>
      <c r="F10" s="2189"/>
      <c r="G10" s="2189"/>
      <c r="H10" s="2189"/>
      <c r="I10" s="2189"/>
      <c r="J10" s="2189"/>
      <c r="K10" s="2189"/>
      <c r="L10" s="2189"/>
      <c r="M10" s="2189"/>
      <c r="N10" s="1592"/>
      <c r="O10" s="1592"/>
      <c r="P10" s="1270"/>
      <c r="Q10" s="1270"/>
      <c r="R10" s="1270"/>
      <c r="S10" s="1270"/>
      <c r="T10" s="1270"/>
      <c r="U10" s="1270"/>
      <c r="V10" s="1270"/>
      <c r="W10" s="1270"/>
    </row>
    <row r="11" spans="1:25" s="1265" customFormat="1" ht="11.25" customHeight="1" x14ac:dyDescent="0.25">
      <c r="A11" s="2181"/>
      <c r="B11" s="1260"/>
      <c r="C11" s="2182"/>
      <c r="D11" s="1772"/>
      <c r="E11" s="2188"/>
      <c r="F11" s="2189"/>
      <c r="G11" s="2189"/>
      <c r="H11" s="2189"/>
      <c r="I11" s="2189"/>
      <c r="J11" s="2189"/>
      <c r="K11" s="2189"/>
      <c r="L11" s="2189"/>
      <c r="M11" s="2189"/>
      <c r="N11" s="1592"/>
      <c r="O11" s="1592"/>
      <c r="P11" s="1270"/>
      <c r="Q11" s="1270"/>
      <c r="R11" s="1270"/>
      <c r="S11" s="1270"/>
      <c r="T11" s="1270"/>
      <c r="U11" s="1270"/>
      <c r="V11" s="1270"/>
      <c r="W11" s="1270"/>
    </row>
    <row r="12" spans="1:25" s="1265" customFormat="1" ht="14.25" customHeight="1" x14ac:dyDescent="0.3">
      <c r="A12" s="2181"/>
      <c r="B12" s="1260"/>
      <c r="C12" s="1260"/>
      <c r="D12" s="2190"/>
      <c r="E12" s="2191">
        <v>1994</v>
      </c>
      <c r="F12" s="4841">
        <v>1999</v>
      </c>
      <c r="G12" s="4842"/>
      <c r="H12" s="2192">
        <v>2003</v>
      </c>
      <c r="I12" s="2192">
        <v>2005</v>
      </c>
      <c r="J12" s="4843">
        <v>2008</v>
      </c>
      <c r="K12" s="4841"/>
      <c r="L12" s="4841"/>
      <c r="M12" s="4841"/>
      <c r="N12" s="4841"/>
      <c r="O12" s="4844"/>
      <c r="P12" s="1270"/>
      <c r="Q12" s="1270"/>
      <c r="R12" s="1270"/>
      <c r="S12" s="1270"/>
      <c r="T12" s="1270"/>
      <c r="U12" s="1270"/>
      <c r="V12" s="1270"/>
      <c r="W12" s="1270"/>
    </row>
    <row r="13" spans="1:25" s="1265" customFormat="1" ht="33.75" customHeight="1" x14ac:dyDescent="0.3">
      <c r="A13" s="2181"/>
      <c r="B13" s="1260"/>
      <c r="C13" s="1260"/>
      <c r="D13" s="2190"/>
      <c r="E13" s="2191" t="s">
        <v>820</v>
      </c>
      <c r="F13" s="2067" t="s">
        <v>821</v>
      </c>
      <c r="G13" s="2191" t="s">
        <v>822</v>
      </c>
      <c r="H13" s="2192" t="s">
        <v>823</v>
      </c>
      <c r="I13" s="2192" t="s">
        <v>824</v>
      </c>
      <c r="J13" s="2193" t="s">
        <v>825</v>
      </c>
      <c r="K13" s="2067" t="s">
        <v>826</v>
      </c>
      <c r="L13" s="2067" t="s">
        <v>827</v>
      </c>
      <c r="M13" s="2067" t="s">
        <v>828</v>
      </c>
      <c r="N13" s="2067" t="s">
        <v>829</v>
      </c>
      <c r="O13" s="2194" t="s">
        <v>830</v>
      </c>
      <c r="P13" s="1270"/>
      <c r="Q13" s="1270"/>
      <c r="R13" s="1270"/>
      <c r="S13" s="1270"/>
      <c r="T13" s="1270"/>
      <c r="U13" s="1270"/>
      <c r="V13" s="1270"/>
      <c r="W13" s="1270"/>
    </row>
    <row r="14" spans="1:25" s="1265" customFormat="1" ht="11.25" customHeight="1" x14ac:dyDescent="0.2">
      <c r="A14" s="2181"/>
      <c r="B14" s="1260"/>
      <c r="C14" s="1260"/>
      <c r="D14" s="2195" t="s">
        <v>402</v>
      </c>
      <c r="E14" s="2196">
        <v>28.8</v>
      </c>
      <c r="F14" s="2197">
        <v>20.5</v>
      </c>
      <c r="G14" s="2198" t="s">
        <v>831</v>
      </c>
      <c r="H14" s="2199">
        <v>28.5</v>
      </c>
      <c r="I14" s="2199">
        <v>18</v>
      </c>
      <c r="J14" s="2200">
        <v>17.5</v>
      </c>
      <c r="K14" s="2201" t="s">
        <v>831</v>
      </c>
      <c r="L14" s="2201" t="s">
        <v>831</v>
      </c>
      <c r="M14" s="2201" t="s">
        <v>831</v>
      </c>
      <c r="N14" s="2202" t="s">
        <v>831</v>
      </c>
      <c r="O14" s="2203" t="s">
        <v>831</v>
      </c>
      <c r="P14" s="1270"/>
      <c r="Q14" s="1270"/>
      <c r="R14" s="1270"/>
      <c r="S14" s="1270"/>
      <c r="T14" s="1270"/>
      <c r="U14" s="1270"/>
      <c r="V14" s="1270"/>
      <c r="W14" s="1270"/>
    </row>
    <row r="15" spans="1:25" s="1265" customFormat="1" ht="11.25" customHeight="1" x14ac:dyDescent="0.2">
      <c r="A15" s="2181"/>
      <c r="B15" s="1260"/>
      <c r="C15" s="1260"/>
      <c r="D15" s="2195" t="s">
        <v>404</v>
      </c>
      <c r="E15" s="2196">
        <v>28.7</v>
      </c>
      <c r="F15" s="2197">
        <v>29.6</v>
      </c>
      <c r="G15" s="2196" t="s">
        <v>831</v>
      </c>
      <c r="H15" s="2204">
        <v>32.9</v>
      </c>
      <c r="I15" s="2204">
        <v>28.2</v>
      </c>
      <c r="J15" s="2205">
        <v>14.7</v>
      </c>
      <c r="K15" s="2197" t="s">
        <v>831</v>
      </c>
      <c r="L15" s="2197" t="s">
        <v>831</v>
      </c>
      <c r="M15" s="2197" t="s">
        <v>831</v>
      </c>
      <c r="N15" s="1592" t="s">
        <v>831</v>
      </c>
      <c r="O15" s="2206" t="s">
        <v>831</v>
      </c>
      <c r="P15" s="1270"/>
      <c r="Q15" s="1270"/>
      <c r="R15" s="1270"/>
      <c r="S15" s="1270"/>
      <c r="T15" s="1270"/>
      <c r="U15" s="1270"/>
      <c r="V15" s="1270"/>
      <c r="W15" s="1270"/>
    </row>
    <row r="16" spans="1:25" s="1265" customFormat="1" ht="11.25" customHeight="1" x14ac:dyDescent="0.2">
      <c r="A16" s="2181"/>
      <c r="B16" s="1260"/>
      <c r="C16" s="1260"/>
      <c r="D16" s="2195" t="s">
        <v>407</v>
      </c>
      <c r="E16" s="2196">
        <v>11.5</v>
      </c>
      <c r="F16" s="2197">
        <v>20.399999999999999</v>
      </c>
      <c r="G16" s="2196" t="s">
        <v>831</v>
      </c>
      <c r="H16" s="2204">
        <v>26.5</v>
      </c>
      <c r="I16" s="2204">
        <v>16.8</v>
      </c>
      <c r="J16" s="2205">
        <v>13.2</v>
      </c>
      <c r="K16" s="2197" t="s">
        <v>831</v>
      </c>
      <c r="L16" s="2197" t="s">
        <v>831</v>
      </c>
      <c r="M16" s="2197" t="s">
        <v>831</v>
      </c>
      <c r="N16" s="1592" t="s">
        <v>831</v>
      </c>
      <c r="O16" s="2206" t="s">
        <v>831</v>
      </c>
      <c r="P16" s="1270"/>
      <c r="Q16" s="1270"/>
      <c r="R16" s="1270"/>
      <c r="S16" s="1270"/>
      <c r="T16" s="1270"/>
      <c r="U16" s="1270"/>
      <c r="V16" s="1270"/>
      <c r="W16" s="1270"/>
    </row>
    <row r="17" spans="1:23" s="1265" customFormat="1" ht="11.25" customHeight="1" x14ac:dyDescent="0.2">
      <c r="A17" s="2181"/>
      <c r="B17" s="1260"/>
      <c r="C17" s="1260"/>
      <c r="D17" s="2195" t="s">
        <v>405</v>
      </c>
      <c r="E17" s="2196">
        <v>15.6</v>
      </c>
      <c r="F17" s="2197">
        <v>18.5</v>
      </c>
      <c r="G17" s="2196" t="s">
        <v>831</v>
      </c>
      <c r="H17" s="2204">
        <v>13.3</v>
      </c>
      <c r="I17" s="2204">
        <v>15.1</v>
      </c>
      <c r="J17" s="2205">
        <v>11.7</v>
      </c>
      <c r="K17" s="2197" t="s">
        <v>831</v>
      </c>
      <c r="L17" s="2197" t="s">
        <v>831</v>
      </c>
      <c r="M17" s="2197" t="s">
        <v>831</v>
      </c>
      <c r="N17" s="1592" t="s">
        <v>831</v>
      </c>
      <c r="O17" s="2206" t="s">
        <v>831</v>
      </c>
      <c r="P17" s="1270"/>
      <c r="Q17" s="1270"/>
      <c r="R17" s="1270"/>
      <c r="S17" s="1270"/>
      <c r="T17" s="1270"/>
      <c r="U17" s="1270"/>
      <c r="V17" s="1270"/>
      <c r="W17" s="1270"/>
    </row>
    <row r="18" spans="1:23" s="1265" customFormat="1" ht="11.25" customHeight="1" x14ac:dyDescent="0.2">
      <c r="A18" s="2181"/>
      <c r="B18" s="1260"/>
      <c r="C18" s="1260"/>
      <c r="D18" s="2195" t="s">
        <v>409</v>
      </c>
      <c r="E18" s="2196">
        <v>34.200000000000003</v>
      </c>
      <c r="F18" s="2197">
        <v>23.1</v>
      </c>
      <c r="G18" s="2196" t="s">
        <v>831</v>
      </c>
      <c r="H18" s="2204">
        <v>26.6</v>
      </c>
      <c r="I18" s="2204">
        <v>23.8</v>
      </c>
      <c r="J18" s="2205">
        <v>12.8</v>
      </c>
      <c r="K18" s="2197" t="s">
        <v>831</v>
      </c>
      <c r="L18" s="2197" t="s">
        <v>831</v>
      </c>
      <c r="M18" s="2197" t="s">
        <v>831</v>
      </c>
      <c r="N18" s="1592" t="s">
        <v>831</v>
      </c>
      <c r="O18" s="2206" t="s">
        <v>831</v>
      </c>
      <c r="P18" s="1270"/>
      <c r="Q18" s="1270"/>
      <c r="R18" s="1270"/>
      <c r="S18" s="1270"/>
      <c r="T18" s="1270"/>
      <c r="U18" s="1270"/>
      <c r="V18" s="1270"/>
      <c r="W18" s="1270"/>
    </row>
    <row r="19" spans="1:23" s="1265" customFormat="1" ht="11.25" customHeight="1" x14ac:dyDescent="0.2">
      <c r="A19" s="2181"/>
      <c r="B19" s="1260"/>
      <c r="C19" s="1260"/>
      <c r="D19" s="2195" t="s">
        <v>408</v>
      </c>
      <c r="E19" s="2196">
        <v>20.399999999999999</v>
      </c>
      <c r="F19" s="2197">
        <v>26.4</v>
      </c>
      <c r="G19" s="2196" t="s">
        <v>831</v>
      </c>
      <c r="H19" s="2204">
        <v>22.2</v>
      </c>
      <c r="I19" s="2204">
        <v>17.8</v>
      </c>
      <c r="J19" s="2205">
        <v>11.3</v>
      </c>
      <c r="K19" s="2197" t="s">
        <v>831</v>
      </c>
      <c r="L19" s="2197" t="s">
        <v>831</v>
      </c>
      <c r="M19" s="2197" t="s">
        <v>831</v>
      </c>
      <c r="N19" s="1592" t="s">
        <v>831</v>
      </c>
      <c r="O19" s="2206" t="s">
        <v>831</v>
      </c>
      <c r="P19" s="1270"/>
      <c r="Q19" s="1270"/>
      <c r="R19" s="1270"/>
      <c r="S19" s="1270"/>
      <c r="T19" s="1270"/>
      <c r="U19" s="1270"/>
      <c r="V19" s="1270"/>
      <c r="W19" s="1270"/>
    </row>
    <row r="20" spans="1:23" s="1265" customFormat="1" ht="11.25" customHeight="1" x14ac:dyDescent="0.2">
      <c r="A20" s="2181"/>
      <c r="B20" s="1260"/>
      <c r="C20" s="1260"/>
      <c r="D20" s="2195" t="s">
        <v>406</v>
      </c>
      <c r="E20" s="2196">
        <v>22.8</v>
      </c>
      <c r="F20" s="2197">
        <v>29.6</v>
      </c>
      <c r="G20" s="2196" t="s">
        <v>831</v>
      </c>
      <c r="H20" s="2204">
        <v>37.1</v>
      </c>
      <c r="I20" s="2204">
        <v>27.7</v>
      </c>
      <c r="J20" s="2205">
        <v>19.399999999999999</v>
      </c>
      <c r="K20" s="2197" t="s">
        <v>831</v>
      </c>
      <c r="L20" s="2197" t="s">
        <v>831</v>
      </c>
      <c r="M20" s="2197" t="s">
        <v>831</v>
      </c>
      <c r="N20" s="1592" t="s">
        <v>831</v>
      </c>
      <c r="O20" s="2206" t="s">
        <v>831</v>
      </c>
      <c r="P20" s="1270"/>
      <c r="Q20" s="1270"/>
      <c r="R20" s="1270"/>
      <c r="S20" s="1270"/>
      <c r="T20" s="1270"/>
      <c r="U20" s="1270"/>
      <c r="V20" s="1270"/>
      <c r="W20" s="1270"/>
    </row>
    <row r="21" spans="1:23" s="1265" customFormat="1" ht="11.25" customHeight="1" x14ac:dyDescent="0.2">
      <c r="A21" s="2181"/>
      <c r="B21" s="1260"/>
      <c r="C21" s="1260"/>
      <c r="D21" s="2195" t="s">
        <v>403</v>
      </c>
      <c r="E21" s="2196">
        <v>24.7</v>
      </c>
      <c r="F21" s="2197">
        <v>24.9</v>
      </c>
      <c r="G21" s="2196" t="s">
        <v>831</v>
      </c>
      <c r="H21" s="2204">
        <v>24</v>
      </c>
      <c r="I21" s="2204">
        <v>15.1</v>
      </c>
      <c r="J21" s="2205">
        <v>12.3</v>
      </c>
      <c r="K21" s="2197" t="s">
        <v>831</v>
      </c>
      <c r="L21" s="2197" t="s">
        <v>831</v>
      </c>
      <c r="M21" s="2197" t="s">
        <v>831</v>
      </c>
      <c r="N21" s="1592" t="s">
        <v>831</v>
      </c>
      <c r="O21" s="2206" t="s">
        <v>831</v>
      </c>
      <c r="P21" s="1270"/>
      <c r="Q21" s="1270"/>
      <c r="R21" s="1270"/>
      <c r="S21" s="1270"/>
      <c r="T21" s="1270"/>
      <c r="U21" s="1270"/>
      <c r="V21" s="1270"/>
      <c r="W21" s="1270"/>
    </row>
    <row r="22" spans="1:23" s="1265" customFormat="1" ht="11.25" customHeight="1" x14ac:dyDescent="0.2">
      <c r="A22" s="2181"/>
      <c r="B22" s="1260"/>
      <c r="C22" s="1260"/>
      <c r="D22" s="2195" t="s">
        <v>401</v>
      </c>
      <c r="E22" s="2196">
        <v>11.6</v>
      </c>
      <c r="F22" s="2197">
        <v>14.5</v>
      </c>
      <c r="G22" s="2207" t="s">
        <v>831</v>
      </c>
      <c r="H22" s="2208">
        <v>34.700000000000003</v>
      </c>
      <c r="I22" s="2208">
        <v>12</v>
      </c>
      <c r="J22" s="2209">
        <v>9.6999999999999993</v>
      </c>
      <c r="K22" s="2210" t="s">
        <v>831</v>
      </c>
      <c r="L22" s="2210" t="s">
        <v>831</v>
      </c>
      <c r="M22" s="2210" t="s">
        <v>831</v>
      </c>
      <c r="N22" s="1817" t="s">
        <v>831</v>
      </c>
      <c r="O22" s="2211" t="s">
        <v>831</v>
      </c>
      <c r="P22" s="1270"/>
      <c r="Q22" s="1270"/>
      <c r="R22" s="1270"/>
      <c r="S22" s="1270"/>
      <c r="T22" s="1270"/>
      <c r="U22" s="1270"/>
      <c r="V22" s="1270"/>
      <c r="W22" s="1270"/>
    </row>
    <row r="23" spans="1:23" s="1265" customFormat="1" ht="11.25" customHeight="1" x14ac:dyDescent="0.2">
      <c r="A23" s="2181"/>
      <c r="B23" s="1260"/>
      <c r="C23" s="1260"/>
      <c r="D23" s="2212" t="s">
        <v>306</v>
      </c>
      <c r="E23" s="2213">
        <v>22.9</v>
      </c>
      <c r="F23" s="2214">
        <v>21.6</v>
      </c>
      <c r="G23" s="2213">
        <v>23.8</v>
      </c>
      <c r="H23" s="2215">
        <v>27.4</v>
      </c>
      <c r="I23" s="2215">
        <v>18</v>
      </c>
      <c r="J23" s="2216">
        <v>13.1</v>
      </c>
      <c r="K23" s="2214">
        <v>12.6</v>
      </c>
      <c r="L23" s="2214">
        <v>14.4</v>
      </c>
      <c r="M23" s="2214">
        <v>11.1</v>
      </c>
      <c r="N23" s="2214">
        <v>15.2</v>
      </c>
      <c r="O23" s="2217">
        <v>17.100000000000001</v>
      </c>
      <c r="P23" s="1270"/>
      <c r="Q23" s="1270"/>
      <c r="R23" s="1270"/>
      <c r="S23" s="1270"/>
      <c r="T23" s="1270"/>
      <c r="U23" s="1270"/>
      <c r="V23" s="1270"/>
      <c r="W23" s="1270"/>
    </row>
    <row r="24" spans="1:23" s="1265" customFormat="1" ht="11.25" customHeight="1" x14ac:dyDescent="0.2">
      <c r="A24" s="2181"/>
      <c r="B24" s="1260"/>
      <c r="C24" s="1260"/>
      <c r="D24" s="1804"/>
      <c r="E24" s="2188"/>
      <c r="F24" s="2188"/>
      <c r="G24" s="2188"/>
      <c r="H24" s="2188"/>
      <c r="I24" s="2188"/>
      <c r="J24" s="2188"/>
      <c r="K24" s="2188"/>
      <c r="L24" s="2188"/>
      <c r="M24" s="2188"/>
      <c r="N24" s="2188"/>
      <c r="O24" s="2188"/>
      <c r="P24" s="1270"/>
      <c r="Q24" s="1270"/>
      <c r="R24" s="1270"/>
      <c r="S24" s="1270"/>
      <c r="T24" s="1270"/>
      <c r="U24" s="1270"/>
      <c r="V24" s="1270"/>
      <c r="W24" s="1270"/>
    </row>
    <row r="25" spans="1:23" s="1265" customFormat="1" ht="14.25" customHeight="1" x14ac:dyDescent="0.3">
      <c r="A25" s="2181"/>
      <c r="B25" s="1260"/>
      <c r="C25" s="2182"/>
      <c r="D25" s="2218" t="s">
        <v>85</v>
      </c>
      <c r="E25" s="2174" t="s">
        <v>832</v>
      </c>
      <c r="F25" s="2219"/>
      <c r="G25" s="2219"/>
      <c r="H25" s="2220"/>
      <c r="I25" s="2220"/>
      <c r="J25" s="2220"/>
      <c r="K25" s="2220"/>
      <c r="L25" s="2220"/>
      <c r="M25" s="2221"/>
      <c r="O25" s="1592"/>
      <c r="P25" s="1270"/>
      <c r="Q25" s="1270"/>
      <c r="R25" s="1270"/>
      <c r="S25" s="1270"/>
      <c r="T25" s="1270"/>
      <c r="U25" s="1270"/>
      <c r="V25" s="1270"/>
      <c r="W25" s="1270"/>
    </row>
    <row r="26" spans="1:23" s="1265" customFormat="1" ht="14.25" customHeight="1" x14ac:dyDescent="0.3">
      <c r="A26" s="2181"/>
      <c r="B26" s="1260"/>
      <c r="C26" s="2182">
        <v>3</v>
      </c>
      <c r="D26" s="2222">
        <v>2005</v>
      </c>
      <c r="E26" s="1622"/>
      <c r="F26" s="2220"/>
      <c r="G26" s="2220"/>
      <c r="H26" s="2220"/>
      <c r="I26" s="1268"/>
      <c r="J26" s="2220"/>
      <c r="K26" s="2220"/>
      <c r="L26" s="2220"/>
      <c r="M26" s="2221"/>
      <c r="N26" s="1592"/>
      <c r="O26" s="1592"/>
      <c r="P26" s="1270"/>
      <c r="Q26" s="1270"/>
      <c r="R26" s="1270"/>
      <c r="S26" s="1270"/>
      <c r="T26" s="1270"/>
      <c r="U26" s="1270"/>
      <c r="V26" s="1270"/>
      <c r="W26" s="1270"/>
    </row>
    <row r="27" spans="1:23" s="1265" customFormat="1" ht="14.25" customHeight="1" x14ac:dyDescent="0.3">
      <c r="A27" s="2181"/>
      <c r="B27" s="1260"/>
      <c r="C27" s="1260"/>
      <c r="D27" s="2190"/>
      <c r="E27" s="2223" t="s">
        <v>833</v>
      </c>
      <c r="F27" s="2223" t="s">
        <v>834</v>
      </c>
      <c r="G27" s="2224" t="s">
        <v>835</v>
      </c>
      <c r="H27" s="2223" t="s">
        <v>836</v>
      </c>
      <c r="I27" s="2223" t="s">
        <v>837</v>
      </c>
      <c r="J27" s="2224" t="s">
        <v>838</v>
      </c>
      <c r="K27" s="2223" t="s">
        <v>839</v>
      </c>
      <c r="L27" s="2223" t="s">
        <v>840</v>
      </c>
      <c r="M27" s="2224" t="s">
        <v>841</v>
      </c>
      <c r="N27" s="1592"/>
      <c r="O27" s="1592"/>
      <c r="P27" s="1270"/>
      <c r="Q27" s="1270"/>
      <c r="R27" s="1270"/>
      <c r="S27" s="1270"/>
      <c r="T27" s="1270"/>
      <c r="U27" s="1270"/>
      <c r="V27" s="1270"/>
      <c r="W27" s="1270"/>
    </row>
    <row r="28" spans="1:23" s="1265" customFormat="1" ht="11.25" customHeight="1" x14ac:dyDescent="0.2">
      <c r="A28" s="2181"/>
      <c r="B28" s="1260"/>
      <c r="C28" s="1260"/>
      <c r="D28" s="2195" t="s">
        <v>402</v>
      </c>
      <c r="E28" s="2197">
        <v>8.82</v>
      </c>
      <c r="F28" s="2197">
        <v>22.35</v>
      </c>
      <c r="G28" s="2225">
        <v>52.35</v>
      </c>
      <c r="H28" s="2197">
        <v>0</v>
      </c>
      <c r="I28" s="2197">
        <v>10</v>
      </c>
      <c r="J28" s="2225">
        <v>29.41</v>
      </c>
      <c r="K28" s="2197">
        <v>1.76</v>
      </c>
      <c r="L28" s="2197">
        <v>6.47</v>
      </c>
      <c r="M28" s="2225">
        <v>15.88</v>
      </c>
      <c r="N28" s="1592"/>
      <c r="O28" s="1592"/>
      <c r="P28" s="1270"/>
      <c r="Q28" s="1270"/>
      <c r="R28" s="1270"/>
      <c r="S28" s="1270"/>
      <c r="T28" s="1270"/>
      <c r="U28" s="1270"/>
      <c r="V28" s="1270"/>
      <c r="W28" s="1270"/>
    </row>
    <row r="29" spans="1:23" s="1265" customFormat="1" ht="11.25" customHeight="1" x14ac:dyDescent="0.2">
      <c r="A29" s="2181"/>
      <c r="B29" s="1260"/>
      <c r="C29" s="1260"/>
      <c r="D29" s="2195" t="s">
        <v>404</v>
      </c>
      <c r="E29" s="2197">
        <v>8.42</v>
      </c>
      <c r="F29" s="2197">
        <v>34.74</v>
      </c>
      <c r="G29" s="2225">
        <v>66.319999999999993</v>
      </c>
      <c r="H29" s="2197">
        <v>1.05</v>
      </c>
      <c r="I29" s="2197">
        <v>16.84</v>
      </c>
      <c r="J29" s="2225">
        <v>49.47</v>
      </c>
      <c r="K29" s="2197">
        <v>0</v>
      </c>
      <c r="L29" s="2197">
        <v>3.16</v>
      </c>
      <c r="M29" s="2225">
        <v>18.95</v>
      </c>
      <c r="N29" s="1592"/>
      <c r="O29" s="1592"/>
      <c r="P29" s="1270"/>
      <c r="Q29" s="1270"/>
      <c r="R29" s="1270"/>
      <c r="S29" s="1270"/>
      <c r="T29" s="1270"/>
      <c r="U29" s="1270"/>
      <c r="V29" s="1270"/>
      <c r="W29" s="1270"/>
    </row>
    <row r="30" spans="1:23" s="1265" customFormat="1" ht="11.25" customHeight="1" x14ac:dyDescent="0.2">
      <c r="A30" s="2181"/>
      <c r="B30" s="1260"/>
      <c r="C30" s="1260"/>
      <c r="D30" s="2195" t="s">
        <v>407</v>
      </c>
      <c r="E30" s="2197">
        <v>7.17</v>
      </c>
      <c r="F30" s="2197">
        <v>21.5</v>
      </c>
      <c r="G30" s="2225">
        <v>47.1</v>
      </c>
      <c r="H30" s="2197">
        <v>0.68</v>
      </c>
      <c r="I30" s="2197">
        <v>8.19</v>
      </c>
      <c r="J30" s="2225">
        <v>36.520000000000003</v>
      </c>
      <c r="K30" s="2197">
        <v>1.02</v>
      </c>
      <c r="L30" s="2197">
        <v>4.4400000000000004</v>
      </c>
      <c r="M30" s="2225">
        <v>19.8</v>
      </c>
      <c r="N30" s="1592"/>
      <c r="O30" s="1592"/>
      <c r="P30" s="1270"/>
      <c r="Q30" s="1270"/>
      <c r="R30" s="1270"/>
      <c r="S30" s="1270"/>
      <c r="T30" s="1270"/>
      <c r="U30" s="1270"/>
      <c r="V30" s="1270"/>
      <c r="W30" s="1270"/>
    </row>
    <row r="31" spans="1:23" s="1265" customFormat="1" ht="11.25" customHeight="1" x14ac:dyDescent="0.2">
      <c r="A31" s="2181"/>
      <c r="B31" s="1260"/>
      <c r="C31" s="1260"/>
      <c r="D31" s="2195" t="s">
        <v>405</v>
      </c>
      <c r="E31" s="2197">
        <v>3.29</v>
      </c>
      <c r="F31" s="2197">
        <v>17.28</v>
      </c>
      <c r="G31" s="2225">
        <v>53.91</v>
      </c>
      <c r="H31" s="2197">
        <v>0.82</v>
      </c>
      <c r="I31" s="2197">
        <v>4.12</v>
      </c>
      <c r="J31" s="2225">
        <v>29.22</v>
      </c>
      <c r="K31" s="2197">
        <v>0</v>
      </c>
      <c r="L31" s="2197">
        <v>1.65</v>
      </c>
      <c r="M31" s="2225">
        <v>4.9400000000000004</v>
      </c>
      <c r="N31" s="1592"/>
      <c r="O31" s="1592"/>
      <c r="P31" s="1270"/>
      <c r="Q31" s="1270"/>
      <c r="R31" s="1270"/>
      <c r="S31" s="1270"/>
      <c r="T31" s="1270"/>
      <c r="U31" s="1270"/>
      <c r="V31" s="1270"/>
      <c r="W31" s="1270"/>
    </row>
    <row r="32" spans="1:23" s="1265" customFormat="1" ht="11.25" customHeight="1" x14ac:dyDescent="0.2">
      <c r="A32" s="2181"/>
      <c r="B32" s="1260"/>
      <c r="C32" s="1260"/>
      <c r="D32" s="2195" t="s">
        <v>409</v>
      </c>
      <c r="E32" s="2197">
        <v>9.14</v>
      </c>
      <c r="F32" s="2197">
        <v>28.49</v>
      </c>
      <c r="G32" s="2225">
        <v>59.14</v>
      </c>
      <c r="H32" s="2197">
        <v>2.15</v>
      </c>
      <c r="I32" s="2197">
        <v>12.9</v>
      </c>
      <c r="J32" s="2225">
        <v>44.62</v>
      </c>
      <c r="K32" s="2197">
        <v>0.54</v>
      </c>
      <c r="L32" s="2197">
        <v>4.3</v>
      </c>
      <c r="M32" s="2225">
        <v>20.43</v>
      </c>
      <c r="N32" s="1592"/>
      <c r="O32" s="1592"/>
      <c r="P32" s="1270"/>
      <c r="Q32" s="1270"/>
      <c r="R32" s="1270"/>
      <c r="S32" s="1270"/>
      <c r="T32" s="1270"/>
      <c r="U32" s="1270"/>
      <c r="V32" s="1270"/>
      <c r="W32" s="1270"/>
    </row>
    <row r="33" spans="1:23" s="1265" customFormat="1" ht="11.25" customHeight="1" x14ac:dyDescent="0.2">
      <c r="A33" s="2181"/>
      <c r="B33" s="1260"/>
      <c r="C33" s="1260"/>
      <c r="D33" s="2195" t="s">
        <v>408</v>
      </c>
      <c r="E33" s="2197">
        <v>5.15</v>
      </c>
      <c r="F33" s="2197">
        <v>14.43</v>
      </c>
      <c r="G33" s="2225">
        <v>39.18</v>
      </c>
      <c r="H33" s="2197">
        <v>1.03</v>
      </c>
      <c r="I33" s="2197">
        <v>8.25</v>
      </c>
      <c r="J33" s="2225">
        <v>42.27</v>
      </c>
      <c r="K33" s="2197">
        <v>3.09</v>
      </c>
      <c r="L33" s="2197">
        <v>10.31</v>
      </c>
      <c r="M33" s="2225">
        <v>20.62</v>
      </c>
      <c r="N33" s="1592"/>
      <c r="O33" s="1592"/>
      <c r="P33" s="1270"/>
      <c r="Q33" s="1270"/>
      <c r="R33" s="1270"/>
      <c r="S33" s="1270"/>
      <c r="T33" s="1270"/>
      <c r="U33" s="1270"/>
      <c r="V33" s="1270"/>
      <c r="W33" s="1270"/>
    </row>
    <row r="34" spans="1:23" s="1265" customFormat="1" ht="11.25" customHeight="1" x14ac:dyDescent="0.2">
      <c r="A34" s="2181"/>
      <c r="B34" s="1260"/>
      <c r="C34" s="1260"/>
      <c r="D34" s="2195" t="s">
        <v>406</v>
      </c>
      <c r="E34" s="2197">
        <v>5.69</v>
      </c>
      <c r="F34" s="2197">
        <v>20.329999999999998</v>
      </c>
      <c r="G34" s="2225">
        <v>43.9</v>
      </c>
      <c r="H34" s="2197">
        <v>2.44</v>
      </c>
      <c r="I34" s="2197">
        <v>13.01</v>
      </c>
      <c r="J34" s="2225">
        <v>44.72</v>
      </c>
      <c r="K34" s="2197">
        <v>0</v>
      </c>
      <c r="L34" s="2197">
        <v>4.07</v>
      </c>
      <c r="M34" s="2225">
        <v>23.58</v>
      </c>
      <c r="N34" s="1592"/>
      <c r="O34" s="1592"/>
      <c r="P34" s="1270"/>
      <c r="Q34" s="1270"/>
      <c r="R34" s="1270"/>
      <c r="S34" s="1270"/>
      <c r="T34" s="1270"/>
      <c r="U34" s="1270"/>
      <c r="V34" s="1270"/>
      <c r="W34" s="1270"/>
    </row>
    <row r="35" spans="1:23" s="1265" customFormat="1" ht="11.25" customHeight="1" x14ac:dyDescent="0.2">
      <c r="A35" s="2181"/>
      <c r="B35" s="1260"/>
      <c r="C35" s="1260"/>
      <c r="D35" s="2195" t="s">
        <v>403</v>
      </c>
      <c r="E35" s="2197">
        <v>6.45</v>
      </c>
      <c r="F35" s="2197">
        <v>29.03</v>
      </c>
      <c r="G35" s="2225">
        <v>70.97</v>
      </c>
      <c r="H35" s="2197">
        <v>3.23</v>
      </c>
      <c r="I35" s="2197">
        <v>45.16</v>
      </c>
      <c r="J35" s="2225">
        <v>80.650000000000006</v>
      </c>
      <c r="K35" s="2197">
        <v>0</v>
      </c>
      <c r="L35" s="2197">
        <v>19.350000000000001</v>
      </c>
      <c r="M35" s="2225">
        <v>54.84</v>
      </c>
      <c r="N35" s="1592"/>
      <c r="O35" s="1592"/>
      <c r="P35" s="1270"/>
      <c r="Q35" s="1270"/>
      <c r="R35" s="1270"/>
      <c r="S35" s="1270"/>
      <c r="T35" s="1270"/>
      <c r="U35" s="1270"/>
      <c r="V35" s="1270"/>
      <c r="W35" s="1270"/>
    </row>
    <row r="36" spans="1:23" s="1265" customFormat="1" ht="11.25" customHeight="1" x14ac:dyDescent="0.2">
      <c r="A36" s="2181"/>
      <c r="B36" s="1260"/>
      <c r="C36" s="1260"/>
      <c r="D36" s="2195" t="s">
        <v>401</v>
      </c>
      <c r="E36" s="2197">
        <v>0</v>
      </c>
      <c r="F36" s="2197">
        <v>10.37</v>
      </c>
      <c r="G36" s="2225">
        <v>27.41</v>
      </c>
      <c r="H36" s="2197">
        <v>0</v>
      </c>
      <c r="I36" s="2197">
        <v>8.15</v>
      </c>
      <c r="J36" s="2225">
        <v>44.44</v>
      </c>
      <c r="K36" s="2197">
        <v>5.19</v>
      </c>
      <c r="L36" s="2197">
        <v>11.85</v>
      </c>
      <c r="M36" s="2225">
        <v>35.56</v>
      </c>
      <c r="N36" s="1592"/>
      <c r="O36" s="1592"/>
      <c r="P36" s="1270"/>
      <c r="Q36" s="1270"/>
      <c r="R36" s="1270"/>
      <c r="S36" s="1270"/>
      <c r="T36" s="1270"/>
      <c r="U36" s="1270"/>
      <c r="V36" s="1270"/>
      <c r="W36" s="1270"/>
    </row>
    <row r="37" spans="1:23" s="1265" customFormat="1" ht="11.25" customHeight="1" x14ac:dyDescent="0.2">
      <c r="A37" s="2181"/>
      <c r="B37" s="1260"/>
      <c r="C37" s="1260"/>
      <c r="D37" s="2212" t="s">
        <v>306</v>
      </c>
      <c r="E37" s="2214">
        <v>6.25</v>
      </c>
      <c r="F37" s="2226">
        <v>21.19</v>
      </c>
      <c r="G37" s="2227">
        <v>49.67</v>
      </c>
      <c r="H37" s="2226">
        <v>1.02</v>
      </c>
      <c r="I37" s="2226">
        <v>10.199999999999999</v>
      </c>
      <c r="J37" s="2227">
        <v>39.26</v>
      </c>
      <c r="K37" s="2226">
        <v>1.24</v>
      </c>
      <c r="L37" s="2226">
        <v>5.54</v>
      </c>
      <c r="M37" s="2227">
        <v>19.45</v>
      </c>
      <c r="N37" s="1592"/>
      <c r="O37" s="1592"/>
      <c r="P37" s="1270"/>
      <c r="Q37" s="1270"/>
      <c r="R37" s="1270"/>
      <c r="S37" s="1270"/>
      <c r="T37" s="1270"/>
      <c r="U37" s="1270"/>
      <c r="V37" s="1270"/>
      <c r="W37" s="1270"/>
    </row>
    <row r="38" spans="1:23" s="1265" customFormat="1" ht="11.25" customHeight="1" x14ac:dyDescent="0.2">
      <c r="A38" s="2181"/>
      <c r="B38" s="1260"/>
      <c r="C38" s="1260"/>
      <c r="D38" s="1804"/>
      <c r="E38" s="2188"/>
      <c r="F38" s="2189"/>
      <c r="G38" s="2189"/>
      <c r="H38" s="2189"/>
      <c r="I38" s="2189"/>
      <c r="J38" s="2189"/>
      <c r="K38" s="2189"/>
      <c r="L38" s="2189"/>
      <c r="M38" s="2189"/>
      <c r="N38" s="1592"/>
      <c r="O38" s="1592"/>
      <c r="P38" s="1270"/>
      <c r="Q38" s="1270"/>
      <c r="R38" s="1270"/>
      <c r="S38" s="1270"/>
      <c r="T38" s="1270"/>
      <c r="U38" s="1270"/>
      <c r="V38" s="1270"/>
      <c r="W38" s="1270"/>
    </row>
    <row r="39" spans="1:23" s="1265" customFormat="1" ht="14.25" customHeight="1" x14ac:dyDescent="0.3">
      <c r="A39" s="2181"/>
      <c r="B39" s="1260"/>
      <c r="C39" s="2182">
        <v>4</v>
      </c>
      <c r="D39" s="2222">
        <v>1999</v>
      </c>
      <c r="E39" s="1622"/>
      <c r="F39" s="2220"/>
      <c r="G39" s="2220"/>
      <c r="H39" s="2220"/>
      <c r="I39" s="1268"/>
      <c r="J39" s="2220"/>
      <c r="K39" s="2220"/>
      <c r="L39" s="2220"/>
      <c r="M39" s="2221"/>
      <c r="O39" s="1592"/>
      <c r="P39" s="1270"/>
      <c r="Q39" s="1270"/>
      <c r="R39" s="1270"/>
      <c r="S39" s="1270"/>
      <c r="T39" s="1270"/>
      <c r="U39" s="1270"/>
      <c r="V39" s="1270"/>
      <c r="W39" s="1270"/>
    </row>
    <row r="40" spans="1:23" s="1265" customFormat="1" ht="14.25" customHeight="1" x14ac:dyDescent="0.3">
      <c r="A40" s="2181"/>
      <c r="B40" s="1260"/>
      <c r="C40" s="2182"/>
      <c r="D40" s="2190"/>
      <c r="E40" s="2223" t="s">
        <v>833</v>
      </c>
      <c r="F40" s="2223" t="s">
        <v>834</v>
      </c>
      <c r="G40" s="2224" t="s">
        <v>835</v>
      </c>
      <c r="H40" s="2223" t="s">
        <v>836</v>
      </c>
      <c r="I40" s="2223" t="s">
        <v>837</v>
      </c>
      <c r="J40" s="2224" t="s">
        <v>838</v>
      </c>
      <c r="K40" s="2223" t="s">
        <v>839</v>
      </c>
      <c r="L40" s="2223" t="s">
        <v>840</v>
      </c>
      <c r="M40" s="2223" t="s">
        <v>841</v>
      </c>
      <c r="O40" s="1592"/>
      <c r="P40" s="1270"/>
      <c r="Q40" s="1270"/>
      <c r="R40" s="1270"/>
      <c r="S40" s="1270"/>
      <c r="T40" s="1270"/>
      <c r="U40" s="1270"/>
      <c r="V40" s="1270"/>
      <c r="W40" s="1270"/>
    </row>
    <row r="41" spans="1:23" s="1265" customFormat="1" ht="11.25" customHeight="1" x14ac:dyDescent="0.25">
      <c r="A41" s="2181"/>
      <c r="B41" s="1260"/>
      <c r="C41" s="2182"/>
      <c r="D41" s="2195" t="s">
        <v>402</v>
      </c>
      <c r="E41" s="2197">
        <v>7.03</v>
      </c>
      <c r="F41" s="2197">
        <v>21.88</v>
      </c>
      <c r="G41" s="2225">
        <v>48.44</v>
      </c>
      <c r="H41" s="2197">
        <v>1.56</v>
      </c>
      <c r="I41" s="2197">
        <v>7.03</v>
      </c>
      <c r="J41" s="2225">
        <v>29.3</v>
      </c>
      <c r="K41" s="2197">
        <v>0.39</v>
      </c>
      <c r="L41" s="2197">
        <v>2.73</v>
      </c>
      <c r="M41" s="2225">
        <v>9.77</v>
      </c>
      <c r="O41" s="1592"/>
      <c r="P41" s="1270"/>
      <c r="Q41" s="1270"/>
      <c r="R41" s="1270"/>
      <c r="S41" s="1270"/>
      <c r="T41" s="1270"/>
      <c r="U41" s="1270"/>
      <c r="V41" s="1270"/>
      <c r="W41" s="1270"/>
    </row>
    <row r="42" spans="1:23" s="1265" customFormat="1" ht="11.25" customHeight="1" x14ac:dyDescent="0.25">
      <c r="A42" s="2181"/>
      <c r="B42" s="1260"/>
      <c r="C42" s="2182"/>
      <c r="D42" s="2195" t="s">
        <v>404</v>
      </c>
      <c r="E42" s="2197">
        <v>13.51</v>
      </c>
      <c r="F42" s="2197">
        <v>35.81</v>
      </c>
      <c r="G42" s="2225">
        <v>66.22</v>
      </c>
      <c r="H42" s="2197">
        <v>1.35</v>
      </c>
      <c r="I42" s="2197">
        <v>16.89</v>
      </c>
      <c r="J42" s="2225">
        <v>53.38</v>
      </c>
      <c r="K42" s="2197">
        <v>2.0299999999999998</v>
      </c>
      <c r="L42" s="2197">
        <v>2.7</v>
      </c>
      <c r="M42" s="2225">
        <v>17.57</v>
      </c>
      <c r="O42" s="1592"/>
      <c r="P42" s="1270"/>
      <c r="Q42" s="1270"/>
      <c r="R42" s="1270"/>
      <c r="S42" s="1270"/>
      <c r="T42" s="1270"/>
      <c r="U42" s="1270"/>
      <c r="V42" s="1270"/>
      <c r="W42" s="1270"/>
    </row>
    <row r="43" spans="1:23" s="1265" customFormat="1" ht="11.25" customHeight="1" x14ac:dyDescent="0.25">
      <c r="A43" s="2181"/>
      <c r="B43" s="1260"/>
      <c r="C43" s="2182"/>
      <c r="D43" s="2195" t="s">
        <v>407</v>
      </c>
      <c r="E43" s="2197">
        <v>6.92</v>
      </c>
      <c r="F43" s="2197">
        <v>23.58</v>
      </c>
      <c r="G43" s="2225">
        <v>50.31</v>
      </c>
      <c r="H43" s="2197">
        <v>0.63</v>
      </c>
      <c r="I43" s="2197">
        <v>10.06</v>
      </c>
      <c r="J43" s="2225">
        <v>33.65</v>
      </c>
      <c r="K43" s="2197">
        <v>0</v>
      </c>
      <c r="L43" s="2197">
        <v>1.26</v>
      </c>
      <c r="M43" s="2225">
        <v>14.78</v>
      </c>
      <c r="O43" s="1592"/>
      <c r="P43" s="1270"/>
      <c r="Q43" s="1270"/>
      <c r="R43" s="1270"/>
      <c r="S43" s="1270"/>
      <c r="T43" s="1270"/>
      <c r="U43" s="1270"/>
      <c r="V43" s="1270"/>
      <c r="W43" s="1270"/>
    </row>
    <row r="44" spans="1:23" s="1265" customFormat="1" ht="11.25" customHeight="1" x14ac:dyDescent="0.25">
      <c r="A44" s="2181"/>
      <c r="B44" s="1260"/>
      <c r="C44" s="2182"/>
      <c r="D44" s="2195" t="s">
        <v>405</v>
      </c>
      <c r="E44" s="2197">
        <v>6.21</v>
      </c>
      <c r="F44" s="2197">
        <v>23.6</v>
      </c>
      <c r="G44" s="2225">
        <v>52.8</v>
      </c>
      <c r="H44" s="2197">
        <v>0.93</v>
      </c>
      <c r="I44" s="2197">
        <v>7.45</v>
      </c>
      <c r="J44" s="2225">
        <v>31.99</v>
      </c>
      <c r="K44" s="2197">
        <v>0.62</v>
      </c>
      <c r="L44" s="2197">
        <v>2.48</v>
      </c>
      <c r="M44" s="2225">
        <v>12.42</v>
      </c>
      <c r="O44" s="1592"/>
      <c r="P44" s="1270"/>
      <c r="Q44" s="1270"/>
      <c r="R44" s="1270"/>
      <c r="S44" s="1270"/>
      <c r="T44" s="1270"/>
      <c r="U44" s="1270"/>
      <c r="V44" s="1270"/>
      <c r="W44" s="1270"/>
    </row>
    <row r="45" spans="1:23" s="1265" customFormat="1" ht="11.25" customHeight="1" x14ac:dyDescent="0.25">
      <c r="A45" s="2181"/>
      <c r="B45" s="1260"/>
      <c r="C45" s="2182"/>
      <c r="D45" s="2195" t="s">
        <v>409</v>
      </c>
      <c r="E45" s="2197">
        <v>6.47</v>
      </c>
      <c r="F45" s="2197">
        <v>24.14</v>
      </c>
      <c r="G45" s="2225">
        <v>55.17</v>
      </c>
      <c r="H45" s="2197">
        <v>1.72</v>
      </c>
      <c r="I45" s="2197">
        <v>15.09</v>
      </c>
      <c r="J45" s="2225">
        <v>50</v>
      </c>
      <c r="K45" s="2197">
        <v>1.72</v>
      </c>
      <c r="L45" s="2197">
        <v>8.6199999999999992</v>
      </c>
      <c r="M45" s="2225">
        <v>30.6</v>
      </c>
      <c r="O45" s="1592"/>
      <c r="P45" s="1270"/>
      <c r="Q45" s="1270"/>
      <c r="R45" s="1270"/>
      <c r="S45" s="1270"/>
      <c r="T45" s="1270"/>
      <c r="U45" s="1270"/>
      <c r="V45" s="1270"/>
      <c r="W45" s="1270"/>
    </row>
    <row r="46" spans="1:23" s="1265" customFormat="1" ht="11.25" customHeight="1" x14ac:dyDescent="0.25">
      <c r="A46" s="2181"/>
      <c r="B46" s="1260"/>
      <c r="C46" s="2182"/>
      <c r="D46" s="2195" t="s">
        <v>408</v>
      </c>
      <c r="E46" s="2197">
        <v>8.74</v>
      </c>
      <c r="F46" s="2197">
        <v>25.24</v>
      </c>
      <c r="G46" s="2225">
        <v>58.25</v>
      </c>
      <c r="H46" s="2197">
        <v>2.91</v>
      </c>
      <c r="I46" s="2197">
        <v>5.83</v>
      </c>
      <c r="J46" s="2225">
        <v>29.13</v>
      </c>
      <c r="K46" s="2197">
        <v>0</v>
      </c>
      <c r="L46" s="2197">
        <v>0.97</v>
      </c>
      <c r="M46" s="2225">
        <v>10.68</v>
      </c>
      <c r="O46" s="1592"/>
      <c r="P46" s="1270"/>
      <c r="Q46" s="1270"/>
      <c r="R46" s="1270"/>
      <c r="S46" s="1270"/>
      <c r="T46" s="1270"/>
      <c r="U46" s="1270"/>
      <c r="V46" s="1270"/>
      <c r="W46" s="1270"/>
    </row>
    <row r="47" spans="1:23" s="1265" customFormat="1" ht="11.25" customHeight="1" x14ac:dyDescent="0.25">
      <c r="A47" s="2181"/>
      <c r="B47" s="1260"/>
      <c r="C47" s="2182"/>
      <c r="D47" s="2195" t="s">
        <v>406</v>
      </c>
      <c r="E47" s="2197">
        <v>6.94</v>
      </c>
      <c r="F47" s="2197">
        <v>26.01</v>
      </c>
      <c r="G47" s="2225">
        <v>57.8</v>
      </c>
      <c r="H47" s="2197">
        <v>2.31</v>
      </c>
      <c r="I47" s="2197">
        <v>16.760000000000002</v>
      </c>
      <c r="J47" s="2225">
        <v>56.07</v>
      </c>
      <c r="K47" s="2197">
        <v>1.1599999999999999</v>
      </c>
      <c r="L47" s="2197">
        <v>6.36</v>
      </c>
      <c r="M47" s="2225">
        <v>27.17</v>
      </c>
      <c r="O47" s="1592"/>
      <c r="P47" s="1270"/>
      <c r="Q47" s="1270"/>
      <c r="R47" s="1270"/>
      <c r="S47" s="1270"/>
      <c r="T47" s="1270"/>
      <c r="U47" s="1270"/>
      <c r="V47" s="1270"/>
      <c r="W47" s="1270"/>
    </row>
    <row r="48" spans="1:23" s="1265" customFormat="1" ht="11.25" customHeight="1" x14ac:dyDescent="0.25">
      <c r="A48" s="2181"/>
      <c r="B48" s="1260"/>
      <c r="C48" s="2182"/>
      <c r="D48" s="2195" t="s">
        <v>403</v>
      </c>
      <c r="E48" s="2197">
        <v>13.08</v>
      </c>
      <c r="F48" s="2197">
        <v>30.84</v>
      </c>
      <c r="G48" s="2225">
        <v>55.14</v>
      </c>
      <c r="H48" s="2197">
        <v>8.41</v>
      </c>
      <c r="I48" s="2197">
        <v>25.23</v>
      </c>
      <c r="J48" s="2225">
        <v>57.01</v>
      </c>
      <c r="K48" s="2197">
        <v>2.8</v>
      </c>
      <c r="L48" s="2197">
        <v>9.35</v>
      </c>
      <c r="M48" s="2225">
        <v>37.380000000000003</v>
      </c>
      <c r="O48" s="1592"/>
      <c r="P48" s="1270"/>
      <c r="Q48" s="1270"/>
      <c r="R48" s="1270"/>
      <c r="S48" s="1270"/>
      <c r="T48" s="1270"/>
      <c r="U48" s="1270"/>
      <c r="V48" s="1270"/>
      <c r="W48" s="1270"/>
    </row>
    <row r="49" spans="1:23" s="1265" customFormat="1" ht="11.25" customHeight="1" x14ac:dyDescent="0.25">
      <c r="A49" s="2181"/>
      <c r="B49" s="1260"/>
      <c r="C49" s="2182"/>
      <c r="D49" s="2195" t="s">
        <v>401</v>
      </c>
      <c r="E49" s="2197">
        <v>2.69</v>
      </c>
      <c r="F49" s="2197">
        <v>14.35</v>
      </c>
      <c r="G49" s="2225">
        <v>34.979999999999997</v>
      </c>
      <c r="H49" s="2197">
        <v>0.9</v>
      </c>
      <c r="I49" s="2197">
        <v>8.07</v>
      </c>
      <c r="J49" s="2225">
        <v>33.630000000000003</v>
      </c>
      <c r="K49" s="2197">
        <v>0</v>
      </c>
      <c r="L49" s="2197">
        <v>0.9</v>
      </c>
      <c r="M49" s="2225">
        <v>17.940000000000001</v>
      </c>
      <c r="O49" s="1592"/>
      <c r="P49" s="1270"/>
      <c r="Q49" s="1270"/>
      <c r="R49" s="1270"/>
      <c r="S49" s="1270"/>
      <c r="T49" s="1270"/>
      <c r="U49" s="1270"/>
      <c r="V49" s="1270"/>
      <c r="W49" s="1270"/>
    </row>
    <row r="50" spans="1:23" s="1265" customFormat="1" ht="11.25" customHeight="1" x14ac:dyDescent="0.25">
      <c r="A50" s="2181"/>
      <c r="B50" s="1260"/>
      <c r="C50" s="2182"/>
      <c r="D50" s="2212" t="s">
        <v>306</v>
      </c>
      <c r="E50" s="2228">
        <v>7.23</v>
      </c>
      <c r="F50" s="2228">
        <v>24.02</v>
      </c>
      <c r="G50" s="2229">
        <v>51.91</v>
      </c>
      <c r="H50" s="2228">
        <v>1.75</v>
      </c>
      <c r="I50" s="2228">
        <v>11.37</v>
      </c>
      <c r="J50" s="2229">
        <v>39.479999999999997</v>
      </c>
      <c r="K50" s="2228">
        <v>0.8</v>
      </c>
      <c r="L50" s="2228">
        <v>3.56</v>
      </c>
      <c r="M50" s="2229">
        <v>18.440000000000001</v>
      </c>
      <c r="N50" s="1592"/>
      <c r="O50" s="1592"/>
      <c r="P50" s="1270"/>
      <c r="Q50" s="1270"/>
      <c r="R50" s="1270"/>
      <c r="S50" s="1270"/>
      <c r="T50" s="1270"/>
      <c r="U50" s="1270"/>
      <c r="V50" s="1270"/>
      <c r="W50" s="1270"/>
    </row>
    <row r="51" spans="1:23" s="1265" customFormat="1" ht="11.25" customHeight="1" x14ac:dyDescent="0.25">
      <c r="A51" s="2181"/>
      <c r="B51" s="1260"/>
      <c r="C51" s="2182"/>
      <c r="D51" s="1804"/>
      <c r="E51" s="2230"/>
      <c r="F51" s="2230"/>
      <c r="G51" s="2230"/>
      <c r="H51" s="1592"/>
      <c r="I51" s="1592"/>
      <c r="J51" s="1592"/>
      <c r="K51" s="1592"/>
      <c r="L51" s="1592"/>
      <c r="M51" s="1592"/>
      <c r="N51" s="1592"/>
      <c r="O51" s="1592"/>
      <c r="P51" s="1270"/>
      <c r="Q51" s="1270"/>
      <c r="R51" s="1270"/>
      <c r="S51" s="1270"/>
      <c r="T51" s="1270"/>
      <c r="U51" s="1270"/>
      <c r="V51" s="1270"/>
      <c r="W51" s="1270"/>
    </row>
    <row r="52" spans="1:23" s="1265" customFormat="1" ht="14.25" customHeight="1" x14ac:dyDescent="0.3">
      <c r="A52" s="2181"/>
      <c r="B52" s="1260"/>
      <c r="C52" s="2182">
        <v>5</v>
      </c>
      <c r="D52" s="2222">
        <v>1994</v>
      </c>
      <c r="E52" s="1622"/>
      <c r="F52" s="2220"/>
      <c r="G52" s="2220"/>
      <c r="H52" s="2220"/>
      <c r="I52" s="1268"/>
      <c r="J52" s="2220"/>
      <c r="K52" s="2220"/>
      <c r="L52" s="2220"/>
      <c r="M52" s="2221"/>
      <c r="O52" s="1592"/>
      <c r="P52" s="1270"/>
      <c r="Q52" s="1270"/>
      <c r="R52" s="1270"/>
      <c r="S52" s="1270"/>
      <c r="T52" s="1270"/>
      <c r="U52" s="1270"/>
      <c r="V52" s="1270"/>
      <c r="W52" s="1270"/>
    </row>
    <row r="53" spans="1:23" s="1265" customFormat="1" ht="14.25" customHeight="1" x14ac:dyDescent="0.3">
      <c r="A53" s="2181"/>
      <c r="B53" s="1260"/>
      <c r="C53" s="2182"/>
      <c r="D53" s="2190"/>
      <c r="E53" s="2223" t="s">
        <v>833</v>
      </c>
      <c r="F53" s="2223" t="s">
        <v>834</v>
      </c>
      <c r="G53" s="2224" t="s">
        <v>835</v>
      </c>
      <c r="H53" s="2223" t="s">
        <v>836</v>
      </c>
      <c r="I53" s="2223" t="s">
        <v>837</v>
      </c>
      <c r="J53" s="2224" t="s">
        <v>838</v>
      </c>
      <c r="K53" s="2223" t="s">
        <v>839</v>
      </c>
      <c r="L53" s="2223" t="s">
        <v>840</v>
      </c>
      <c r="M53" s="2224" t="s">
        <v>841</v>
      </c>
      <c r="O53" s="1592"/>
      <c r="P53" s="1270"/>
      <c r="Q53" s="1270"/>
      <c r="R53" s="1270"/>
      <c r="S53" s="1270"/>
      <c r="T53" s="1270"/>
      <c r="U53" s="1270"/>
      <c r="V53" s="1270"/>
      <c r="W53" s="1270"/>
    </row>
    <row r="54" spans="1:23" s="1265" customFormat="1" ht="11.25" customHeight="1" x14ac:dyDescent="0.25">
      <c r="A54" s="2181"/>
      <c r="B54" s="1260"/>
      <c r="C54" s="2182"/>
      <c r="D54" s="2195" t="s">
        <v>402</v>
      </c>
      <c r="E54" s="2231">
        <v>8.4</v>
      </c>
      <c r="F54" s="2231">
        <v>28.8</v>
      </c>
      <c r="G54" s="2232" t="s">
        <v>842</v>
      </c>
      <c r="H54" s="2231">
        <v>2.2000000000000002</v>
      </c>
      <c r="I54" s="2231">
        <v>11.4</v>
      </c>
      <c r="J54" s="2232" t="s">
        <v>842</v>
      </c>
      <c r="K54" s="2231">
        <v>0.6</v>
      </c>
      <c r="L54" s="2231">
        <v>3.2</v>
      </c>
      <c r="M54" s="2232" t="s">
        <v>842</v>
      </c>
      <c r="O54" s="1592"/>
      <c r="P54" s="1270"/>
      <c r="Q54" s="1270"/>
      <c r="R54" s="1270"/>
      <c r="S54" s="1270"/>
      <c r="T54" s="1270"/>
      <c r="U54" s="1270"/>
      <c r="V54" s="1270"/>
      <c r="W54" s="1270"/>
    </row>
    <row r="55" spans="1:23" s="1265" customFormat="1" ht="11.25" customHeight="1" x14ac:dyDescent="0.25">
      <c r="A55" s="2181"/>
      <c r="B55" s="1260"/>
      <c r="C55" s="2182"/>
      <c r="D55" s="2195" t="s">
        <v>404</v>
      </c>
      <c r="E55" s="2230">
        <v>8.6</v>
      </c>
      <c r="F55" s="2230">
        <v>28.7</v>
      </c>
      <c r="G55" s="2233" t="s">
        <v>842</v>
      </c>
      <c r="H55" s="2230">
        <v>2.4</v>
      </c>
      <c r="I55" s="2230">
        <v>13.6</v>
      </c>
      <c r="J55" s="2233" t="s">
        <v>842</v>
      </c>
      <c r="K55" s="2230">
        <v>0.8</v>
      </c>
      <c r="L55" s="2230">
        <v>4.5</v>
      </c>
      <c r="M55" s="2233" t="s">
        <v>842</v>
      </c>
      <c r="O55" s="1592"/>
      <c r="P55" s="1270"/>
      <c r="Q55" s="1270"/>
      <c r="R55" s="1270"/>
      <c r="S55" s="1270"/>
      <c r="T55" s="1270"/>
      <c r="U55" s="1270"/>
      <c r="V55" s="1270"/>
      <c r="W55" s="1270"/>
    </row>
    <row r="56" spans="1:23" s="1265" customFormat="1" ht="11.25" customHeight="1" x14ac:dyDescent="0.25">
      <c r="A56" s="2181"/>
      <c r="B56" s="1260"/>
      <c r="C56" s="2182"/>
      <c r="D56" s="2195" t="s">
        <v>407</v>
      </c>
      <c r="E56" s="2230">
        <v>2.2000000000000002</v>
      </c>
      <c r="F56" s="2230">
        <v>11.5</v>
      </c>
      <c r="G56" s="2233" t="s">
        <v>842</v>
      </c>
      <c r="H56" s="2230">
        <v>0.6</v>
      </c>
      <c r="I56" s="2230">
        <v>5.6</v>
      </c>
      <c r="J56" s="2233" t="s">
        <v>842</v>
      </c>
      <c r="K56" s="2230">
        <v>0</v>
      </c>
      <c r="L56" s="2230">
        <v>1.2</v>
      </c>
      <c r="M56" s="2233" t="s">
        <v>842</v>
      </c>
      <c r="O56" s="1592"/>
      <c r="P56" s="1270"/>
      <c r="Q56" s="1270"/>
      <c r="R56" s="1270"/>
      <c r="S56" s="1270"/>
      <c r="T56" s="1270"/>
      <c r="U56" s="1270"/>
      <c r="V56" s="1270"/>
      <c r="W56" s="1270"/>
    </row>
    <row r="57" spans="1:23" s="1265" customFormat="1" ht="11.25" customHeight="1" x14ac:dyDescent="0.25">
      <c r="A57" s="2181"/>
      <c r="B57" s="1260"/>
      <c r="C57" s="2182"/>
      <c r="D57" s="2195" t="s">
        <v>405</v>
      </c>
      <c r="E57" s="2230">
        <v>3.5</v>
      </c>
      <c r="F57" s="2230">
        <v>14.6</v>
      </c>
      <c r="G57" s="2233" t="s">
        <v>842</v>
      </c>
      <c r="H57" s="2230">
        <v>0.2</v>
      </c>
      <c r="I57" s="2230">
        <v>4.2</v>
      </c>
      <c r="J57" s="2233" t="s">
        <v>842</v>
      </c>
      <c r="K57" s="2230">
        <v>0.1</v>
      </c>
      <c r="L57" s="2230">
        <v>0.7</v>
      </c>
      <c r="M57" s="2233" t="s">
        <v>842</v>
      </c>
      <c r="O57" s="1592"/>
      <c r="P57" s="1270"/>
      <c r="Q57" s="1270"/>
      <c r="R57" s="1270"/>
      <c r="S57" s="1270"/>
      <c r="T57" s="1270"/>
      <c r="U57" s="1270"/>
      <c r="V57" s="1270"/>
      <c r="W57" s="1270"/>
    </row>
    <row r="58" spans="1:23" s="1265" customFormat="1" ht="11.25" customHeight="1" x14ac:dyDescent="0.25">
      <c r="A58" s="2181"/>
      <c r="B58" s="1260"/>
      <c r="C58" s="2182"/>
      <c r="D58" s="2195" t="s">
        <v>409</v>
      </c>
      <c r="E58" s="2230">
        <v>12.6</v>
      </c>
      <c r="F58" s="2230">
        <v>34.200000000000003</v>
      </c>
      <c r="G58" s="2233" t="s">
        <v>842</v>
      </c>
      <c r="H58" s="2230">
        <v>2.6</v>
      </c>
      <c r="I58" s="2230">
        <v>12.6</v>
      </c>
      <c r="J58" s="2233" t="s">
        <v>842</v>
      </c>
      <c r="K58" s="2230">
        <v>0.5</v>
      </c>
      <c r="L58" s="2230">
        <v>3.8</v>
      </c>
      <c r="M58" s="2233" t="s">
        <v>842</v>
      </c>
      <c r="O58" s="1592"/>
      <c r="P58" s="1270"/>
      <c r="Q58" s="1270"/>
      <c r="R58" s="1270"/>
      <c r="S58" s="1270"/>
      <c r="T58" s="1270"/>
      <c r="U58" s="1270"/>
      <c r="V58" s="1270"/>
      <c r="W58" s="1270"/>
    </row>
    <row r="59" spans="1:23" s="1265" customFormat="1" ht="11.25" customHeight="1" x14ac:dyDescent="0.25">
      <c r="A59" s="2181"/>
      <c r="B59" s="1260"/>
      <c r="C59" s="2182"/>
      <c r="D59" s="2195" t="s">
        <v>408</v>
      </c>
      <c r="E59" s="2230">
        <v>6</v>
      </c>
      <c r="F59" s="2230">
        <v>20.399999999999999</v>
      </c>
      <c r="G59" s="2233" t="s">
        <v>842</v>
      </c>
      <c r="H59" s="2230">
        <v>1</v>
      </c>
      <c r="I59" s="2230">
        <v>7.3</v>
      </c>
      <c r="J59" s="2233" t="s">
        <v>842</v>
      </c>
      <c r="K59" s="2230">
        <v>0.4</v>
      </c>
      <c r="L59" s="2230">
        <v>1.7</v>
      </c>
      <c r="M59" s="2233" t="s">
        <v>842</v>
      </c>
      <c r="O59" s="1592"/>
      <c r="P59" s="1270"/>
      <c r="Q59" s="1270"/>
      <c r="R59" s="1270"/>
      <c r="S59" s="1270"/>
      <c r="T59" s="1270"/>
      <c r="U59" s="1270"/>
      <c r="V59" s="1270"/>
      <c r="W59" s="1270"/>
    </row>
    <row r="60" spans="1:23" s="1265" customFormat="1" ht="11.25" customHeight="1" x14ac:dyDescent="0.25">
      <c r="A60" s="2181"/>
      <c r="B60" s="1260"/>
      <c r="C60" s="2182"/>
      <c r="D60" s="2195" t="s">
        <v>406</v>
      </c>
      <c r="E60" s="2230">
        <v>7.1</v>
      </c>
      <c r="F60" s="2230">
        <v>24.7</v>
      </c>
      <c r="G60" s="2233" t="s">
        <v>842</v>
      </c>
      <c r="H60" s="2230">
        <v>1.6</v>
      </c>
      <c r="I60" s="2230">
        <v>13.2</v>
      </c>
      <c r="J60" s="2233" t="s">
        <v>842</v>
      </c>
      <c r="K60" s="2230">
        <v>0.6</v>
      </c>
      <c r="L60" s="2230">
        <v>4.5</v>
      </c>
      <c r="M60" s="2233" t="s">
        <v>842</v>
      </c>
      <c r="O60" s="1592"/>
      <c r="P60" s="1270"/>
      <c r="Q60" s="1270"/>
      <c r="R60" s="1270"/>
      <c r="S60" s="1270"/>
      <c r="T60" s="1270"/>
      <c r="U60" s="1270"/>
      <c r="V60" s="1270"/>
      <c r="W60" s="1270"/>
    </row>
    <row r="61" spans="1:23" s="1265" customFormat="1" ht="11.25" customHeight="1" x14ac:dyDescent="0.25">
      <c r="A61" s="2181"/>
      <c r="B61" s="1260"/>
      <c r="C61" s="2182"/>
      <c r="D61" s="2195" t="s">
        <v>403</v>
      </c>
      <c r="E61" s="2230">
        <v>5.9</v>
      </c>
      <c r="F61" s="2230">
        <v>22.8</v>
      </c>
      <c r="G61" s="2233" t="s">
        <v>842</v>
      </c>
      <c r="H61" s="2230">
        <v>1.1000000000000001</v>
      </c>
      <c r="I61" s="2230">
        <v>15.6</v>
      </c>
      <c r="J61" s="2233" t="s">
        <v>842</v>
      </c>
      <c r="K61" s="2230">
        <v>0.1</v>
      </c>
      <c r="L61" s="2230">
        <v>2.5</v>
      </c>
      <c r="M61" s="2233" t="s">
        <v>842</v>
      </c>
      <c r="O61" s="1592"/>
      <c r="P61" s="1270"/>
      <c r="Q61" s="1270"/>
      <c r="R61" s="1270"/>
      <c r="S61" s="1270"/>
      <c r="T61" s="1270"/>
      <c r="U61" s="1270"/>
      <c r="V61" s="1270"/>
      <c r="W61" s="1270"/>
    </row>
    <row r="62" spans="1:23" s="1265" customFormat="1" ht="11.25" customHeight="1" x14ac:dyDescent="0.25">
      <c r="A62" s="2181"/>
      <c r="B62" s="1260"/>
      <c r="C62" s="2182"/>
      <c r="D62" s="2195" t="s">
        <v>401</v>
      </c>
      <c r="E62" s="2230">
        <v>2.2999999999999998</v>
      </c>
      <c r="F62" s="2230">
        <v>11.6</v>
      </c>
      <c r="G62" s="2233" t="s">
        <v>842</v>
      </c>
      <c r="H62" s="2230">
        <v>0.7</v>
      </c>
      <c r="I62" s="2230">
        <v>7</v>
      </c>
      <c r="J62" s="2233" t="s">
        <v>842</v>
      </c>
      <c r="K62" s="2230">
        <v>0</v>
      </c>
      <c r="L62" s="2230">
        <v>1.3</v>
      </c>
      <c r="M62" s="2233" t="s">
        <v>842</v>
      </c>
      <c r="O62" s="1592"/>
      <c r="P62" s="1270"/>
      <c r="Q62" s="1270"/>
      <c r="R62" s="1270"/>
      <c r="S62" s="1270"/>
      <c r="T62" s="1270"/>
      <c r="U62" s="1270"/>
      <c r="V62" s="1270"/>
      <c r="W62" s="1270"/>
    </row>
    <row r="63" spans="1:23" s="1265" customFormat="1" ht="11.25" customHeight="1" x14ac:dyDescent="0.25">
      <c r="A63" s="2181"/>
      <c r="B63" s="1260"/>
      <c r="C63" s="2182"/>
      <c r="D63" s="2212" t="s">
        <v>306</v>
      </c>
      <c r="E63" s="2228">
        <v>6.6</v>
      </c>
      <c r="F63" s="2228">
        <v>22.9</v>
      </c>
      <c r="G63" s="2229" t="s">
        <v>842</v>
      </c>
      <c r="H63" s="2228">
        <v>1.4</v>
      </c>
      <c r="I63" s="2228">
        <v>9.3000000000000007</v>
      </c>
      <c r="J63" s="2229" t="s">
        <v>842</v>
      </c>
      <c r="K63" s="2228">
        <v>0.4</v>
      </c>
      <c r="L63" s="2228">
        <v>2.6</v>
      </c>
      <c r="M63" s="2229" t="s">
        <v>842</v>
      </c>
      <c r="O63" s="1592"/>
      <c r="P63" s="1270"/>
      <c r="Q63" s="1270"/>
      <c r="R63" s="1270"/>
      <c r="S63" s="1270"/>
      <c r="T63" s="1270"/>
      <c r="U63" s="1270"/>
      <c r="V63" s="1270"/>
      <c r="W63" s="1270"/>
    </row>
    <row r="64" spans="1:23" s="1265" customFormat="1" ht="14.25" customHeight="1" x14ac:dyDescent="0.3">
      <c r="A64" s="2181"/>
      <c r="B64" s="1260"/>
      <c r="C64" s="2182"/>
      <c r="D64" s="1764"/>
      <c r="E64" s="2234"/>
      <c r="F64" s="2220"/>
      <c r="G64" s="2220"/>
      <c r="H64" s="2220"/>
      <c r="I64" s="2220"/>
      <c r="J64" s="2220"/>
      <c r="K64" s="2220"/>
      <c r="L64" s="2220"/>
      <c r="M64" s="2221"/>
      <c r="N64" s="2235"/>
      <c r="O64" s="1592"/>
      <c r="P64" s="1270"/>
      <c r="Q64" s="1270"/>
      <c r="R64" s="1270"/>
      <c r="S64" s="1270"/>
      <c r="T64" s="1270"/>
      <c r="U64" s="1270"/>
      <c r="V64" s="1270"/>
      <c r="W64" s="1270"/>
    </row>
    <row r="65" spans="1:23" s="1265" customFormat="1" ht="10" x14ac:dyDescent="0.2">
      <c r="A65" s="2181"/>
      <c r="B65" s="1260"/>
      <c r="C65" s="1260"/>
      <c r="D65" s="1804"/>
      <c r="E65" s="2188"/>
      <c r="F65" s="2189"/>
      <c r="G65" s="2189"/>
      <c r="H65" s="2189"/>
      <c r="I65" s="2189"/>
      <c r="J65" s="2189"/>
      <c r="K65" s="2189"/>
      <c r="L65" s="2189"/>
      <c r="M65" s="2189"/>
      <c r="N65" s="1592"/>
      <c r="O65" s="1592"/>
      <c r="P65" s="1270"/>
      <c r="Q65" s="1270"/>
      <c r="R65" s="1270"/>
      <c r="S65" s="1270"/>
      <c r="T65" s="1270"/>
      <c r="U65" s="1270"/>
      <c r="V65" s="1270"/>
      <c r="W65" s="1270"/>
    </row>
    <row r="66" spans="1:23" s="1265" customFormat="1" ht="10" x14ac:dyDescent="0.2">
      <c r="A66" s="2181"/>
      <c r="B66" s="1260"/>
      <c r="C66" s="1260"/>
      <c r="D66" s="1804"/>
      <c r="E66" s="2188"/>
      <c r="F66" s="2189"/>
      <c r="G66" s="2189"/>
      <c r="H66" s="2189"/>
      <c r="I66" s="2189"/>
      <c r="J66" s="2189"/>
      <c r="K66" s="2189"/>
      <c r="L66" s="2189"/>
      <c r="M66" s="2189"/>
      <c r="N66" s="1592"/>
      <c r="O66" s="1592"/>
      <c r="P66" s="1270"/>
      <c r="Q66" s="1270"/>
      <c r="R66" s="1270"/>
      <c r="S66" s="1270"/>
      <c r="T66" s="1270"/>
      <c r="U66" s="1270"/>
      <c r="V66" s="1270"/>
      <c r="W66" s="1270"/>
    </row>
    <row r="67" spans="1:23" s="1265" customFormat="1" ht="10" x14ac:dyDescent="0.2">
      <c r="A67" s="2181"/>
      <c r="B67" s="1260"/>
      <c r="C67" s="1260"/>
      <c r="D67" s="1804"/>
      <c r="E67" s="2188"/>
      <c r="F67" s="2189"/>
      <c r="G67" s="2189"/>
      <c r="H67" s="2189"/>
      <c r="I67" s="2189"/>
      <c r="J67" s="2189"/>
      <c r="K67" s="2189"/>
      <c r="L67" s="2189"/>
      <c r="M67" s="2189"/>
      <c r="N67" s="1592"/>
      <c r="O67" s="1592"/>
      <c r="P67" s="1270"/>
      <c r="Q67" s="1270"/>
      <c r="R67" s="1270"/>
      <c r="S67" s="1270"/>
      <c r="T67" s="1270"/>
      <c r="U67" s="1270"/>
      <c r="V67" s="1270"/>
      <c r="W67" s="1270"/>
    </row>
    <row r="68" spans="1:23" x14ac:dyDescent="0.3">
      <c r="A68" s="1255">
        <v>6</v>
      </c>
      <c r="B68" s="1255" t="s">
        <v>56</v>
      </c>
      <c r="C68" s="1255"/>
      <c r="M68" s="2221"/>
      <c r="N68" s="1765"/>
      <c r="O68" s="1765"/>
      <c r="P68" s="1765"/>
      <c r="Q68" s="1765"/>
      <c r="R68" s="1765"/>
      <c r="S68" s="1765"/>
      <c r="T68" s="1765"/>
      <c r="U68" s="1765"/>
      <c r="V68" s="1765"/>
      <c r="W68" s="1765"/>
    </row>
    <row r="85" spans="1:24" ht="15" customHeight="1" x14ac:dyDescent="0.3">
      <c r="A85" s="1255">
        <v>7</v>
      </c>
      <c r="B85" s="1255" t="s">
        <v>58</v>
      </c>
      <c r="C85" s="1255"/>
      <c r="D85" s="4733" t="s">
        <v>263</v>
      </c>
      <c r="E85" s="4734"/>
      <c r="F85" s="4734"/>
      <c r="G85" s="4734"/>
      <c r="H85" s="4734"/>
      <c r="I85" s="4734"/>
      <c r="J85" s="4734"/>
      <c r="K85" s="4734"/>
      <c r="L85" s="4734"/>
      <c r="M85" s="4734"/>
      <c r="N85" s="4734"/>
      <c r="O85" s="4734"/>
      <c r="P85" s="4734"/>
      <c r="Q85" s="4734"/>
      <c r="R85" s="4734"/>
      <c r="S85" s="4734"/>
      <c r="T85" s="4734"/>
      <c r="U85" s="4734"/>
      <c r="V85" s="4734"/>
      <c r="W85" s="4734"/>
      <c r="X85" s="4735"/>
    </row>
    <row r="86" spans="1:24" ht="20.149999999999999" customHeight="1" x14ac:dyDescent="0.3">
      <c r="A86" s="1306">
        <v>8</v>
      </c>
      <c r="B86" s="1306" t="s">
        <v>60</v>
      </c>
      <c r="C86" s="1306"/>
      <c r="D86" s="4733" t="s">
        <v>843</v>
      </c>
      <c r="E86" s="4734"/>
      <c r="F86" s="4734"/>
      <c r="G86" s="4734"/>
      <c r="H86" s="4734"/>
      <c r="I86" s="4734"/>
      <c r="J86" s="4734"/>
      <c r="K86" s="4734"/>
      <c r="L86" s="4734"/>
      <c r="M86" s="4734"/>
      <c r="N86" s="4734"/>
      <c r="O86" s="4734"/>
      <c r="P86" s="4734"/>
      <c r="Q86" s="4734"/>
      <c r="R86" s="4734"/>
      <c r="S86" s="4734"/>
      <c r="T86" s="4734"/>
      <c r="U86" s="4734"/>
      <c r="V86" s="4734"/>
      <c r="W86" s="4734"/>
      <c r="X86" s="4735"/>
    </row>
    <row r="87" spans="1:24" ht="34.5" customHeight="1" x14ac:dyDescent="0.3">
      <c r="A87" s="1255">
        <v>9</v>
      </c>
      <c r="B87" s="1255" t="s">
        <v>62</v>
      </c>
      <c r="C87" s="1255"/>
      <c r="D87" s="4733" t="s">
        <v>844</v>
      </c>
      <c r="E87" s="4734"/>
      <c r="F87" s="4734"/>
      <c r="G87" s="4734"/>
      <c r="H87" s="4734"/>
      <c r="I87" s="4734"/>
      <c r="J87" s="4734"/>
      <c r="K87" s="4734"/>
      <c r="L87" s="4734"/>
      <c r="M87" s="4734"/>
      <c r="N87" s="4734"/>
      <c r="O87" s="4734"/>
      <c r="P87" s="4734"/>
      <c r="Q87" s="4734"/>
      <c r="R87" s="4734"/>
      <c r="S87" s="4734"/>
      <c r="T87" s="4734"/>
      <c r="U87" s="4734"/>
      <c r="V87" s="4734"/>
      <c r="W87" s="4734"/>
      <c r="X87" s="4735"/>
    </row>
    <row r="89" spans="1:24" ht="99.75" customHeight="1" x14ac:dyDescent="0.3">
      <c r="A89" s="4840" t="s">
        <v>845</v>
      </c>
      <c r="B89" s="4840"/>
      <c r="C89" s="4840"/>
      <c r="D89" s="4840"/>
      <c r="E89" s="4840"/>
      <c r="F89" s="4840"/>
      <c r="G89" s="4840"/>
      <c r="H89" s="4840"/>
      <c r="I89" s="4840"/>
      <c r="J89" s="4840"/>
      <c r="K89" s="4840"/>
      <c r="L89" s="4840"/>
      <c r="M89" s="4840"/>
      <c r="N89" s="4840"/>
      <c r="O89" s="4840"/>
      <c r="P89" s="4840"/>
      <c r="Q89" s="4840"/>
    </row>
    <row r="130" spans="4:24" x14ac:dyDescent="0.3">
      <c r="D130" s="2131"/>
      <c r="E130" s="2176"/>
      <c r="F130" s="2176"/>
      <c r="G130" s="2177">
        <v>2001</v>
      </c>
      <c r="H130" s="2177">
        <v>2002</v>
      </c>
      <c r="I130" s="2177">
        <v>2003</v>
      </c>
      <c r="J130" s="2177">
        <v>2004</v>
      </c>
      <c r="K130" s="2177">
        <v>2005</v>
      </c>
      <c r="L130" s="2177">
        <v>2006</v>
      </c>
      <c r="M130" s="2177">
        <v>2007</v>
      </c>
      <c r="N130" s="2177">
        <v>2008</v>
      </c>
      <c r="O130" s="2177">
        <v>2009</v>
      </c>
      <c r="P130" s="2177">
        <v>2010</v>
      </c>
      <c r="Q130" s="2177">
        <v>2011</v>
      </c>
      <c r="R130" s="2177">
        <v>2012</v>
      </c>
      <c r="S130" s="2177">
        <v>2013</v>
      </c>
      <c r="T130" s="2177">
        <v>2014</v>
      </c>
      <c r="U130" s="2178">
        <v>2015</v>
      </c>
      <c r="V130" s="2179">
        <v>2016</v>
      </c>
      <c r="W130" s="2180">
        <v>2017</v>
      </c>
      <c r="X130" s="2180">
        <v>2018</v>
      </c>
    </row>
    <row r="131" spans="4:24" x14ac:dyDescent="0.3">
      <c r="D131" s="1996"/>
      <c r="E131" s="2183"/>
      <c r="F131" s="2183" t="s">
        <v>801</v>
      </c>
      <c r="G131" s="2236" t="s">
        <v>802</v>
      </c>
      <c r="H131" s="2236" t="s">
        <v>803</v>
      </c>
      <c r="I131" s="2236" t="s">
        <v>804</v>
      </c>
      <c r="J131" s="2236" t="s">
        <v>805</v>
      </c>
      <c r="K131" s="2236" t="s">
        <v>806</v>
      </c>
      <c r="L131" s="2236" t="s">
        <v>807</v>
      </c>
      <c r="M131" s="2236" t="s">
        <v>808</v>
      </c>
      <c r="N131" s="2236" t="s">
        <v>809</v>
      </c>
      <c r="O131" s="2236" t="s">
        <v>810</v>
      </c>
      <c r="P131" s="2236" t="s">
        <v>811</v>
      </c>
      <c r="Q131" s="2236" t="s">
        <v>812</v>
      </c>
      <c r="R131" s="2236" t="s">
        <v>813</v>
      </c>
      <c r="S131" s="2236" t="s">
        <v>814</v>
      </c>
      <c r="T131" s="2236" t="s">
        <v>815</v>
      </c>
      <c r="U131" s="2237" t="s">
        <v>816</v>
      </c>
      <c r="V131" s="2238" t="s">
        <v>817</v>
      </c>
      <c r="W131" s="2237" t="s">
        <v>818</v>
      </c>
      <c r="X131" s="2237" t="s">
        <v>819</v>
      </c>
    </row>
  </sheetData>
  <mergeCells count="10">
    <mergeCell ref="D85:X85"/>
    <mergeCell ref="D86:X86"/>
    <mergeCell ref="D87:X87"/>
    <mergeCell ref="A89:Q89"/>
    <mergeCell ref="D2:X2"/>
    <mergeCell ref="D3:X3"/>
    <mergeCell ref="D4:X4"/>
    <mergeCell ref="D5:X5"/>
    <mergeCell ref="F12:G12"/>
    <mergeCell ref="J12:O12"/>
  </mergeCells>
  <pageMargins left="0.74803149606299202" right="0.74803149606299202" top="0.98425196850393704" bottom="0.98425196850393704" header="0.511811023622047" footer="0.511811023622047"/>
  <pageSetup paperSize="9" scale="3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Z42"/>
  <sheetViews>
    <sheetView showGridLines="0" view="pageBreakPreview" zoomScaleNormal="100" zoomScaleSheetLayoutView="100" workbookViewId="0">
      <selection activeCell="Q18" sqref="Q18"/>
    </sheetView>
  </sheetViews>
  <sheetFormatPr defaultColWidth="9.1796875" defaultRowHeight="14" x14ac:dyDescent="0.3"/>
  <cols>
    <col min="1" max="1" width="3.7265625" style="2070" customWidth="1"/>
    <col min="2" max="2" width="10.1796875" style="1768" customWidth="1"/>
    <col min="3" max="3" width="6.81640625" style="1768" customWidth="1"/>
    <col min="4" max="4" width="12.1796875" style="1764" customWidth="1"/>
    <col min="5" max="14" width="7.26953125" style="1764" customWidth="1"/>
    <col min="15" max="20" width="7" style="1764" customWidth="1"/>
    <col min="21" max="261" width="9.1796875" style="1764"/>
    <col min="262" max="262" width="3.7265625" style="1764" customWidth="1"/>
    <col min="263" max="263" width="10.1796875" style="1764" customWidth="1"/>
    <col min="264" max="264" width="6.81640625" style="1764" customWidth="1"/>
    <col min="265" max="265" width="12.1796875" style="1764" customWidth="1"/>
    <col min="266" max="275" width="7.26953125" style="1764" customWidth="1"/>
    <col min="276" max="278" width="7" style="1764" customWidth="1"/>
    <col min="279" max="517" width="9.1796875" style="1764"/>
    <col min="518" max="518" width="3.7265625" style="1764" customWidth="1"/>
    <col min="519" max="519" width="10.1796875" style="1764" customWidth="1"/>
    <col min="520" max="520" width="6.81640625" style="1764" customWidth="1"/>
    <col min="521" max="521" width="12.1796875" style="1764" customWidth="1"/>
    <col min="522" max="531" width="7.26953125" style="1764" customWidth="1"/>
    <col min="532" max="534" width="7" style="1764" customWidth="1"/>
    <col min="535" max="773" width="9.1796875" style="1764"/>
    <col min="774" max="774" width="3.7265625" style="1764" customWidth="1"/>
    <col min="775" max="775" width="10.1796875" style="1764" customWidth="1"/>
    <col min="776" max="776" width="6.81640625" style="1764" customWidth="1"/>
    <col min="777" max="777" width="12.1796875" style="1764" customWidth="1"/>
    <col min="778" max="787" width="7.26953125" style="1764" customWidth="1"/>
    <col min="788" max="790" width="7" style="1764" customWidth="1"/>
    <col min="791" max="1029" width="9.1796875" style="1764"/>
    <col min="1030" max="1030" width="3.7265625" style="1764" customWidth="1"/>
    <col min="1031" max="1031" width="10.1796875" style="1764" customWidth="1"/>
    <col min="1032" max="1032" width="6.81640625" style="1764" customWidth="1"/>
    <col min="1033" max="1033" width="12.1796875" style="1764" customWidth="1"/>
    <col min="1034" max="1043" width="7.26953125" style="1764" customWidth="1"/>
    <col min="1044" max="1046" width="7" style="1764" customWidth="1"/>
    <col min="1047" max="1285" width="9.1796875" style="1764"/>
    <col min="1286" max="1286" width="3.7265625" style="1764" customWidth="1"/>
    <col min="1287" max="1287" width="10.1796875" style="1764" customWidth="1"/>
    <col min="1288" max="1288" width="6.81640625" style="1764" customWidth="1"/>
    <col min="1289" max="1289" width="12.1796875" style="1764" customWidth="1"/>
    <col min="1290" max="1299" width="7.26953125" style="1764" customWidth="1"/>
    <col min="1300" max="1302" width="7" style="1764" customWidth="1"/>
    <col min="1303" max="1541" width="9.1796875" style="1764"/>
    <col min="1542" max="1542" width="3.7265625" style="1764" customWidth="1"/>
    <col min="1543" max="1543" width="10.1796875" style="1764" customWidth="1"/>
    <col min="1544" max="1544" width="6.81640625" style="1764" customWidth="1"/>
    <col min="1545" max="1545" width="12.1796875" style="1764" customWidth="1"/>
    <col min="1546" max="1555" width="7.26953125" style="1764" customWidth="1"/>
    <col min="1556" max="1558" width="7" style="1764" customWidth="1"/>
    <col min="1559" max="1797" width="9.1796875" style="1764"/>
    <col min="1798" max="1798" width="3.7265625" style="1764" customWidth="1"/>
    <col min="1799" max="1799" width="10.1796875" style="1764" customWidth="1"/>
    <col min="1800" max="1800" width="6.81640625" style="1764" customWidth="1"/>
    <col min="1801" max="1801" width="12.1796875" style="1764" customWidth="1"/>
    <col min="1802" max="1811" width="7.26953125" style="1764" customWidth="1"/>
    <col min="1812" max="1814" width="7" style="1764" customWidth="1"/>
    <col min="1815" max="2053" width="9.1796875" style="1764"/>
    <col min="2054" max="2054" width="3.7265625" style="1764" customWidth="1"/>
    <col min="2055" max="2055" width="10.1796875" style="1764" customWidth="1"/>
    <col min="2056" max="2056" width="6.81640625" style="1764" customWidth="1"/>
    <col min="2057" max="2057" width="12.1796875" style="1764" customWidth="1"/>
    <col min="2058" max="2067" width="7.26953125" style="1764" customWidth="1"/>
    <col min="2068" max="2070" width="7" style="1764" customWidth="1"/>
    <col min="2071" max="2309" width="9.1796875" style="1764"/>
    <col min="2310" max="2310" width="3.7265625" style="1764" customWidth="1"/>
    <col min="2311" max="2311" width="10.1796875" style="1764" customWidth="1"/>
    <col min="2312" max="2312" width="6.81640625" style="1764" customWidth="1"/>
    <col min="2313" max="2313" width="12.1796875" style="1764" customWidth="1"/>
    <col min="2314" max="2323" width="7.26953125" style="1764" customWidth="1"/>
    <col min="2324" max="2326" width="7" style="1764" customWidth="1"/>
    <col min="2327" max="2565" width="9.1796875" style="1764"/>
    <col min="2566" max="2566" width="3.7265625" style="1764" customWidth="1"/>
    <col min="2567" max="2567" width="10.1796875" style="1764" customWidth="1"/>
    <col min="2568" max="2568" width="6.81640625" style="1764" customWidth="1"/>
    <col min="2569" max="2569" width="12.1796875" style="1764" customWidth="1"/>
    <col min="2570" max="2579" width="7.26953125" style="1764" customWidth="1"/>
    <col min="2580" max="2582" width="7" style="1764" customWidth="1"/>
    <col min="2583" max="2821" width="9.1796875" style="1764"/>
    <col min="2822" max="2822" width="3.7265625" style="1764" customWidth="1"/>
    <col min="2823" max="2823" width="10.1796875" style="1764" customWidth="1"/>
    <col min="2824" max="2824" width="6.81640625" style="1764" customWidth="1"/>
    <col min="2825" max="2825" width="12.1796875" style="1764" customWidth="1"/>
    <col min="2826" max="2835" width="7.26953125" style="1764" customWidth="1"/>
    <col min="2836" max="2838" width="7" style="1764" customWidth="1"/>
    <col min="2839" max="3077" width="9.1796875" style="1764"/>
    <col min="3078" max="3078" width="3.7265625" style="1764" customWidth="1"/>
    <col min="3079" max="3079" width="10.1796875" style="1764" customWidth="1"/>
    <col min="3080" max="3080" width="6.81640625" style="1764" customWidth="1"/>
    <col min="3081" max="3081" width="12.1796875" style="1764" customWidth="1"/>
    <col min="3082" max="3091" width="7.26953125" style="1764" customWidth="1"/>
    <col min="3092" max="3094" width="7" style="1764" customWidth="1"/>
    <col min="3095" max="3333" width="9.1796875" style="1764"/>
    <col min="3334" max="3334" width="3.7265625" style="1764" customWidth="1"/>
    <col min="3335" max="3335" width="10.1796875" style="1764" customWidth="1"/>
    <col min="3336" max="3336" width="6.81640625" style="1764" customWidth="1"/>
    <col min="3337" max="3337" width="12.1796875" style="1764" customWidth="1"/>
    <col min="3338" max="3347" width="7.26953125" style="1764" customWidth="1"/>
    <col min="3348" max="3350" width="7" style="1764" customWidth="1"/>
    <col min="3351" max="3589" width="9.1796875" style="1764"/>
    <col min="3590" max="3590" width="3.7265625" style="1764" customWidth="1"/>
    <col min="3591" max="3591" width="10.1796875" style="1764" customWidth="1"/>
    <col min="3592" max="3592" width="6.81640625" style="1764" customWidth="1"/>
    <col min="3593" max="3593" width="12.1796875" style="1764" customWidth="1"/>
    <col min="3594" max="3603" width="7.26953125" style="1764" customWidth="1"/>
    <col min="3604" max="3606" width="7" style="1764" customWidth="1"/>
    <col min="3607" max="3845" width="9.1796875" style="1764"/>
    <col min="3846" max="3846" width="3.7265625" style="1764" customWidth="1"/>
    <col min="3847" max="3847" width="10.1796875" style="1764" customWidth="1"/>
    <col min="3848" max="3848" width="6.81640625" style="1764" customWidth="1"/>
    <col min="3849" max="3849" width="12.1796875" style="1764" customWidth="1"/>
    <col min="3850" max="3859" width="7.26953125" style="1764" customWidth="1"/>
    <col min="3860" max="3862" width="7" style="1764" customWidth="1"/>
    <col min="3863" max="4101" width="9.1796875" style="1764"/>
    <col min="4102" max="4102" width="3.7265625" style="1764" customWidth="1"/>
    <col min="4103" max="4103" width="10.1796875" style="1764" customWidth="1"/>
    <col min="4104" max="4104" width="6.81640625" style="1764" customWidth="1"/>
    <col min="4105" max="4105" width="12.1796875" style="1764" customWidth="1"/>
    <col min="4106" max="4115" width="7.26953125" style="1764" customWidth="1"/>
    <col min="4116" max="4118" width="7" style="1764" customWidth="1"/>
    <col min="4119" max="4357" width="9.1796875" style="1764"/>
    <col min="4358" max="4358" width="3.7265625" style="1764" customWidth="1"/>
    <col min="4359" max="4359" width="10.1796875" style="1764" customWidth="1"/>
    <col min="4360" max="4360" width="6.81640625" style="1764" customWidth="1"/>
    <col min="4361" max="4361" width="12.1796875" style="1764" customWidth="1"/>
    <col min="4362" max="4371" width="7.26953125" style="1764" customWidth="1"/>
    <col min="4372" max="4374" width="7" style="1764" customWidth="1"/>
    <col min="4375" max="4613" width="9.1796875" style="1764"/>
    <col min="4614" max="4614" width="3.7265625" style="1764" customWidth="1"/>
    <col min="4615" max="4615" width="10.1796875" style="1764" customWidth="1"/>
    <col min="4616" max="4616" width="6.81640625" style="1764" customWidth="1"/>
    <col min="4617" max="4617" width="12.1796875" style="1764" customWidth="1"/>
    <col min="4618" max="4627" width="7.26953125" style="1764" customWidth="1"/>
    <col min="4628" max="4630" width="7" style="1764" customWidth="1"/>
    <col min="4631" max="4869" width="9.1796875" style="1764"/>
    <col min="4870" max="4870" width="3.7265625" style="1764" customWidth="1"/>
    <col min="4871" max="4871" width="10.1796875" style="1764" customWidth="1"/>
    <col min="4872" max="4872" width="6.81640625" style="1764" customWidth="1"/>
    <col min="4873" max="4873" width="12.1796875" style="1764" customWidth="1"/>
    <col min="4874" max="4883" width="7.26953125" style="1764" customWidth="1"/>
    <col min="4884" max="4886" width="7" style="1764" customWidth="1"/>
    <col min="4887" max="5125" width="9.1796875" style="1764"/>
    <col min="5126" max="5126" width="3.7265625" style="1764" customWidth="1"/>
    <col min="5127" max="5127" width="10.1796875" style="1764" customWidth="1"/>
    <col min="5128" max="5128" width="6.81640625" style="1764" customWidth="1"/>
    <col min="5129" max="5129" width="12.1796875" style="1764" customWidth="1"/>
    <col min="5130" max="5139" width="7.26953125" style="1764" customWidth="1"/>
    <col min="5140" max="5142" width="7" style="1764" customWidth="1"/>
    <col min="5143" max="5381" width="9.1796875" style="1764"/>
    <col min="5382" max="5382" width="3.7265625" style="1764" customWidth="1"/>
    <col min="5383" max="5383" width="10.1796875" style="1764" customWidth="1"/>
    <col min="5384" max="5384" width="6.81640625" style="1764" customWidth="1"/>
    <col min="5385" max="5385" width="12.1796875" style="1764" customWidth="1"/>
    <col min="5386" max="5395" width="7.26953125" style="1764" customWidth="1"/>
    <col min="5396" max="5398" width="7" style="1764" customWidth="1"/>
    <col min="5399" max="5637" width="9.1796875" style="1764"/>
    <col min="5638" max="5638" width="3.7265625" style="1764" customWidth="1"/>
    <col min="5639" max="5639" width="10.1796875" style="1764" customWidth="1"/>
    <col min="5640" max="5640" width="6.81640625" style="1764" customWidth="1"/>
    <col min="5641" max="5641" width="12.1796875" style="1764" customWidth="1"/>
    <col min="5642" max="5651" width="7.26953125" style="1764" customWidth="1"/>
    <col min="5652" max="5654" width="7" style="1764" customWidth="1"/>
    <col min="5655" max="5893" width="9.1796875" style="1764"/>
    <col min="5894" max="5894" width="3.7265625" style="1764" customWidth="1"/>
    <col min="5895" max="5895" width="10.1796875" style="1764" customWidth="1"/>
    <col min="5896" max="5896" width="6.81640625" style="1764" customWidth="1"/>
    <col min="5897" max="5897" width="12.1796875" style="1764" customWidth="1"/>
    <col min="5898" max="5907" width="7.26953125" style="1764" customWidth="1"/>
    <col min="5908" max="5910" width="7" style="1764" customWidth="1"/>
    <col min="5911" max="6149" width="9.1796875" style="1764"/>
    <col min="6150" max="6150" width="3.7265625" style="1764" customWidth="1"/>
    <col min="6151" max="6151" width="10.1796875" style="1764" customWidth="1"/>
    <col min="6152" max="6152" width="6.81640625" style="1764" customWidth="1"/>
    <col min="6153" max="6153" width="12.1796875" style="1764" customWidth="1"/>
    <col min="6154" max="6163" width="7.26953125" style="1764" customWidth="1"/>
    <col min="6164" max="6166" width="7" style="1764" customWidth="1"/>
    <col min="6167" max="6405" width="9.1796875" style="1764"/>
    <col min="6406" max="6406" width="3.7265625" style="1764" customWidth="1"/>
    <col min="6407" max="6407" width="10.1796875" style="1764" customWidth="1"/>
    <col min="6408" max="6408" width="6.81640625" style="1764" customWidth="1"/>
    <col min="6409" max="6409" width="12.1796875" style="1764" customWidth="1"/>
    <col min="6410" max="6419" width="7.26953125" style="1764" customWidth="1"/>
    <col min="6420" max="6422" width="7" style="1764" customWidth="1"/>
    <col min="6423" max="6661" width="9.1796875" style="1764"/>
    <col min="6662" max="6662" width="3.7265625" style="1764" customWidth="1"/>
    <col min="6663" max="6663" width="10.1796875" style="1764" customWidth="1"/>
    <col min="6664" max="6664" width="6.81640625" style="1764" customWidth="1"/>
    <col min="6665" max="6665" width="12.1796875" style="1764" customWidth="1"/>
    <col min="6666" max="6675" width="7.26953125" style="1764" customWidth="1"/>
    <col min="6676" max="6678" width="7" style="1764" customWidth="1"/>
    <col min="6679" max="6917" width="9.1796875" style="1764"/>
    <col min="6918" max="6918" width="3.7265625" style="1764" customWidth="1"/>
    <col min="6919" max="6919" width="10.1796875" style="1764" customWidth="1"/>
    <col min="6920" max="6920" width="6.81640625" style="1764" customWidth="1"/>
    <col min="6921" max="6921" width="12.1796875" style="1764" customWidth="1"/>
    <col min="6922" max="6931" width="7.26953125" style="1764" customWidth="1"/>
    <col min="6932" max="6934" width="7" style="1764" customWidth="1"/>
    <col min="6935" max="7173" width="9.1796875" style="1764"/>
    <col min="7174" max="7174" width="3.7265625" style="1764" customWidth="1"/>
    <col min="7175" max="7175" width="10.1796875" style="1764" customWidth="1"/>
    <col min="7176" max="7176" width="6.81640625" style="1764" customWidth="1"/>
    <col min="7177" max="7177" width="12.1796875" style="1764" customWidth="1"/>
    <col min="7178" max="7187" width="7.26953125" style="1764" customWidth="1"/>
    <col min="7188" max="7190" width="7" style="1764" customWidth="1"/>
    <col min="7191" max="7429" width="9.1796875" style="1764"/>
    <col min="7430" max="7430" width="3.7265625" style="1764" customWidth="1"/>
    <col min="7431" max="7431" width="10.1796875" style="1764" customWidth="1"/>
    <col min="7432" max="7432" width="6.81640625" style="1764" customWidth="1"/>
    <col min="7433" max="7433" width="12.1796875" style="1764" customWidth="1"/>
    <col min="7434" max="7443" width="7.26953125" style="1764" customWidth="1"/>
    <col min="7444" max="7446" width="7" style="1764" customWidth="1"/>
    <col min="7447" max="7685" width="9.1796875" style="1764"/>
    <col min="7686" max="7686" width="3.7265625" style="1764" customWidth="1"/>
    <col min="7687" max="7687" width="10.1796875" style="1764" customWidth="1"/>
    <col min="7688" max="7688" width="6.81640625" style="1764" customWidth="1"/>
    <col min="7689" max="7689" width="12.1796875" style="1764" customWidth="1"/>
    <col min="7690" max="7699" width="7.26953125" style="1764" customWidth="1"/>
    <col min="7700" max="7702" width="7" style="1764" customWidth="1"/>
    <col min="7703" max="7941" width="9.1796875" style="1764"/>
    <col min="7942" max="7942" width="3.7265625" style="1764" customWidth="1"/>
    <col min="7943" max="7943" width="10.1796875" style="1764" customWidth="1"/>
    <col min="7944" max="7944" width="6.81640625" style="1764" customWidth="1"/>
    <col min="7945" max="7945" width="12.1796875" style="1764" customWidth="1"/>
    <col min="7946" max="7955" width="7.26953125" style="1764" customWidth="1"/>
    <col min="7956" max="7958" width="7" style="1764" customWidth="1"/>
    <col min="7959" max="8197" width="9.1796875" style="1764"/>
    <col min="8198" max="8198" width="3.7265625" style="1764" customWidth="1"/>
    <col min="8199" max="8199" width="10.1796875" style="1764" customWidth="1"/>
    <col min="8200" max="8200" width="6.81640625" style="1764" customWidth="1"/>
    <col min="8201" max="8201" width="12.1796875" style="1764" customWidth="1"/>
    <col min="8202" max="8211" width="7.26953125" style="1764" customWidth="1"/>
    <col min="8212" max="8214" width="7" style="1764" customWidth="1"/>
    <col min="8215" max="8453" width="9.1796875" style="1764"/>
    <col min="8454" max="8454" width="3.7265625" style="1764" customWidth="1"/>
    <col min="8455" max="8455" width="10.1796875" style="1764" customWidth="1"/>
    <col min="8456" max="8456" width="6.81640625" style="1764" customWidth="1"/>
    <col min="8457" max="8457" width="12.1796875" style="1764" customWidth="1"/>
    <col min="8458" max="8467" width="7.26953125" style="1764" customWidth="1"/>
    <col min="8468" max="8470" width="7" style="1764" customWidth="1"/>
    <col min="8471" max="8709" width="9.1796875" style="1764"/>
    <col min="8710" max="8710" width="3.7265625" style="1764" customWidth="1"/>
    <col min="8711" max="8711" width="10.1796875" style="1764" customWidth="1"/>
    <col min="8712" max="8712" width="6.81640625" style="1764" customWidth="1"/>
    <col min="8713" max="8713" width="12.1796875" style="1764" customWidth="1"/>
    <col min="8714" max="8723" width="7.26953125" style="1764" customWidth="1"/>
    <col min="8724" max="8726" width="7" style="1764" customWidth="1"/>
    <col min="8727" max="8965" width="9.1796875" style="1764"/>
    <col min="8966" max="8966" width="3.7265625" style="1764" customWidth="1"/>
    <col min="8967" max="8967" width="10.1796875" style="1764" customWidth="1"/>
    <col min="8968" max="8968" width="6.81640625" style="1764" customWidth="1"/>
    <col min="8969" max="8969" width="12.1796875" style="1764" customWidth="1"/>
    <col min="8970" max="8979" width="7.26953125" style="1764" customWidth="1"/>
    <col min="8980" max="8982" width="7" style="1764" customWidth="1"/>
    <col min="8983" max="9221" width="9.1796875" style="1764"/>
    <col min="9222" max="9222" width="3.7265625" style="1764" customWidth="1"/>
    <col min="9223" max="9223" width="10.1796875" style="1764" customWidth="1"/>
    <col min="9224" max="9224" width="6.81640625" style="1764" customWidth="1"/>
    <col min="9225" max="9225" width="12.1796875" style="1764" customWidth="1"/>
    <col min="9226" max="9235" width="7.26953125" style="1764" customWidth="1"/>
    <col min="9236" max="9238" width="7" style="1764" customWidth="1"/>
    <col min="9239" max="9477" width="9.1796875" style="1764"/>
    <col min="9478" max="9478" width="3.7265625" style="1764" customWidth="1"/>
    <col min="9479" max="9479" width="10.1796875" style="1764" customWidth="1"/>
    <col min="9480" max="9480" width="6.81640625" style="1764" customWidth="1"/>
    <col min="9481" max="9481" width="12.1796875" style="1764" customWidth="1"/>
    <col min="9482" max="9491" width="7.26953125" style="1764" customWidth="1"/>
    <col min="9492" max="9494" width="7" style="1764" customWidth="1"/>
    <col min="9495" max="9733" width="9.1796875" style="1764"/>
    <col min="9734" max="9734" width="3.7265625" style="1764" customWidth="1"/>
    <col min="9735" max="9735" width="10.1796875" style="1764" customWidth="1"/>
    <col min="9736" max="9736" width="6.81640625" style="1764" customWidth="1"/>
    <col min="9737" max="9737" width="12.1796875" style="1764" customWidth="1"/>
    <col min="9738" max="9747" width="7.26953125" style="1764" customWidth="1"/>
    <col min="9748" max="9750" width="7" style="1764" customWidth="1"/>
    <col min="9751" max="9989" width="9.1796875" style="1764"/>
    <col min="9990" max="9990" width="3.7265625" style="1764" customWidth="1"/>
    <col min="9991" max="9991" width="10.1796875" style="1764" customWidth="1"/>
    <col min="9992" max="9992" width="6.81640625" style="1764" customWidth="1"/>
    <col min="9993" max="9993" width="12.1796875" style="1764" customWidth="1"/>
    <col min="9994" max="10003" width="7.26953125" style="1764" customWidth="1"/>
    <col min="10004" max="10006" width="7" style="1764" customWidth="1"/>
    <col min="10007" max="10245" width="9.1796875" style="1764"/>
    <col min="10246" max="10246" width="3.7265625" style="1764" customWidth="1"/>
    <col min="10247" max="10247" width="10.1796875" style="1764" customWidth="1"/>
    <col min="10248" max="10248" width="6.81640625" style="1764" customWidth="1"/>
    <col min="10249" max="10249" width="12.1796875" style="1764" customWidth="1"/>
    <col min="10250" max="10259" width="7.26953125" style="1764" customWidth="1"/>
    <col min="10260" max="10262" width="7" style="1764" customWidth="1"/>
    <col min="10263" max="10501" width="9.1796875" style="1764"/>
    <col min="10502" max="10502" width="3.7265625" style="1764" customWidth="1"/>
    <col min="10503" max="10503" width="10.1796875" style="1764" customWidth="1"/>
    <col min="10504" max="10504" width="6.81640625" style="1764" customWidth="1"/>
    <col min="10505" max="10505" width="12.1796875" style="1764" customWidth="1"/>
    <col min="10506" max="10515" width="7.26953125" style="1764" customWidth="1"/>
    <col min="10516" max="10518" width="7" style="1764" customWidth="1"/>
    <col min="10519" max="10757" width="9.1796875" style="1764"/>
    <col min="10758" max="10758" width="3.7265625" style="1764" customWidth="1"/>
    <col min="10759" max="10759" width="10.1796875" style="1764" customWidth="1"/>
    <col min="10760" max="10760" width="6.81640625" style="1764" customWidth="1"/>
    <col min="10761" max="10761" width="12.1796875" style="1764" customWidth="1"/>
    <col min="10762" max="10771" width="7.26953125" style="1764" customWidth="1"/>
    <col min="10772" max="10774" width="7" style="1764" customWidth="1"/>
    <col min="10775" max="11013" width="9.1796875" style="1764"/>
    <col min="11014" max="11014" width="3.7265625" style="1764" customWidth="1"/>
    <col min="11015" max="11015" width="10.1796875" style="1764" customWidth="1"/>
    <col min="11016" max="11016" width="6.81640625" style="1764" customWidth="1"/>
    <col min="11017" max="11017" width="12.1796875" style="1764" customWidth="1"/>
    <col min="11018" max="11027" width="7.26953125" style="1764" customWidth="1"/>
    <col min="11028" max="11030" width="7" style="1764" customWidth="1"/>
    <col min="11031" max="11269" width="9.1796875" style="1764"/>
    <col min="11270" max="11270" width="3.7265625" style="1764" customWidth="1"/>
    <col min="11271" max="11271" width="10.1796875" style="1764" customWidth="1"/>
    <col min="11272" max="11272" width="6.81640625" style="1764" customWidth="1"/>
    <col min="11273" max="11273" width="12.1796875" style="1764" customWidth="1"/>
    <col min="11274" max="11283" width="7.26953125" style="1764" customWidth="1"/>
    <col min="11284" max="11286" width="7" style="1764" customWidth="1"/>
    <col min="11287" max="11525" width="9.1796875" style="1764"/>
    <col min="11526" max="11526" width="3.7265625" style="1764" customWidth="1"/>
    <col min="11527" max="11527" width="10.1796875" style="1764" customWidth="1"/>
    <col min="11528" max="11528" width="6.81640625" style="1764" customWidth="1"/>
    <col min="11529" max="11529" width="12.1796875" style="1764" customWidth="1"/>
    <col min="11530" max="11539" width="7.26953125" style="1764" customWidth="1"/>
    <col min="11540" max="11542" width="7" style="1764" customWidth="1"/>
    <col min="11543" max="11781" width="9.1796875" style="1764"/>
    <col min="11782" max="11782" width="3.7265625" style="1764" customWidth="1"/>
    <col min="11783" max="11783" width="10.1796875" style="1764" customWidth="1"/>
    <col min="11784" max="11784" width="6.81640625" style="1764" customWidth="1"/>
    <col min="11785" max="11785" width="12.1796875" style="1764" customWidth="1"/>
    <col min="11786" max="11795" width="7.26953125" style="1764" customWidth="1"/>
    <col min="11796" max="11798" width="7" style="1764" customWidth="1"/>
    <col min="11799" max="12037" width="9.1796875" style="1764"/>
    <col min="12038" max="12038" width="3.7265625" style="1764" customWidth="1"/>
    <col min="12039" max="12039" width="10.1796875" style="1764" customWidth="1"/>
    <col min="12040" max="12040" width="6.81640625" style="1764" customWidth="1"/>
    <col min="12041" max="12041" width="12.1796875" style="1764" customWidth="1"/>
    <col min="12042" max="12051" width="7.26953125" style="1764" customWidth="1"/>
    <col min="12052" max="12054" width="7" style="1764" customWidth="1"/>
    <col min="12055" max="12293" width="9.1796875" style="1764"/>
    <col min="12294" max="12294" width="3.7265625" style="1764" customWidth="1"/>
    <col min="12295" max="12295" width="10.1796875" style="1764" customWidth="1"/>
    <col min="12296" max="12296" width="6.81640625" style="1764" customWidth="1"/>
    <col min="12297" max="12297" width="12.1796875" style="1764" customWidth="1"/>
    <col min="12298" max="12307" width="7.26953125" style="1764" customWidth="1"/>
    <col min="12308" max="12310" width="7" style="1764" customWidth="1"/>
    <col min="12311" max="12549" width="9.1796875" style="1764"/>
    <col min="12550" max="12550" width="3.7265625" style="1764" customWidth="1"/>
    <col min="12551" max="12551" width="10.1796875" style="1764" customWidth="1"/>
    <col min="12552" max="12552" width="6.81640625" style="1764" customWidth="1"/>
    <col min="12553" max="12553" width="12.1796875" style="1764" customWidth="1"/>
    <col min="12554" max="12563" width="7.26953125" style="1764" customWidth="1"/>
    <col min="12564" max="12566" width="7" style="1764" customWidth="1"/>
    <col min="12567" max="12805" width="9.1796875" style="1764"/>
    <col min="12806" max="12806" width="3.7265625" style="1764" customWidth="1"/>
    <col min="12807" max="12807" width="10.1796875" style="1764" customWidth="1"/>
    <col min="12808" max="12808" width="6.81640625" style="1764" customWidth="1"/>
    <col min="12809" max="12809" width="12.1796875" style="1764" customWidth="1"/>
    <col min="12810" max="12819" width="7.26953125" style="1764" customWidth="1"/>
    <col min="12820" max="12822" width="7" style="1764" customWidth="1"/>
    <col min="12823" max="13061" width="9.1796875" style="1764"/>
    <col min="13062" max="13062" width="3.7265625" style="1764" customWidth="1"/>
    <col min="13063" max="13063" width="10.1796875" style="1764" customWidth="1"/>
    <col min="13064" max="13064" width="6.81640625" style="1764" customWidth="1"/>
    <col min="13065" max="13065" width="12.1796875" style="1764" customWidth="1"/>
    <col min="13066" max="13075" width="7.26953125" style="1764" customWidth="1"/>
    <col min="13076" max="13078" width="7" style="1764" customWidth="1"/>
    <col min="13079" max="13317" width="9.1796875" style="1764"/>
    <col min="13318" max="13318" width="3.7265625" style="1764" customWidth="1"/>
    <col min="13319" max="13319" width="10.1796875" style="1764" customWidth="1"/>
    <col min="13320" max="13320" width="6.81640625" style="1764" customWidth="1"/>
    <col min="13321" max="13321" width="12.1796875" style="1764" customWidth="1"/>
    <col min="13322" max="13331" width="7.26953125" style="1764" customWidth="1"/>
    <col min="13332" max="13334" width="7" style="1764" customWidth="1"/>
    <col min="13335" max="13573" width="9.1796875" style="1764"/>
    <col min="13574" max="13574" width="3.7265625" style="1764" customWidth="1"/>
    <col min="13575" max="13575" width="10.1796875" style="1764" customWidth="1"/>
    <col min="13576" max="13576" width="6.81640625" style="1764" customWidth="1"/>
    <col min="13577" max="13577" width="12.1796875" style="1764" customWidth="1"/>
    <col min="13578" max="13587" width="7.26953125" style="1764" customWidth="1"/>
    <col min="13588" max="13590" width="7" style="1764" customWidth="1"/>
    <col min="13591" max="13829" width="9.1796875" style="1764"/>
    <col min="13830" max="13830" width="3.7265625" style="1764" customWidth="1"/>
    <col min="13831" max="13831" width="10.1796875" style="1764" customWidth="1"/>
    <col min="13832" max="13832" width="6.81640625" style="1764" customWidth="1"/>
    <col min="13833" max="13833" width="12.1796875" style="1764" customWidth="1"/>
    <col min="13834" max="13843" width="7.26953125" style="1764" customWidth="1"/>
    <col min="13844" max="13846" width="7" style="1764" customWidth="1"/>
    <col min="13847" max="14085" width="9.1796875" style="1764"/>
    <col min="14086" max="14086" width="3.7265625" style="1764" customWidth="1"/>
    <col min="14087" max="14087" width="10.1796875" style="1764" customWidth="1"/>
    <col min="14088" max="14088" width="6.81640625" style="1764" customWidth="1"/>
    <col min="14089" max="14089" width="12.1796875" style="1764" customWidth="1"/>
    <col min="14090" max="14099" width="7.26953125" style="1764" customWidth="1"/>
    <col min="14100" max="14102" width="7" style="1764" customWidth="1"/>
    <col min="14103" max="14341" width="9.1796875" style="1764"/>
    <col min="14342" max="14342" width="3.7265625" style="1764" customWidth="1"/>
    <col min="14343" max="14343" width="10.1796875" style="1764" customWidth="1"/>
    <col min="14344" max="14344" width="6.81640625" style="1764" customWidth="1"/>
    <col min="14345" max="14345" width="12.1796875" style="1764" customWidth="1"/>
    <col min="14346" max="14355" width="7.26953125" style="1764" customWidth="1"/>
    <col min="14356" max="14358" width="7" style="1764" customWidth="1"/>
    <col min="14359" max="14597" width="9.1796875" style="1764"/>
    <col min="14598" max="14598" width="3.7265625" style="1764" customWidth="1"/>
    <col min="14599" max="14599" width="10.1796875" style="1764" customWidth="1"/>
    <col min="14600" max="14600" width="6.81640625" style="1764" customWidth="1"/>
    <col min="14601" max="14601" width="12.1796875" style="1764" customWidth="1"/>
    <col min="14602" max="14611" width="7.26953125" style="1764" customWidth="1"/>
    <col min="14612" max="14614" width="7" style="1764" customWidth="1"/>
    <col min="14615" max="14853" width="9.1796875" style="1764"/>
    <col min="14854" max="14854" width="3.7265625" style="1764" customWidth="1"/>
    <col min="14855" max="14855" width="10.1796875" style="1764" customWidth="1"/>
    <col min="14856" max="14856" width="6.81640625" style="1764" customWidth="1"/>
    <col min="14857" max="14857" width="12.1796875" style="1764" customWidth="1"/>
    <col min="14858" max="14867" width="7.26953125" style="1764" customWidth="1"/>
    <col min="14868" max="14870" width="7" style="1764" customWidth="1"/>
    <col min="14871" max="15109" width="9.1796875" style="1764"/>
    <col min="15110" max="15110" width="3.7265625" style="1764" customWidth="1"/>
    <col min="15111" max="15111" width="10.1796875" style="1764" customWidth="1"/>
    <col min="15112" max="15112" width="6.81640625" style="1764" customWidth="1"/>
    <col min="15113" max="15113" width="12.1796875" style="1764" customWidth="1"/>
    <col min="15114" max="15123" width="7.26953125" style="1764" customWidth="1"/>
    <col min="15124" max="15126" width="7" style="1764" customWidth="1"/>
    <col min="15127" max="15365" width="9.1796875" style="1764"/>
    <col min="15366" max="15366" width="3.7265625" style="1764" customWidth="1"/>
    <col min="15367" max="15367" width="10.1796875" style="1764" customWidth="1"/>
    <col min="15368" max="15368" width="6.81640625" style="1764" customWidth="1"/>
    <col min="15369" max="15369" width="12.1796875" style="1764" customWidth="1"/>
    <col min="15370" max="15379" width="7.26953125" style="1764" customWidth="1"/>
    <col min="15380" max="15382" width="7" style="1764" customWidth="1"/>
    <col min="15383" max="15621" width="9.1796875" style="1764"/>
    <col min="15622" max="15622" width="3.7265625" style="1764" customWidth="1"/>
    <col min="15623" max="15623" width="10.1796875" style="1764" customWidth="1"/>
    <col min="15624" max="15624" width="6.81640625" style="1764" customWidth="1"/>
    <col min="15625" max="15625" width="12.1796875" style="1764" customWidth="1"/>
    <col min="15626" max="15635" width="7.26953125" style="1764" customWidth="1"/>
    <col min="15636" max="15638" width="7" style="1764" customWidth="1"/>
    <col min="15639" max="15877" width="9.1796875" style="1764"/>
    <col min="15878" max="15878" width="3.7265625" style="1764" customWidth="1"/>
    <col min="15879" max="15879" width="10.1796875" style="1764" customWidth="1"/>
    <col min="15880" max="15880" width="6.81640625" style="1764" customWidth="1"/>
    <col min="15881" max="15881" width="12.1796875" style="1764" customWidth="1"/>
    <col min="15882" max="15891" width="7.26953125" style="1764" customWidth="1"/>
    <col min="15892" max="15894" width="7" style="1764" customWidth="1"/>
    <col min="15895" max="16133" width="9.1796875" style="1764"/>
    <col min="16134" max="16134" width="3.7265625" style="1764" customWidth="1"/>
    <col min="16135" max="16135" width="10.1796875" style="1764" customWidth="1"/>
    <col min="16136" max="16136" width="6.81640625" style="1764" customWidth="1"/>
    <col min="16137" max="16137" width="12.1796875" style="1764" customWidth="1"/>
    <col min="16138" max="16147" width="7.26953125" style="1764" customWidth="1"/>
    <col min="16148" max="16150" width="7" style="1764" customWidth="1"/>
    <col min="16151" max="16384" width="9.1796875" style="1764"/>
  </cols>
  <sheetData>
    <row r="1" spans="1:26" ht="6.75" customHeight="1" x14ac:dyDescent="0.3"/>
    <row r="2" spans="1:26" ht="14.5" customHeight="1" x14ac:dyDescent="0.3">
      <c r="A2" s="1255">
        <v>1</v>
      </c>
      <c r="B2" s="1255" t="s">
        <v>0</v>
      </c>
      <c r="C2" s="1255">
        <f>'Severe Acute Malnutrition'!C2+1</f>
        <v>35</v>
      </c>
      <c r="D2" s="4715" t="s">
        <v>846</v>
      </c>
      <c r="E2" s="4716"/>
      <c r="F2" s="4716"/>
      <c r="G2" s="4716"/>
      <c r="H2" s="4716"/>
      <c r="I2" s="4716"/>
      <c r="J2" s="4716"/>
      <c r="K2" s="4716"/>
      <c r="L2" s="4716"/>
      <c r="M2" s="4716"/>
      <c r="N2" s="4716"/>
      <c r="O2" s="4716"/>
      <c r="P2" s="4716"/>
      <c r="Q2" s="4716"/>
      <c r="R2" s="4716"/>
      <c r="S2" s="4716"/>
      <c r="T2" s="4716"/>
      <c r="U2" s="4716"/>
      <c r="V2" s="4716"/>
      <c r="W2" s="4716"/>
      <c r="X2" s="4716"/>
      <c r="Y2" s="4717"/>
    </row>
    <row r="3" spans="1:26" ht="15" customHeight="1" x14ac:dyDescent="0.3">
      <c r="A3" s="1255">
        <v>2</v>
      </c>
      <c r="B3" s="1255" t="s">
        <v>2</v>
      </c>
      <c r="C3" s="1255"/>
      <c r="D3" s="4715" t="s">
        <v>761</v>
      </c>
      <c r="E3" s="4716"/>
      <c r="F3" s="4716"/>
      <c r="G3" s="4716"/>
      <c r="H3" s="4716"/>
      <c r="I3" s="4716"/>
      <c r="J3" s="4716"/>
      <c r="K3" s="4716"/>
      <c r="L3" s="4716"/>
      <c r="M3" s="4716"/>
      <c r="N3" s="4716"/>
      <c r="O3" s="4716"/>
      <c r="P3" s="4716"/>
      <c r="Q3" s="4716"/>
      <c r="R3" s="4716"/>
      <c r="S3" s="4716"/>
      <c r="T3" s="4716"/>
      <c r="U3" s="4716"/>
      <c r="V3" s="4716"/>
      <c r="W3" s="4716"/>
      <c r="X3" s="4716"/>
      <c r="Y3" s="4717"/>
    </row>
    <row r="4" spans="1:26" ht="14.5" customHeight="1" x14ac:dyDescent="0.3">
      <c r="A4" s="1255">
        <v>3</v>
      </c>
      <c r="B4" s="1255" t="s">
        <v>4</v>
      </c>
      <c r="C4" s="1255"/>
      <c r="D4" s="4715" t="s">
        <v>762</v>
      </c>
      <c r="E4" s="4716"/>
      <c r="F4" s="4716"/>
      <c r="G4" s="4716"/>
      <c r="H4" s="4716"/>
      <c r="I4" s="4716"/>
      <c r="J4" s="4716"/>
      <c r="K4" s="4716"/>
      <c r="L4" s="4716"/>
      <c r="M4" s="4716"/>
      <c r="N4" s="4716"/>
      <c r="O4" s="4716"/>
      <c r="P4" s="4716"/>
      <c r="Q4" s="4716"/>
      <c r="R4" s="4716"/>
      <c r="S4" s="4716"/>
      <c r="T4" s="4716"/>
      <c r="U4" s="4716"/>
      <c r="V4" s="4716"/>
      <c r="W4" s="4716"/>
      <c r="X4" s="4716"/>
      <c r="Y4" s="4717"/>
    </row>
    <row r="5" spans="1:26" ht="14.5" customHeight="1" x14ac:dyDescent="0.3">
      <c r="A5" s="1255">
        <v>4</v>
      </c>
      <c r="B5" s="1255" t="s">
        <v>763</v>
      </c>
      <c r="C5" s="1255"/>
      <c r="D5" s="4715" t="s">
        <v>1971</v>
      </c>
      <c r="E5" s="4716"/>
      <c r="F5" s="4716"/>
      <c r="G5" s="4716"/>
      <c r="H5" s="4716"/>
      <c r="I5" s="4716"/>
      <c r="J5" s="4716"/>
      <c r="K5" s="4716"/>
      <c r="L5" s="4716"/>
      <c r="M5" s="4716"/>
      <c r="N5" s="4716"/>
      <c r="O5" s="4716"/>
      <c r="P5" s="4716"/>
      <c r="Q5" s="4716"/>
      <c r="R5" s="4716"/>
      <c r="S5" s="4716"/>
      <c r="T5" s="4716"/>
      <c r="U5" s="4716"/>
      <c r="V5" s="4716"/>
      <c r="W5" s="4716"/>
      <c r="X5" s="4716"/>
      <c r="Y5" s="4717"/>
    </row>
    <row r="6" spans="1:26" x14ac:dyDescent="0.3">
      <c r="A6" s="1255"/>
      <c r="B6" s="1256"/>
      <c r="C6" s="728"/>
      <c r="D6" s="1265"/>
      <c r="E6" s="1629"/>
      <c r="F6" s="1632"/>
      <c r="G6" s="1632"/>
      <c r="H6" s="1632"/>
      <c r="I6" s="1265"/>
      <c r="J6" s="1265"/>
      <c r="K6" s="1265"/>
      <c r="L6" s="1265"/>
    </row>
    <row r="7" spans="1:26" s="1265" customFormat="1" ht="13" x14ac:dyDescent="0.25">
      <c r="A7" s="1255">
        <v>5</v>
      </c>
      <c r="B7" s="1255" t="s">
        <v>6</v>
      </c>
      <c r="C7" s="1256"/>
      <c r="D7" s="1770" t="s">
        <v>85</v>
      </c>
      <c r="E7" s="1770" t="s">
        <v>846</v>
      </c>
      <c r="F7" s="1773"/>
      <c r="G7" s="1773"/>
      <c r="H7" s="1773"/>
      <c r="I7" s="1771"/>
      <c r="J7" s="1771"/>
      <c r="K7" s="1771"/>
      <c r="L7" s="1771"/>
    </row>
    <row r="8" spans="1:26" s="1265" customFormat="1" ht="13" x14ac:dyDescent="0.25">
      <c r="A8" s="1255"/>
      <c r="B8" s="1256"/>
      <c r="C8" s="1256"/>
      <c r="D8" s="1273"/>
      <c r="E8" s="2239"/>
      <c r="F8" s="1519"/>
      <c r="G8" s="1519">
        <v>2000</v>
      </c>
      <c r="H8" s="1519">
        <v>2001</v>
      </c>
      <c r="I8" s="1519">
        <v>2002</v>
      </c>
      <c r="J8" s="1519">
        <v>2003</v>
      </c>
      <c r="K8" s="1519">
        <v>2004</v>
      </c>
      <c r="L8" s="1519">
        <v>2005</v>
      </c>
      <c r="M8" s="1519">
        <v>2006</v>
      </c>
      <c r="N8" s="1519">
        <v>2007</v>
      </c>
      <c r="O8" s="1519">
        <v>2008</v>
      </c>
      <c r="P8" s="1519">
        <v>2009</v>
      </c>
      <c r="Q8" s="1519">
        <v>2010</v>
      </c>
      <c r="R8" s="1519">
        <v>2011</v>
      </c>
      <c r="S8" s="1519">
        <v>2012</v>
      </c>
      <c r="T8" s="1519">
        <v>2013</v>
      </c>
      <c r="U8" s="1519">
        <v>2014</v>
      </c>
      <c r="V8" s="1519">
        <v>2015</v>
      </c>
      <c r="W8" s="1519">
        <v>2016</v>
      </c>
      <c r="X8" s="2240">
        <v>2017</v>
      </c>
      <c r="Y8" s="2240">
        <v>2018</v>
      </c>
      <c r="Z8" s="2240">
        <v>2019</v>
      </c>
    </row>
    <row r="9" spans="1:26" s="2245" customFormat="1" ht="20" x14ac:dyDescent="0.2">
      <c r="A9" s="1526"/>
      <c r="B9" s="2241"/>
      <c r="C9" s="2241"/>
      <c r="D9" s="1617" t="s">
        <v>847</v>
      </c>
      <c r="E9" s="1619"/>
      <c r="F9" s="2242"/>
      <c r="G9" s="2243">
        <v>0.75800000000000001</v>
      </c>
      <c r="H9" s="2243">
        <v>0.64</v>
      </c>
      <c r="I9" s="2243">
        <v>0.71899999999999997</v>
      </c>
      <c r="J9" s="2243">
        <v>0.71499999999999997</v>
      </c>
      <c r="K9" s="2243">
        <v>0.70499999999999996</v>
      </c>
      <c r="L9" s="2243">
        <v>0.75600000000000001</v>
      </c>
      <c r="M9" s="2243">
        <v>0.76300000000000001</v>
      </c>
      <c r="N9" s="2243">
        <v>0.73499999999999999</v>
      </c>
      <c r="O9" s="2243">
        <v>0.75</v>
      </c>
      <c r="P9" s="2243">
        <v>0.77100000000000002</v>
      </c>
      <c r="Q9" s="2243">
        <v>0.71199999999999997</v>
      </c>
      <c r="R9" s="2243">
        <v>0.752</v>
      </c>
      <c r="S9" s="2243">
        <v>0.77300000000000002</v>
      </c>
      <c r="T9" s="2243">
        <v>0.77800000000000002</v>
      </c>
      <c r="U9" s="2243">
        <v>0.81100000000000005</v>
      </c>
      <c r="V9" s="2243">
        <v>0.82699999999999996</v>
      </c>
      <c r="W9" s="2243">
        <v>0.71299999999999997</v>
      </c>
      <c r="X9" s="2243">
        <v>0.746</v>
      </c>
      <c r="Y9" s="2244">
        <v>0.81799999999999995</v>
      </c>
      <c r="Z9" s="2244">
        <v>0.83199999999999996</v>
      </c>
    </row>
    <row r="10" spans="1:26" s="2245" customFormat="1" ht="13" x14ac:dyDescent="0.2">
      <c r="A10" s="1526"/>
      <c r="B10" s="2241"/>
      <c r="C10" s="2241"/>
      <c r="D10" s="1804"/>
      <c r="E10" s="2246"/>
      <c r="F10" s="2246"/>
      <c r="G10" s="2246"/>
      <c r="H10" s="2246"/>
      <c r="I10" s="2246"/>
      <c r="J10" s="2246"/>
      <c r="K10" s="2246"/>
      <c r="L10" s="2246"/>
      <c r="M10" s="2246"/>
      <c r="N10" s="2246"/>
      <c r="O10" s="2246"/>
      <c r="P10" s="2246"/>
      <c r="Q10" s="2246"/>
      <c r="R10" s="2246"/>
      <c r="S10" s="2246"/>
      <c r="T10" s="2246"/>
      <c r="U10" s="2246"/>
      <c r="V10" s="2246"/>
      <c r="W10" s="2246"/>
      <c r="X10" s="2246"/>
    </row>
    <row r="11" spans="1:26" x14ac:dyDescent="0.3">
      <c r="A11" s="1255">
        <v>6</v>
      </c>
      <c r="B11" s="1255" t="s">
        <v>56</v>
      </c>
      <c r="C11" s="1255"/>
    </row>
    <row r="12" spans="1:26" x14ac:dyDescent="0.3">
      <c r="D12" s="1771" t="s">
        <v>74</v>
      </c>
      <c r="E12" s="2247" t="s">
        <v>848</v>
      </c>
      <c r="F12" s="2248"/>
      <c r="G12" s="2248"/>
      <c r="H12" s="2249"/>
      <c r="I12" s="2249"/>
      <c r="J12" s="2249"/>
      <c r="K12" s="2249"/>
      <c r="L12" s="2249"/>
      <c r="M12" s="2249"/>
      <c r="N12" s="2249"/>
      <c r="O12" s="2249"/>
      <c r="P12" s="2249"/>
      <c r="Q12" s="2250"/>
    </row>
    <row r="13" spans="1:26" x14ac:dyDescent="0.3">
      <c r="D13" s="1774" t="s">
        <v>97</v>
      </c>
      <c r="E13" s="2251"/>
      <c r="F13" s="2252"/>
      <c r="G13" s="2252"/>
      <c r="H13" s="2177">
        <v>2001</v>
      </c>
      <c r="I13" s="2177">
        <v>2002</v>
      </c>
      <c r="J13" s="2177">
        <v>2003</v>
      </c>
      <c r="K13" s="2177">
        <v>2004</v>
      </c>
      <c r="L13" s="2177">
        <v>2005</v>
      </c>
      <c r="M13" s="2177">
        <v>2006</v>
      </c>
      <c r="N13" s="2177">
        <v>2007</v>
      </c>
      <c r="O13" s="2177">
        <v>2008</v>
      </c>
      <c r="P13" s="2177">
        <v>2009</v>
      </c>
      <c r="Q13" s="2177">
        <v>2010</v>
      </c>
      <c r="R13" s="2177">
        <v>2011</v>
      </c>
      <c r="S13" s="2177">
        <v>2012</v>
      </c>
      <c r="T13" s="2177">
        <v>2013</v>
      </c>
      <c r="U13" s="2177">
        <v>2014</v>
      </c>
      <c r="V13" s="2177">
        <v>2015</v>
      </c>
      <c r="W13" s="2253">
        <v>2016</v>
      </c>
      <c r="X13" s="2253">
        <v>2017</v>
      </c>
      <c r="Y13" s="2253">
        <v>2018</v>
      </c>
      <c r="Z13" s="2253">
        <v>2019</v>
      </c>
    </row>
    <row r="14" spans="1:26" x14ac:dyDescent="0.3">
      <c r="D14" s="1615" t="s">
        <v>402</v>
      </c>
      <c r="E14" s="2250"/>
      <c r="F14" s="2250"/>
      <c r="G14" s="2250"/>
      <c r="H14" s="2254">
        <v>55.7</v>
      </c>
      <c r="I14" s="2254">
        <v>72.599999999999994</v>
      </c>
      <c r="J14" s="2254">
        <v>73.599999999999994</v>
      </c>
      <c r="K14" s="2254">
        <v>68.400000000000006</v>
      </c>
      <c r="L14" s="2254">
        <v>69.2</v>
      </c>
      <c r="M14" s="2254">
        <v>65.5</v>
      </c>
      <c r="N14" s="2254">
        <v>61</v>
      </c>
      <c r="O14" s="2254">
        <v>62.7</v>
      </c>
      <c r="P14" s="2254">
        <v>68.099999999999994</v>
      </c>
      <c r="Q14" s="2254">
        <v>61.9</v>
      </c>
      <c r="R14" s="2254">
        <v>62.2</v>
      </c>
      <c r="S14" s="2254">
        <v>67.099999999999994</v>
      </c>
      <c r="T14" s="2254">
        <v>66.400000000000006</v>
      </c>
      <c r="U14" s="2254">
        <v>70.599999999999994</v>
      </c>
      <c r="V14" s="2254">
        <v>75.400000000000006</v>
      </c>
      <c r="W14" s="2254">
        <v>65.099999999999994</v>
      </c>
      <c r="X14" s="2254">
        <v>65.900000000000006</v>
      </c>
      <c r="Y14" s="2254">
        <v>72.400000000000006</v>
      </c>
      <c r="Z14" s="2254">
        <v>75.8</v>
      </c>
    </row>
    <row r="15" spans="1:26" x14ac:dyDescent="0.3">
      <c r="D15" s="1615" t="s">
        <v>404</v>
      </c>
      <c r="E15" s="2250"/>
      <c r="F15" s="2250"/>
      <c r="G15" s="2250"/>
      <c r="H15" s="2254">
        <v>74.5</v>
      </c>
      <c r="I15" s="2254">
        <v>75.900000000000006</v>
      </c>
      <c r="J15" s="2254">
        <v>76.400000000000006</v>
      </c>
      <c r="K15" s="2254">
        <v>81.400000000000006</v>
      </c>
      <c r="L15" s="2254">
        <v>94.2</v>
      </c>
      <c r="M15" s="2254">
        <v>98.4</v>
      </c>
      <c r="N15" s="2254">
        <v>95.8</v>
      </c>
      <c r="O15" s="2254">
        <v>96.8</v>
      </c>
      <c r="P15" s="2254">
        <v>93.3</v>
      </c>
      <c r="Q15" s="2254">
        <v>81.099999999999994</v>
      </c>
      <c r="R15" s="2254">
        <v>84.2</v>
      </c>
      <c r="S15" s="2254">
        <v>84.3</v>
      </c>
      <c r="T15" s="2254">
        <v>79</v>
      </c>
      <c r="U15" s="2254">
        <v>77.7</v>
      </c>
      <c r="V15" s="2254">
        <v>74.5</v>
      </c>
      <c r="W15" s="2254">
        <v>70</v>
      </c>
      <c r="X15" s="2254">
        <v>70.099999999999994</v>
      </c>
      <c r="Y15" s="2254">
        <v>76</v>
      </c>
      <c r="Z15" s="2254">
        <v>76.3</v>
      </c>
    </row>
    <row r="16" spans="1:26" x14ac:dyDescent="0.3">
      <c r="B16" s="2162"/>
      <c r="C16" s="2162"/>
      <c r="D16" s="1615" t="s">
        <v>407</v>
      </c>
      <c r="E16" s="2250"/>
      <c r="F16" s="2250"/>
      <c r="G16" s="2250"/>
      <c r="H16" s="2254">
        <v>59.2</v>
      </c>
      <c r="I16" s="2254">
        <v>64.2</v>
      </c>
      <c r="J16" s="2254">
        <v>65.7</v>
      </c>
      <c r="K16" s="2254">
        <v>67.7</v>
      </c>
      <c r="L16" s="2254">
        <v>77.099999999999994</v>
      </c>
      <c r="M16" s="2254">
        <v>76.900000000000006</v>
      </c>
      <c r="N16" s="2254">
        <v>78.400000000000006</v>
      </c>
      <c r="O16" s="2254">
        <v>83.9</v>
      </c>
      <c r="P16" s="2254">
        <v>89.5</v>
      </c>
      <c r="Q16" s="2254">
        <v>89.9</v>
      </c>
      <c r="R16" s="2254">
        <v>98</v>
      </c>
      <c r="S16" s="2254">
        <v>96.9</v>
      </c>
      <c r="T16" s="2254">
        <v>98.6</v>
      </c>
      <c r="U16" s="2254">
        <v>96.4</v>
      </c>
      <c r="V16" s="2254">
        <v>91.8</v>
      </c>
      <c r="W16" s="2254">
        <v>76.400000000000006</v>
      </c>
      <c r="X16" s="2254">
        <v>75.3</v>
      </c>
      <c r="Y16" s="2254">
        <v>82.6</v>
      </c>
      <c r="Z16" s="2254">
        <v>86.2</v>
      </c>
    </row>
    <row r="17" spans="4:26" x14ac:dyDescent="0.3">
      <c r="D17" s="1615" t="s">
        <v>405</v>
      </c>
      <c r="E17" s="2250"/>
      <c r="F17" s="2250"/>
      <c r="G17" s="2250"/>
      <c r="H17" s="2254">
        <v>64.099999999999994</v>
      </c>
      <c r="I17" s="2254">
        <v>77.2</v>
      </c>
      <c r="J17" s="2254">
        <v>72.8</v>
      </c>
      <c r="K17" s="2254">
        <v>67.7</v>
      </c>
      <c r="L17" s="2254">
        <v>70</v>
      </c>
      <c r="M17" s="2254">
        <v>69.5</v>
      </c>
      <c r="N17" s="2254">
        <v>65.599999999999994</v>
      </c>
      <c r="O17" s="2254">
        <v>64.599999999999994</v>
      </c>
      <c r="P17" s="2254">
        <v>65.5</v>
      </c>
      <c r="Q17" s="2254">
        <v>61.5</v>
      </c>
      <c r="R17" s="2254">
        <v>73.2</v>
      </c>
      <c r="S17" s="2254">
        <v>74.8</v>
      </c>
      <c r="T17" s="2254">
        <v>75.8</v>
      </c>
      <c r="U17" s="2254">
        <v>78.5</v>
      </c>
      <c r="V17" s="2254">
        <v>79.2</v>
      </c>
      <c r="W17" s="2254">
        <v>70.099999999999994</v>
      </c>
      <c r="X17" s="2254">
        <v>78.599999999999994</v>
      </c>
      <c r="Y17" s="2254">
        <v>90.5</v>
      </c>
      <c r="Z17" s="2254">
        <v>90.3</v>
      </c>
    </row>
    <row r="18" spans="4:26" x14ac:dyDescent="0.3">
      <c r="D18" s="1615" t="s">
        <v>409</v>
      </c>
      <c r="E18" s="2250"/>
      <c r="F18" s="2250"/>
      <c r="G18" s="2250"/>
      <c r="H18" s="2254">
        <v>72.5</v>
      </c>
      <c r="I18" s="2254">
        <v>84.9</v>
      </c>
      <c r="J18" s="2254">
        <v>81.8</v>
      </c>
      <c r="K18" s="2254">
        <v>79.3</v>
      </c>
      <c r="L18" s="2254">
        <v>83.6</v>
      </c>
      <c r="M18" s="2254">
        <v>89.1</v>
      </c>
      <c r="N18" s="2254">
        <v>79.2</v>
      </c>
      <c r="O18" s="2254">
        <v>81.599999999999994</v>
      </c>
      <c r="P18" s="2254">
        <v>82.5</v>
      </c>
      <c r="Q18" s="2254">
        <v>72.900000000000006</v>
      </c>
      <c r="R18" s="2254">
        <v>70.5</v>
      </c>
      <c r="S18" s="2254">
        <v>69.099999999999994</v>
      </c>
      <c r="T18" s="2254">
        <v>66.900000000000006</v>
      </c>
      <c r="U18" s="2254">
        <v>77.8</v>
      </c>
      <c r="V18" s="2254">
        <v>78.2</v>
      </c>
      <c r="W18" s="2254">
        <v>61</v>
      </c>
      <c r="X18" s="2254">
        <v>68.7</v>
      </c>
      <c r="Y18" s="2254">
        <v>74.099999999999994</v>
      </c>
      <c r="Z18" s="2254">
        <v>71.3</v>
      </c>
    </row>
    <row r="19" spans="4:26" x14ac:dyDescent="0.3">
      <c r="D19" s="1615" t="s">
        <v>408</v>
      </c>
      <c r="E19" s="2250"/>
      <c r="F19" s="2250"/>
      <c r="G19" s="2250"/>
      <c r="H19" s="2254">
        <v>62.2</v>
      </c>
      <c r="I19" s="2254">
        <v>62.8</v>
      </c>
      <c r="J19" s="2254">
        <v>64.2</v>
      </c>
      <c r="K19" s="2254">
        <v>65.400000000000006</v>
      </c>
      <c r="L19" s="2254">
        <v>71.8</v>
      </c>
      <c r="M19" s="2254">
        <v>72.3</v>
      </c>
      <c r="N19" s="2254">
        <v>70.7</v>
      </c>
      <c r="O19" s="2254">
        <v>70</v>
      </c>
      <c r="P19" s="2254">
        <v>69.3</v>
      </c>
      <c r="Q19" s="2254">
        <v>58.3</v>
      </c>
      <c r="R19" s="2254">
        <v>56.4</v>
      </c>
      <c r="S19" s="2254">
        <v>66.900000000000006</v>
      </c>
      <c r="T19" s="2254">
        <v>73.3</v>
      </c>
      <c r="U19" s="2254">
        <v>78.2</v>
      </c>
      <c r="V19" s="2254">
        <v>87.1</v>
      </c>
      <c r="W19" s="2254">
        <v>76.900000000000006</v>
      </c>
      <c r="X19" s="2254">
        <v>86.8</v>
      </c>
      <c r="Y19" s="2254">
        <v>96.3</v>
      </c>
      <c r="Z19" s="2254">
        <v>97.1</v>
      </c>
    </row>
    <row r="20" spans="4:26" x14ac:dyDescent="0.3">
      <c r="D20" s="1615" t="s">
        <v>406</v>
      </c>
      <c r="E20" s="2250"/>
      <c r="F20" s="2250"/>
      <c r="G20" s="2250"/>
      <c r="H20" s="2254">
        <v>73.3</v>
      </c>
      <c r="I20" s="2254">
        <v>73.2</v>
      </c>
      <c r="J20" s="2254">
        <v>76.400000000000006</v>
      </c>
      <c r="K20" s="2254">
        <v>78.7</v>
      </c>
      <c r="L20" s="2254">
        <v>84</v>
      </c>
      <c r="M20" s="2254">
        <v>88.6</v>
      </c>
      <c r="N20" s="2254">
        <v>88.7</v>
      </c>
      <c r="O20" s="2254">
        <v>85.9</v>
      </c>
      <c r="P20" s="2254">
        <v>86.8</v>
      </c>
      <c r="Q20" s="2254">
        <v>80</v>
      </c>
      <c r="R20" s="2254">
        <v>88.3</v>
      </c>
      <c r="S20" s="2254">
        <v>92.3</v>
      </c>
      <c r="T20" s="2254">
        <v>94.8</v>
      </c>
      <c r="U20" s="2254">
        <v>95</v>
      </c>
      <c r="V20" s="2254">
        <v>96.7</v>
      </c>
      <c r="W20" s="2254">
        <v>92.6</v>
      </c>
      <c r="X20" s="2254">
        <v>85.8</v>
      </c>
      <c r="Y20" s="2254">
        <v>85.9</v>
      </c>
      <c r="Z20" s="2254">
        <v>91.8</v>
      </c>
    </row>
    <row r="21" spans="4:26" x14ac:dyDescent="0.3">
      <c r="D21" s="1615" t="s">
        <v>403</v>
      </c>
      <c r="E21" s="2250"/>
      <c r="F21" s="2250"/>
      <c r="G21" s="2250"/>
      <c r="H21" s="2254">
        <v>62.4</v>
      </c>
      <c r="I21" s="2254">
        <v>64.099999999999994</v>
      </c>
      <c r="J21" s="2254">
        <v>63.2</v>
      </c>
      <c r="K21" s="2254">
        <v>64.2</v>
      </c>
      <c r="L21" s="2254">
        <v>68</v>
      </c>
      <c r="M21" s="2254">
        <v>66.8</v>
      </c>
      <c r="N21" s="2254">
        <v>64.900000000000006</v>
      </c>
      <c r="O21" s="2254">
        <v>70.5</v>
      </c>
      <c r="P21" s="2254">
        <v>66.5</v>
      </c>
      <c r="Q21" s="2254">
        <v>57.3</v>
      </c>
      <c r="R21" s="2254">
        <v>58.4</v>
      </c>
      <c r="S21" s="2254">
        <v>63.3</v>
      </c>
      <c r="T21" s="2254">
        <v>65.099999999999994</v>
      </c>
      <c r="U21" s="2254">
        <v>72.099999999999994</v>
      </c>
      <c r="V21" s="2254">
        <v>78.3</v>
      </c>
      <c r="W21" s="2254">
        <v>69</v>
      </c>
      <c r="X21" s="2254">
        <v>69</v>
      </c>
      <c r="Y21" s="2254">
        <v>69.5</v>
      </c>
      <c r="Z21" s="2254">
        <v>69.5</v>
      </c>
    </row>
    <row r="22" spans="4:26" x14ac:dyDescent="0.3">
      <c r="D22" s="1617" t="s">
        <v>401</v>
      </c>
      <c r="E22" s="2249"/>
      <c r="F22" s="2249"/>
      <c r="G22" s="2249"/>
      <c r="H22" s="2255">
        <v>71.7</v>
      </c>
      <c r="I22" s="2255">
        <v>71.900000000000006</v>
      </c>
      <c r="J22" s="2255">
        <v>74.8</v>
      </c>
      <c r="K22" s="2255">
        <v>77.7</v>
      </c>
      <c r="L22" s="2255">
        <v>84.7</v>
      </c>
      <c r="M22" s="2255">
        <v>95.4</v>
      </c>
      <c r="N22" s="2255">
        <v>98.3</v>
      </c>
      <c r="O22" s="2255">
        <v>96.1</v>
      </c>
      <c r="P22" s="2255">
        <v>97.1</v>
      </c>
      <c r="Q22" s="2255">
        <v>85.8</v>
      </c>
      <c r="R22" s="2255">
        <v>80.400000000000006</v>
      </c>
      <c r="S22" s="2255">
        <v>82.2</v>
      </c>
      <c r="T22" s="2255">
        <v>80.3</v>
      </c>
      <c r="U22" s="2255">
        <v>83.3</v>
      </c>
      <c r="V22" s="2255">
        <v>88</v>
      </c>
      <c r="W22" s="2255">
        <v>78</v>
      </c>
      <c r="X22" s="2255">
        <v>77.400000000000006</v>
      </c>
      <c r="Y22" s="2255">
        <v>81.8</v>
      </c>
      <c r="Z22" s="2255">
        <v>84.4</v>
      </c>
    </row>
    <row r="23" spans="4:26" x14ac:dyDescent="0.3">
      <c r="D23" s="1804"/>
      <c r="E23" s="2250"/>
      <c r="F23" s="2250"/>
      <c r="G23" s="2250"/>
      <c r="H23" s="2250"/>
      <c r="I23" s="2250"/>
      <c r="J23" s="2250"/>
      <c r="K23" s="2250"/>
      <c r="L23" s="2250"/>
      <c r="M23" s="2250"/>
      <c r="N23" s="2250"/>
      <c r="O23" s="2250"/>
      <c r="P23" s="2250"/>
      <c r="Q23" s="2250"/>
    </row>
    <row r="24" spans="4:26" x14ac:dyDescent="0.3">
      <c r="D24" s="1804"/>
      <c r="E24" s="2250"/>
      <c r="F24" s="2250"/>
      <c r="G24" s="2250"/>
      <c r="H24" s="2250"/>
      <c r="I24" s="2250"/>
      <c r="J24" s="2250"/>
      <c r="K24" s="2250"/>
      <c r="L24" s="2250"/>
      <c r="M24" s="2250"/>
      <c r="N24" s="2250"/>
      <c r="O24" s="2250"/>
      <c r="P24" s="2250"/>
      <c r="Q24" s="2250"/>
    </row>
    <row r="25" spans="4:26" x14ac:dyDescent="0.3">
      <c r="D25" s="1804"/>
      <c r="E25" s="2250"/>
      <c r="F25" s="2250"/>
      <c r="G25" s="2250"/>
      <c r="H25" s="2250"/>
      <c r="I25" s="2250"/>
      <c r="J25" s="2250"/>
      <c r="K25" s="2250"/>
      <c r="L25" s="2250"/>
      <c r="M25" s="2250"/>
      <c r="N25" s="2250"/>
      <c r="O25" s="2250"/>
      <c r="P25" s="2250"/>
      <c r="Q25" s="2250"/>
    </row>
    <row r="26" spans="4:26" x14ac:dyDescent="0.3">
      <c r="D26" s="1804"/>
      <c r="E26" s="2250"/>
      <c r="F26" s="2250"/>
      <c r="G26" s="2250"/>
      <c r="H26" s="2250"/>
      <c r="I26" s="2250"/>
      <c r="J26" s="2250"/>
      <c r="K26" s="2250"/>
      <c r="L26" s="2250"/>
      <c r="M26" s="2250"/>
      <c r="N26" s="2250"/>
      <c r="O26" s="2250"/>
      <c r="P26" s="2250"/>
      <c r="Q26" s="2250"/>
    </row>
    <row r="27" spans="4:26" x14ac:dyDescent="0.3">
      <c r="D27" s="1804"/>
      <c r="E27" s="2250"/>
      <c r="F27" s="2250"/>
      <c r="G27" s="2250"/>
      <c r="H27" s="2250"/>
      <c r="I27" s="2250"/>
      <c r="J27" s="2250"/>
      <c r="K27" s="2250"/>
      <c r="L27" s="2250"/>
      <c r="M27" s="2250"/>
      <c r="N27" s="2250"/>
      <c r="O27" s="2250"/>
      <c r="P27" s="2250"/>
      <c r="Q27" s="2250"/>
    </row>
    <row r="28" spans="4:26" x14ac:dyDescent="0.3">
      <c r="D28" s="1804"/>
      <c r="E28" s="2250"/>
      <c r="F28" s="2250"/>
      <c r="G28" s="2250"/>
      <c r="H28" s="2250"/>
      <c r="I28" s="2250"/>
      <c r="J28" s="2250"/>
      <c r="K28" s="2250"/>
      <c r="L28" s="2250"/>
      <c r="M28" s="2250"/>
      <c r="N28" s="2250"/>
      <c r="O28" s="2250"/>
      <c r="P28" s="2250"/>
      <c r="Q28" s="2250"/>
    </row>
    <row r="29" spans="4:26" x14ac:dyDescent="0.3">
      <c r="D29" s="1804"/>
      <c r="E29" s="2250"/>
      <c r="F29" s="2250"/>
      <c r="G29" s="2250"/>
      <c r="H29" s="2250"/>
      <c r="I29" s="2250"/>
      <c r="J29" s="2250"/>
      <c r="K29" s="2250"/>
      <c r="L29" s="2250"/>
      <c r="M29" s="2250"/>
      <c r="N29" s="2250"/>
      <c r="O29" s="2250"/>
      <c r="P29" s="2250"/>
      <c r="Q29" s="2250"/>
    </row>
    <row r="30" spans="4:26" x14ac:dyDescent="0.3">
      <c r="D30" s="1804"/>
      <c r="E30" s="2250"/>
      <c r="F30" s="2250"/>
      <c r="G30" s="2250"/>
      <c r="H30" s="2250"/>
      <c r="I30" s="2250"/>
      <c r="J30" s="2250"/>
      <c r="K30" s="2250"/>
      <c r="L30" s="2250"/>
      <c r="M30" s="2250"/>
      <c r="N30" s="2250"/>
      <c r="O30" s="2250"/>
      <c r="P30" s="2250"/>
      <c r="Q30" s="2250"/>
    </row>
    <row r="31" spans="4:26" x14ac:dyDescent="0.3">
      <c r="D31" s="1804"/>
      <c r="E31" s="2250"/>
      <c r="F31" s="2250"/>
      <c r="G31" s="2250"/>
      <c r="H31" s="2250"/>
      <c r="I31" s="2250"/>
      <c r="J31" s="2250"/>
      <c r="K31" s="2250"/>
      <c r="L31" s="2250"/>
      <c r="M31" s="2250"/>
      <c r="N31" s="2250"/>
      <c r="O31" s="2250"/>
      <c r="P31" s="2250"/>
      <c r="Q31" s="2250"/>
    </row>
    <row r="32" spans="4:26" x14ac:dyDescent="0.3">
      <c r="D32" s="1804"/>
      <c r="E32" s="2250"/>
      <c r="F32" s="2250"/>
      <c r="G32" s="2250"/>
      <c r="H32" s="2250"/>
      <c r="I32" s="2250"/>
      <c r="J32" s="2250"/>
      <c r="K32" s="2250"/>
      <c r="L32" s="2250"/>
      <c r="M32" s="2250"/>
      <c r="N32" s="2250"/>
      <c r="O32" s="2250"/>
      <c r="P32" s="2250"/>
      <c r="Q32" s="2250"/>
    </row>
    <row r="33" spans="1:25" x14ac:dyDescent="0.3">
      <c r="D33" s="1804"/>
      <c r="E33" s="2250"/>
      <c r="F33" s="2250"/>
      <c r="G33" s="2250"/>
      <c r="H33" s="2250"/>
      <c r="I33" s="2250"/>
      <c r="J33" s="2250"/>
      <c r="K33" s="2250"/>
      <c r="L33" s="2250"/>
      <c r="M33" s="2250"/>
      <c r="N33" s="2250"/>
      <c r="O33" s="2250"/>
      <c r="P33" s="2250"/>
      <c r="Q33" s="2250"/>
    </row>
    <row r="34" spans="1:25" x14ac:dyDescent="0.3">
      <c r="D34" s="1804"/>
      <c r="E34" s="2250"/>
      <c r="F34" s="2250"/>
      <c r="G34" s="2250"/>
      <c r="H34" s="2250"/>
      <c r="I34" s="2250"/>
      <c r="J34" s="2250"/>
      <c r="K34" s="2250"/>
      <c r="L34" s="2250"/>
      <c r="M34" s="2250"/>
      <c r="N34" s="2250"/>
      <c r="O34" s="2250"/>
      <c r="P34" s="2250"/>
      <c r="Q34" s="2250"/>
    </row>
    <row r="35" spans="1:25" x14ac:dyDescent="0.3">
      <c r="D35" s="1804"/>
      <c r="E35" s="2250"/>
      <c r="F35" s="2250"/>
      <c r="G35" s="2250"/>
      <c r="H35" s="2250"/>
      <c r="I35" s="2250"/>
      <c r="J35" s="2250"/>
      <c r="K35" s="2250"/>
      <c r="L35" s="2250"/>
      <c r="M35" s="2250"/>
      <c r="N35" s="2250"/>
      <c r="O35" s="2250"/>
      <c r="P35" s="2250"/>
      <c r="Q35" s="2250"/>
    </row>
    <row r="36" spans="1:25" x14ac:dyDescent="0.3">
      <c r="D36" s="1804"/>
      <c r="E36" s="2250"/>
      <c r="F36" s="2250"/>
      <c r="G36" s="2250"/>
      <c r="H36" s="2250"/>
      <c r="I36" s="2250"/>
      <c r="J36" s="2250"/>
      <c r="K36" s="2250"/>
      <c r="L36" s="2250"/>
      <c r="M36" s="2250"/>
      <c r="N36" s="2250"/>
      <c r="O36" s="2250"/>
      <c r="P36" s="2250"/>
      <c r="Q36" s="2250"/>
    </row>
    <row r="37" spans="1:25" x14ac:dyDescent="0.3">
      <c r="D37" s="1804"/>
      <c r="E37" s="2250"/>
      <c r="F37" s="2250"/>
      <c r="G37" s="2250"/>
      <c r="H37" s="2250"/>
      <c r="I37" s="2250"/>
      <c r="J37" s="2250"/>
      <c r="K37" s="2250"/>
      <c r="L37" s="2250"/>
      <c r="M37" s="2250"/>
      <c r="N37" s="2250"/>
      <c r="O37" s="2250"/>
      <c r="P37" s="2250"/>
      <c r="Q37" s="2250"/>
    </row>
    <row r="39" spans="1:25" ht="15" customHeight="1" x14ac:dyDescent="0.3">
      <c r="A39" s="1255">
        <v>7</v>
      </c>
      <c r="B39" s="1255" t="s">
        <v>58</v>
      </c>
      <c r="C39" s="1255"/>
      <c r="D39" s="4715" t="s">
        <v>363</v>
      </c>
      <c r="E39" s="4716"/>
      <c r="F39" s="4716"/>
      <c r="G39" s="4716"/>
      <c r="H39" s="4716"/>
      <c r="I39" s="4716"/>
      <c r="J39" s="4716"/>
      <c r="K39" s="4716"/>
      <c r="L39" s="4716"/>
      <c r="M39" s="4716"/>
      <c r="N39" s="4716"/>
      <c r="O39" s="4716"/>
      <c r="P39" s="4716"/>
      <c r="Q39" s="4716"/>
      <c r="R39" s="4716"/>
      <c r="S39" s="4716"/>
      <c r="T39" s="4716"/>
      <c r="U39" s="4716"/>
      <c r="V39" s="4716"/>
      <c r="W39" s="4716"/>
      <c r="X39" s="4716"/>
      <c r="Y39" s="4717"/>
    </row>
    <row r="40" spans="1:25" ht="30.75" customHeight="1" x14ac:dyDescent="0.3">
      <c r="A40" s="1306">
        <v>8</v>
      </c>
      <c r="B40" s="1306" t="s">
        <v>60</v>
      </c>
      <c r="C40" s="1306"/>
      <c r="D40" s="4715" t="s">
        <v>849</v>
      </c>
      <c r="E40" s="4716"/>
      <c r="F40" s="4716"/>
      <c r="G40" s="4716"/>
      <c r="H40" s="4716"/>
      <c r="I40" s="4716"/>
      <c r="J40" s="4716"/>
      <c r="K40" s="4716"/>
      <c r="L40" s="4716"/>
      <c r="M40" s="4716"/>
      <c r="N40" s="4716"/>
      <c r="O40" s="4716"/>
      <c r="P40" s="4716"/>
      <c r="Q40" s="4716"/>
      <c r="R40" s="4716"/>
      <c r="S40" s="4716"/>
      <c r="T40" s="4716"/>
      <c r="U40" s="4716"/>
      <c r="V40" s="4716"/>
      <c r="W40" s="4716"/>
      <c r="X40" s="4716"/>
      <c r="Y40" s="4717"/>
    </row>
    <row r="41" spans="1:25" ht="15" customHeight="1" x14ac:dyDescent="0.3">
      <c r="A41" s="1255">
        <v>9</v>
      </c>
      <c r="B41" s="1255" t="s">
        <v>62</v>
      </c>
      <c r="C41" s="1255"/>
      <c r="D41" s="4715" t="s">
        <v>850</v>
      </c>
      <c r="E41" s="4716"/>
      <c r="F41" s="4716"/>
      <c r="G41" s="4716"/>
      <c r="H41" s="4716"/>
      <c r="I41" s="4716"/>
      <c r="J41" s="4716"/>
      <c r="K41" s="4716"/>
      <c r="L41" s="4716"/>
      <c r="M41" s="4716"/>
      <c r="N41" s="4716"/>
      <c r="O41" s="4716"/>
      <c r="P41" s="4716"/>
      <c r="Q41" s="4716"/>
      <c r="R41" s="4716"/>
      <c r="S41" s="4716"/>
      <c r="T41" s="4716"/>
      <c r="U41" s="4716"/>
      <c r="V41" s="4716"/>
      <c r="W41" s="4716"/>
      <c r="X41" s="4716"/>
      <c r="Y41" s="4717"/>
    </row>
    <row r="42" spans="1:25" ht="15" customHeight="1" x14ac:dyDescent="0.3">
      <c r="A42" s="1255">
        <v>10</v>
      </c>
      <c r="B42" s="1255" t="s">
        <v>278</v>
      </c>
      <c r="C42" s="1255"/>
      <c r="D42" s="4715"/>
      <c r="E42" s="4716"/>
      <c r="F42" s="4716"/>
      <c r="G42" s="4716"/>
      <c r="H42" s="4716"/>
      <c r="I42" s="4716"/>
      <c r="J42" s="4716"/>
      <c r="K42" s="4716"/>
      <c r="L42" s="4716"/>
      <c r="M42" s="4716"/>
      <c r="N42" s="4716"/>
      <c r="O42" s="4716"/>
      <c r="P42" s="4716"/>
      <c r="Q42" s="4716"/>
      <c r="R42" s="4716"/>
      <c r="S42" s="4716"/>
      <c r="T42" s="4716"/>
      <c r="U42" s="4716"/>
      <c r="V42" s="4716"/>
      <c r="W42" s="4716"/>
      <c r="X42" s="4716"/>
      <c r="Y42" s="4717"/>
    </row>
  </sheetData>
  <mergeCells count="8">
    <mergeCell ref="D41:Y41"/>
    <mergeCell ref="D42:Y42"/>
    <mergeCell ref="D2:Y2"/>
    <mergeCell ref="D3:Y3"/>
    <mergeCell ref="D4:Y4"/>
    <mergeCell ref="D5:Y5"/>
    <mergeCell ref="D39:Y39"/>
    <mergeCell ref="D40:Y40"/>
  </mergeCells>
  <pageMargins left="0.74803149606299202" right="0.74803149606299202" top="0.98425196850393704" bottom="0.98425196850393704" header="0.511811023622047" footer="0.511811023622047"/>
  <pageSetup paperSize="9" scale="6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2:Z40"/>
  <sheetViews>
    <sheetView showGridLines="0" view="pageBreakPreview" zoomScaleNormal="100" zoomScaleSheetLayoutView="100" workbookViewId="0">
      <selection activeCell="Z17" sqref="Z17"/>
    </sheetView>
  </sheetViews>
  <sheetFormatPr defaultColWidth="9.1796875" defaultRowHeight="14.5" x14ac:dyDescent="0.3"/>
  <cols>
    <col min="1" max="1" width="3.7265625" style="2070" customWidth="1"/>
    <col min="2" max="2" width="14.453125" style="2284" customWidth="1"/>
    <col min="3" max="3" width="3.7265625" style="2284" customWidth="1"/>
    <col min="4" max="5" width="8.453125" style="1764" customWidth="1"/>
    <col min="6" max="11" width="8.1796875" style="1764" customWidth="1"/>
    <col min="12" max="13" width="9.1796875" style="1764"/>
    <col min="14" max="14" width="6.26953125" style="1764" customWidth="1"/>
    <col min="15" max="15" width="6.36328125" style="1764" customWidth="1"/>
    <col min="16" max="16" width="6.81640625" style="1764" customWidth="1"/>
    <col min="17" max="17" width="6.08984375" style="1764" customWidth="1"/>
    <col min="18" max="18" width="6.26953125" style="1764" customWidth="1"/>
    <col min="19" max="19" width="8" style="1764" customWidth="1"/>
    <col min="20" max="20" width="7.26953125" style="1764" customWidth="1"/>
    <col min="21" max="21" width="7.1796875" style="1764" customWidth="1"/>
    <col min="22" max="22" width="6.90625" style="1764" customWidth="1"/>
    <col min="23" max="23" width="7.453125" style="1764" customWidth="1"/>
    <col min="24" max="24" width="6.36328125" style="1764" customWidth="1"/>
    <col min="25" max="25" width="7.1796875" style="1764" customWidth="1"/>
    <col min="26" max="258" width="9.1796875" style="1764"/>
    <col min="259" max="259" width="3.7265625" style="1764" customWidth="1"/>
    <col min="260" max="260" width="14.453125" style="1764" customWidth="1"/>
    <col min="261" max="261" width="3.7265625" style="1764" customWidth="1"/>
    <col min="262" max="263" width="8.453125" style="1764" customWidth="1"/>
    <col min="264" max="269" width="8.1796875" style="1764" customWidth="1"/>
    <col min="270" max="514" width="9.1796875" style="1764"/>
    <col min="515" max="515" width="3.7265625" style="1764" customWidth="1"/>
    <col min="516" max="516" width="14.453125" style="1764" customWidth="1"/>
    <col min="517" max="517" width="3.7265625" style="1764" customWidth="1"/>
    <col min="518" max="519" width="8.453125" style="1764" customWidth="1"/>
    <col min="520" max="525" width="8.1796875" style="1764" customWidth="1"/>
    <col min="526" max="770" width="9.1796875" style="1764"/>
    <col min="771" max="771" width="3.7265625" style="1764" customWidth="1"/>
    <col min="772" max="772" width="14.453125" style="1764" customWidth="1"/>
    <col min="773" max="773" width="3.7265625" style="1764" customWidth="1"/>
    <col min="774" max="775" width="8.453125" style="1764" customWidth="1"/>
    <col min="776" max="781" width="8.1796875" style="1764" customWidth="1"/>
    <col min="782" max="1026" width="9.1796875" style="1764"/>
    <col min="1027" max="1027" width="3.7265625" style="1764" customWidth="1"/>
    <col min="1028" max="1028" width="14.453125" style="1764" customWidth="1"/>
    <col min="1029" max="1029" width="3.7265625" style="1764" customWidth="1"/>
    <col min="1030" max="1031" width="8.453125" style="1764" customWidth="1"/>
    <col min="1032" max="1037" width="8.1796875" style="1764" customWidth="1"/>
    <col min="1038" max="1282" width="9.1796875" style="1764"/>
    <col min="1283" max="1283" width="3.7265625" style="1764" customWidth="1"/>
    <col min="1284" max="1284" width="14.453125" style="1764" customWidth="1"/>
    <col min="1285" max="1285" width="3.7265625" style="1764" customWidth="1"/>
    <col min="1286" max="1287" width="8.453125" style="1764" customWidth="1"/>
    <col min="1288" max="1293" width="8.1796875" style="1764" customWidth="1"/>
    <col min="1294" max="1538" width="9.1796875" style="1764"/>
    <col min="1539" max="1539" width="3.7265625" style="1764" customWidth="1"/>
    <col min="1540" max="1540" width="14.453125" style="1764" customWidth="1"/>
    <col min="1541" max="1541" width="3.7265625" style="1764" customWidth="1"/>
    <col min="1542" max="1543" width="8.453125" style="1764" customWidth="1"/>
    <col min="1544" max="1549" width="8.1796875" style="1764" customWidth="1"/>
    <col min="1550" max="1794" width="9.1796875" style="1764"/>
    <col min="1795" max="1795" width="3.7265625" style="1764" customWidth="1"/>
    <col min="1796" max="1796" width="14.453125" style="1764" customWidth="1"/>
    <col min="1797" max="1797" width="3.7265625" style="1764" customWidth="1"/>
    <col min="1798" max="1799" width="8.453125" style="1764" customWidth="1"/>
    <col min="1800" max="1805" width="8.1796875" style="1764" customWidth="1"/>
    <col min="1806" max="2050" width="9.1796875" style="1764"/>
    <col min="2051" max="2051" width="3.7265625" style="1764" customWidth="1"/>
    <col min="2052" max="2052" width="14.453125" style="1764" customWidth="1"/>
    <col min="2053" max="2053" width="3.7265625" style="1764" customWidth="1"/>
    <col min="2054" max="2055" width="8.453125" style="1764" customWidth="1"/>
    <col min="2056" max="2061" width="8.1796875" style="1764" customWidth="1"/>
    <col min="2062" max="2306" width="9.1796875" style="1764"/>
    <col min="2307" max="2307" width="3.7265625" style="1764" customWidth="1"/>
    <col min="2308" max="2308" width="14.453125" style="1764" customWidth="1"/>
    <col min="2309" max="2309" width="3.7265625" style="1764" customWidth="1"/>
    <col min="2310" max="2311" width="8.453125" style="1764" customWidth="1"/>
    <col min="2312" max="2317" width="8.1796875" style="1764" customWidth="1"/>
    <col min="2318" max="2562" width="9.1796875" style="1764"/>
    <col min="2563" max="2563" width="3.7265625" style="1764" customWidth="1"/>
    <col min="2564" max="2564" width="14.453125" style="1764" customWidth="1"/>
    <col min="2565" max="2565" width="3.7265625" style="1764" customWidth="1"/>
    <col min="2566" max="2567" width="8.453125" style="1764" customWidth="1"/>
    <col min="2568" max="2573" width="8.1796875" style="1764" customWidth="1"/>
    <col min="2574" max="2818" width="9.1796875" style="1764"/>
    <col min="2819" max="2819" width="3.7265625" style="1764" customWidth="1"/>
    <col min="2820" max="2820" width="14.453125" style="1764" customWidth="1"/>
    <col min="2821" max="2821" width="3.7265625" style="1764" customWidth="1"/>
    <col min="2822" max="2823" width="8.453125" style="1764" customWidth="1"/>
    <col min="2824" max="2829" width="8.1796875" style="1764" customWidth="1"/>
    <col min="2830" max="3074" width="9.1796875" style="1764"/>
    <col min="3075" max="3075" width="3.7265625" style="1764" customWidth="1"/>
    <col min="3076" max="3076" width="14.453125" style="1764" customWidth="1"/>
    <col min="3077" max="3077" width="3.7265625" style="1764" customWidth="1"/>
    <col min="3078" max="3079" width="8.453125" style="1764" customWidth="1"/>
    <col min="3080" max="3085" width="8.1796875" style="1764" customWidth="1"/>
    <col min="3086" max="3330" width="9.1796875" style="1764"/>
    <col min="3331" max="3331" width="3.7265625" style="1764" customWidth="1"/>
    <col min="3332" max="3332" width="14.453125" style="1764" customWidth="1"/>
    <col min="3333" max="3333" width="3.7265625" style="1764" customWidth="1"/>
    <col min="3334" max="3335" width="8.453125" style="1764" customWidth="1"/>
    <col min="3336" max="3341" width="8.1796875" style="1764" customWidth="1"/>
    <col min="3342" max="3586" width="9.1796875" style="1764"/>
    <col min="3587" max="3587" width="3.7265625" style="1764" customWidth="1"/>
    <col min="3588" max="3588" width="14.453125" style="1764" customWidth="1"/>
    <col min="3589" max="3589" width="3.7265625" style="1764" customWidth="1"/>
    <col min="3590" max="3591" width="8.453125" style="1764" customWidth="1"/>
    <col min="3592" max="3597" width="8.1796875" style="1764" customWidth="1"/>
    <col min="3598" max="3842" width="9.1796875" style="1764"/>
    <col min="3843" max="3843" width="3.7265625" style="1764" customWidth="1"/>
    <col min="3844" max="3844" width="14.453125" style="1764" customWidth="1"/>
    <col min="3845" max="3845" width="3.7265625" style="1764" customWidth="1"/>
    <col min="3846" max="3847" width="8.453125" style="1764" customWidth="1"/>
    <col min="3848" max="3853" width="8.1796875" style="1764" customWidth="1"/>
    <col min="3854" max="4098" width="9.1796875" style="1764"/>
    <col min="4099" max="4099" width="3.7265625" style="1764" customWidth="1"/>
    <col min="4100" max="4100" width="14.453125" style="1764" customWidth="1"/>
    <col min="4101" max="4101" width="3.7265625" style="1764" customWidth="1"/>
    <col min="4102" max="4103" width="8.453125" style="1764" customWidth="1"/>
    <col min="4104" max="4109" width="8.1796875" style="1764" customWidth="1"/>
    <col min="4110" max="4354" width="9.1796875" style="1764"/>
    <col min="4355" max="4355" width="3.7265625" style="1764" customWidth="1"/>
    <col min="4356" max="4356" width="14.453125" style="1764" customWidth="1"/>
    <col min="4357" max="4357" width="3.7265625" style="1764" customWidth="1"/>
    <col min="4358" max="4359" width="8.453125" style="1764" customWidth="1"/>
    <col min="4360" max="4365" width="8.1796875" style="1764" customWidth="1"/>
    <col min="4366" max="4610" width="9.1796875" style="1764"/>
    <col min="4611" max="4611" width="3.7265625" style="1764" customWidth="1"/>
    <col min="4612" max="4612" width="14.453125" style="1764" customWidth="1"/>
    <col min="4613" max="4613" width="3.7265625" style="1764" customWidth="1"/>
    <col min="4614" max="4615" width="8.453125" style="1764" customWidth="1"/>
    <col min="4616" max="4621" width="8.1796875" style="1764" customWidth="1"/>
    <col min="4622" max="4866" width="9.1796875" style="1764"/>
    <col min="4867" max="4867" width="3.7265625" style="1764" customWidth="1"/>
    <col min="4868" max="4868" width="14.453125" style="1764" customWidth="1"/>
    <col min="4869" max="4869" width="3.7265625" style="1764" customWidth="1"/>
    <col min="4870" max="4871" width="8.453125" style="1764" customWidth="1"/>
    <col min="4872" max="4877" width="8.1796875" style="1764" customWidth="1"/>
    <col min="4878" max="5122" width="9.1796875" style="1764"/>
    <col min="5123" max="5123" width="3.7265625" style="1764" customWidth="1"/>
    <col min="5124" max="5124" width="14.453125" style="1764" customWidth="1"/>
    <col min="5125" max="5125" width="3.7265625" style="1764" customWidth="1"/>
    <col min="5126" max="5127" width="8.453125" style="1764" customWidth="1"/>
    <col min="5128" max="5133" width="8.1796875" style="1764" customWidth="1"/>
    <col min="5134" max="5378" width="9.1796875" style="1764"/>
    <col min="5379" max="5379" width="3.7265625" style="1764" customWidth="1"/>
    <col min="5380" max="5380" width="14.453125" style="1764" customWidth="1"/>
    <col min="5381" max="5381" width="3.7265625" style="1764" customWidth="1"/>
    <col min="5382" max="5383" width="8.453125" style="1764" customWidth="1"/>
    <col min="5384" max="5389" width="8.1796875" style="1764" customWidth="1"/>
    <col min="5390" max="5634" width="9.1796875" style="1764"/>
    <col min="5635" max="5635" width="3.7265625" style="1764" customWidth="1"/>
    <col min="5636" max="5636" width="14.453125" style="1764" customWidth="1"/>
    <col min="5637" max="5637" width="3.7265625" style="1764" customWidth="1"/>
    <col min="5638" max="5639" width="8.453125" style="1764" customWidth="1"/>
    <col min="5640" max="5645" width="8.1796875" style="1764" customWidth="1"/>
    <col min="5646" max="5890" width="9.1796875" style="1764"/>
    <col min="5891" max="5891" width="3.7265625" style="1764" customWidth="1"/>
    <col min="5892" max="5892" width="14.453125" style="1764" customWidth="1"/>
    <col min="5893" max="5893" width="3.7265625" style="1764" customWidth="1"/>
    <col min="5894" max="5895" width="8.453125" style="1764" customWidth="1"/>
    <col min="5896" max="5901" width="8.1796875" style="1764" customWidth="1"/>
    <col min="5902" max="6146" width="9.1796875" style="1764"/>
    <col min="6147" max="6147" width="3.7265625" style="1764" customWidth="1"/>
    <col min="6148" max="6148" width="14.453125" style="1764" customWidth="1"/>
    <col min="6149" max="6149" width="3.7265625" style="1764" customWidth="1"/>
    <col min="6150" max="6151" width="8.453125" style="1764" customWidth="1"/>
    <col min="6152" max="6157" width="8.1796875" style="1764" customWidth="1"/>
    <col min="6158" max="6402" width="9.1796875" style="1764"/>
    <col min="6403" max="6403" width="3.7265625" style="1764" customWidth="1"/>
    <col min="6404" max="6404" width="14.453125" style="1764" customWidth="1"/>
    <col min="6405" max="6405" width="3.7265625" style="1764" customWidth="1"/>
    <col min="6406" max="6407" width="8.453125" style="1764" customWidth="1"/>
    <col min="6408" max="6413" width="8.1796875" style="1764" customWidth="1"/>
    <col min="6414" max="6658" width="9.1796875" style="1764"/>
    <col min="6659" max="6659" width="3.7265625" style="1764" customWidth="1"/>
    <col min="6660" max="6660" width="14.453125" style="1764" customWidth="1"/>
    <col min="6661" max="6661" width="3.7265625" style="1764" customWidth="1"/>
    <col min="6662" max="6663" width="8.453125" style="1764" customWidth="1"/>
    <col min="6664" max="6669" width="8.1796875" style="1764" customWidth="1"/>
    <col min="6670" max="6914" width="9.1796875" style="1764"/>
    <col min="6915" max="6915" width="3.7265625" style="1764" customWidth="1"/>
    <col min="6916" max="6916" width="14.453125" style="1764" customWidth="1"/>
    <col min="6917" max="6917" width="3.7265625" style="1764" customWidth="1"/>
    <col min="6918" max="6919" width="8.453125" style="1764" customWidth="1"/>
    <col min="6920" max="6925" width="8.1796875" style="1764" customWidth="1"/>
    <col min="6926" max="7170" width="9.1796875" style="1764"/>
    <col min="7171" max="7171" width="3.7265625" style="1764" customWidth="1"/>
    <col min="7172" max="7172" width="14.453125" style="1764" customWidth="1"/>
    <col min="7173" max="7173" width="3.7265625" style="1764" customWidth="1"/>
    <col min="7174" max="7175" width="8.453125" style="1764" customWidth="1"/>
    <col min="7176" max="7181" width="8.1796875" style="1764" customWidth="1"/>
    <col min="7182" max="7426" width="9.1796875" style="1764"/>
    <col min="7427" max="7427" width="3.7265625" style="1764" customWidth="1"/>
    <col min="7428" max="7428" width="14.453125" style="1764" customWidth="1"/>
    <col min="7429" max="7429" width="3.7265625" style="1764" customWidth="1"/>
    <col min="7430" max="7431" width="8.453125" style="1764" customWidth="1"/>
    <col min="7432" max="7437" width="8.1796875" style="1764" customWidth="1"/>
    <col min="7438" max="7682" width="9.1796875" style="1764"/>
    <col min="7683" max="7683" width="3.7265625" style="1764" customWidth="1"/>
    <col min="7684" max="7684" width="14.453125" style="1764" customWidth="1"/>
    <col min="7685" max="7685" width="3.7265625" style="1764" customWidth="1"/>
    <col min="7686" max="7687" width="8.453125" style="1764" customWidth="1"/>
    <col min="7688" max="7693" width="8.1796875" style="1764" customWidth="1"/>
    <col min="7694" max="7938" width="9.1796875" style="1764"/>
    <col min="7939" max="7939" width="3.7265625" style="1764" customWidth="1"/>
    <col min="7940" max="7940" width="14.453125" style="1764" customWidth="1"/>
    <col min="7941" max="7941" width="3.7265625" style="1764" customWidth="1"/>
    <col min="7942" max="7943" width="8.453125" style="1764" customWidth="1"/>
    <col min="7944" max="7949" width="8.1796875" style="1764" customWidth="1"/>
    <col min="7950" max="8194" width="9.1796875" style="1764"/>
    <col min="8195" max="8195" width="3.7265625" style="1764" customWidth="1"/>
    <col min="8196" max="8196" width="14.453125" style="1764" customWidth="1"/>
    <col min="8197" max="8197" width="3.7265625" style="1764" customWidth="1"/>
    <col min="8198" max="8199" width="8.453125" style="1764" customWidth="1"/>
    <col min="8200" max="8205" width="8.1796875" style="1764" customWidth="1"/>
    <col min="8206" max="8450" width="9.1796875" style="1764"/>
    <col min="8451" max="8451" width="3.7265625" style="1764" customWidth="1"/>
    <col min="8452" max="8452" width="14.453125" style="1764" customWidth="1"/>
    <col min="8453" max="8453" width="3.7265625" style="1764" customWidth="1"/>
    <col min="8454" max="8455" width="8.453125" style="1764" customWidth="1"/>
    <col min="8456" max="8461" width="8.1796875" style="1764" customWidth="1"/>
    <col min="8462" max="8706" width="9.1796875" style="1764"/>
    <col min="8707" max="8707" width="3.7265625" style="1764" customWidth="1"/>
    <col min="8708" max="8708" width="14.453125" style="1764" customWidth="1"/>
    <col min="8709" max="8709" width="3.7265625" style="1764" customWidth="1"/>
    <col min="8710" max="8711" width="8.453125" style="1764" customWidth="1"/>
    <col min="8712" max="8717" width="8.1796875" style="1764" customWidth="1"/>
    <col min="8718" max="8962" width="9.1796875" style="1764"/>
    <col min="8963" max="8963" width="3.7265625" style="1764" customWidth="1"/>
    <col min="8964" max="8964" width="14.453125" style="1764" customWidth="1"/>
    <col min="8965" max="8965" width="3.7265625" style="1764" customWidth="1"/>
    <col min="8966" max="8967" width="8.453125" style="1764" customWidth="1"/>
    <col min="8968" max="8973" width="8.1796875" style="1764" customWidth="1"/>
    <col min="8974" max="9218" width="9.1796875" style="1764"/>
    <col min="9219" max="9219" width="3.7265625" style="1764" customWidth="1"/>
    <col min="9220" max="9220" width="14.453125" style="1764" customWidth="1"/>
    <col min="9221" max="9221" width="3.7265625" style="1764" customWidth="1"/>
    <col min="9222" max="9223" width="8.453125" style="1764" customWidth="1"/>
    <col min="9224" max="9229" width="8.1796875" style="1764" customWidth="1"/>
    <col min="9230" max="9474" width="9.1796875" style="1764"/>
    <col min="9475" max="9475" width="3.7265625" style="1764" customWidth="1"/>
    <col min="9476" max="9476" width="14.453125" style="1764" customWidth="1"/>
    <col min="9477" max="9477" width="3.7265625" style="1764" customWidth="1"/>
    <col min="9478" max="9479" width="8.453125" style="1764" customWidth="1"/>
    <col min="9480" max="9485" width="8.1796875" style="1764" customWidth="1"/>
    <col min="9486" max="9730" width="9.1796875" style="1764"/>
    <col min="9731" max="9731" width="3.7265625" style="1764" customWidth="1"/>
    <col min="9732" max="9732" width="14.453125" style="1764" customWidth="1"/>
    <col min="9733" max="9733" width="3.7265625" style="1764" customWidth="1"/>
    <col min="9734" max="9735" width="8.453125" style="1764" customWidth="1"/>
    <col min="9736" max="9741" width="8.1796875" style="1764" customWidth="1"/>
    <col min="9742" max="9986" width="9.1796875" style="1764"/>
    <col min="9987" max="9987" width="3.7265625" style="1764" customWidth="1"/>
    <col min="9988" max="9988" width="14.453125" style="1764" customWidth="1"/>
    <col min="9989" max="9989" width="3.7265625" style="1764" customWidth="1"/>
    <col min="9990" max="9991" width="8.453125" style="1764" customWidth="1"/>
    <col min="9992" max="9997" width="8.1796875" style="1764" customWidth="1"/>
    <col min="9998" max="10242" width="9.1796875" style="1764"/>
    <col min="10243" max="10243" width="3.7265625" style="1764" customWidth="1"/>
    <col min="10244" max="10244" width="14.453125" style="1764" customWidth="1"/>
    <col min="10245" max="10245" width="3.7265625" style="1764" customWidth="1"/>
    <col min="10246" max="10247" width="8.453125" style="1764" customWidth="1"/>
    <col min="10248" max="10253" width="8.1796875" style="1764" customWidth="1"/>
    <col min="10254" max="10498" width="9.1796875" style="1764"/>
    <col min="10499" max="10499" width="3.7265625" style="1764" customWidth="1"/>
    <col min="10500" max="10500" width="14.453125" style="1764" customWidth="1"/>
    <col min="10501" max="10501" width="3.7265625" style="1764" customWidth="1"/>
    <col min="10502" max="10503" width="8.453125" style="1764" customWidth="1"/>
    <col min="10504" max="10509" width="8.1796875" style="1764" customWidth="1"/>
    <col min="10510" max="10754" width="9.1796875" style="1764"/>
    <col min="10755" max="10755" width="3.7265625" style="1764" customWidth="1"/>
    <col min="10756" max="10756" width="14.453125" style="1764" customWidth="1"/>
    <col min="10757" max="10757" width="3.7265625" style="1764" customWidth="1"/>
    <col min="10758" max="10759" width="8.453125" style="1764" customWidth="1"/>
    <col min="10760" max="10765" width="8.1796875" style="1764" customWidth="1"/>
    <col min="10766" max="11010" width="9.1796875" style="1764"/>
    <col min="11011" max="11011" width="3.7265625" style="1764" customWidth="1"/>
    <col min="11012" max="11012" width="14.453125" style="1764" customWidth="1"/>
    <col min="11013" max="11013" width="3.7265625" style="1764" customWidth="1"/>
    <col min="11014" max="11015" width="8.453125" style="1764" customWidth="1"/>
    <col min="11016" max="11021" width="8.1796875" style="1764" customWidth="1"/>
    <col min="11022" max="11266" width="9.1796875" style="1764"/>
    <col min="11267" max="11267" width="3.7265625" style="1764" customWidth="1"/>
    <col min="11268" max="11268" width="14.453125" style="1764" customWidth="1"/>
    <col min="11269" max="11269" width="3.7265625" style="1764" customWidth="1"/>
    <col min="11270" max="11271" width="8.453125" style="1764" customWidth="1"/>
    <col min="11272" max="11277" width="8.1796875" style="1764" customWidth="1"/>
    <col min="11278" max="11522" width="9.1796875" style="1764"/>
    <col min="11523" max="11523" width="3.7265625" style="1764" customWidth="1"/>
    <col min="11524" max="11524" width="14.453125" style="1764" customWidth="1"/>
    <col min="11525" max="11525" width="3.7265625" style="1764" customWidth="1"/>
    <col min="11526" max="11527" width="8.453125" style="1764" customWidth="1"/>
    <col min="11528" max="11533" width="8.1796875" style="1764" customWidth="1"/>
    <col min="11534" max="11778" width="9.1796875" style="1764"/>
    <col min="11779" max="11779" width="3.7265625" style="1764" customWidth="1"/>
    <col min="11780" max="11780" width="14.453125" style="1764" customWidth="1"/>
    <col min="11781" max="11781" width="3.7265625" style="1764" customWidth="1"/>
    <col min="11782" max="11783" width="8.453125" style="1764" customWidth="1"/>
    <col min="11784" max="11789" width="8.1796875" style="1764" customWidth="1"/>
    <col min="11790" max="12034" width="9.1796875" style="1764"/>
    <col min="12035" max="12035" width="3.7265625" style="1764" customWidth="1"/>
    <col min="12036" max="12036" width="14.453125" style="1764" customWidth="1"/>
    <col min="12037" max="12037" width="3.7265625" style="1764" customWidth="1"/>
    <col min="12038" max="12039" width="8.453125" style="1764" customWidth="1"/>
    <col min="12040" max="12045" width="8.1796875" style="1764" customWidth="1"/>
    <col min="12046" max="12290" width="9.1796875" style="1764"/>
    <col min="12291" max="12291" width="3.7265625" style="1764" customWidth="1"/>
    <col min="12292" max="12292" width="14.453125" style="1764" customWidth="1"/>
    <col min="12293" max="12293" width="3.7265625" style="1764" customWidth="1"/>
    <col min="12294" max="12295" width="8.453125" style="1764" customWidth="1"/>
    <col min="12296" max="12301" width="8.1796875" style="1764" customWidth="1"/>
    <col min="12302" max="12546" width="9.1796875" style="1764"/>
    <col min="12547" max="12547" width="3.7265625" style="1764" customWidth="1"/>
    <col min="12548" max="12548" width="14.453125" style="1764" customWidth="1"/>
    <col min="12549" max="12549" width="3.7265625" style="1764" customWidth="1"/>
    <col min="12550" max="12551" width="8.453125" style="1764" customWidth="1"/>
    <col min="12552" max="12557" width="8.1796875" style="1764" customWidth="1"/>
    <col min="12558" max="12802" width="9.1796875" style="1764"/>
    <col min="12803" max="12803" width="3.7265625" style="1764" customWidth="1"/>
    <col min="12804" max="12804" width="14.453125" style="1764" customWidth="1"/>
    <col min="12805" max="12805" width="3.7265625" style="1764" customWidth="1"/>
    <col min="12806" max="12807" width="8.453125" style="1764" customWidth="1"/>
    <col min="12808" max="12813" width="8.1796875" style="1764" customWidth="1"/>
    <col min="12814" max="13058" width="9.1796875" style="1764"/>
    <col min="13059" max="13059" width="3.7265625" style="1764" customWidth="1"/>
    <col min="13060" max="13060" width="14.453125" style="1764" customWidth="1"/>
    <col min="13061" max="13061" width="3.7265625" style="1764" customWidth="1"/>
    <col min="13062" max="13063" width="8.453125" style="1764" customWidth="1"/>
    <col min="13064" max="13069" width="8.1796875" style="1764" customWidth="1"/>
    <col min="13070" max="13314" width="9.1796875" style="1764"/>
    <col min="13315" max="13315" width="3.7265625" style="1764" customWidth="1"/>
    <col min="13316" max="13316" width="14.453125" style="1764" customWidth="1"/>
    <col min="13317" max="13317" width="3.7265625" style="1764" customWidth="1"/>
    <col min="13318" max="13319" width="8.453125" style="1764" customWidth="1"/>
    <col min="13320" max="13325" width="8.1796875" style="1764" customWidth="1"/>
    <col min="13326" max="13570" width="9.1796875" style="1764"/>
    <col min="13571" max="13571" width="3.7265625" style="1764" customWidth="1"/>
    <col min="13572" max="13572" width="14.453125" style="1764" customWidth="1"/>
    <col min="13573" max="13573" width="3.7265625" style="1764" customWidth="1"/>
    <col min="13574" max="13575" width="8.453125" style="1764" customWidth="1"/>
    <col min="13576" max="13581" width="8.1796875" style="1764" customWidth="1"/>
    <col min="13582" max="13826" width="9.1796875" style="1764"/>
    <col min="13827" max="13827" width="3.7265625" style="1764" customWidth="1"/>
    <col min="13828" max="13828" width="14.453125" style="1764" customWidth="1"/>
    <col min="13829" max="13829" width="3.7265625" style="1764" customWidth="1"/>
    <col min="13830" max="13831" width="8.453125" style="1764" customWidth="1"/>
    <col min="13832" max="13837" width="8.1796875" style="1764" customWidth="1"/>
    <col min="13838" max="14082" width="9.1796875" style="1764"/>
    <col min="14083" max="14083" width="3.7265625" style="1764" customWidth="1"/>
    <col min="14084" max="14084" width="14.453125" style="1764" customWidth="1"/>
    <col min="14085" max="14085" width="3.7265625" style="1764" customWidth="1"/>
    <col min="14086" max="14087" width="8.453125" style="1764" customWidth="1"/>
    <col min="14088" max="14093" width="8.1796875" style="1764" customWidth="1"/>
    <col min="14094" max="14338" width="9.1796875" style="1764"/>
    <col min="14339" max="14339" width="3.7265625" style="1764" customWidth="1"/>
    <col min="14340" max="14340" width="14.453125" style="1764" customWidth="1"/>
    <col min="14341" max="14341" width="3.7265625" style="1764" customWidth="1"/>
    <col min="14342" max="14343" width="8.453125" style="1764" customWidth="1"/>
    <col min="14344" max="14349" width="8.1796875" style="1764" customWidth="1"/>
    <col min="14350" max="14594" width="9.1796875" style="1764"/>
    <col min="14595" max="14595" width="3.7265625" style="1764" customWidth="1"/>
    <col min="14596" max="14596" width="14.453125" style="1764" customWidth="1"/>
    <col min="14597" max="14597" width="3.7265625" style="1764" customWidth="1"/>
    <col min="14598" max="14599" width="8.453125" style="1764" customWidth="1"/>
    <col min="14600" max="14605" width="8.1796875" style="1764" customWidth="1"/>
    <col min="14606" max="14850" width="9.1796875" style="1764"/>
    <col min="14851" max="14851" width="3.7265625" style="1764" customWidth="1"/>
    <col min="14852" max="14852" width="14.453125" style="1764" customWidth="1"/>
    <col min="14853" max="14853" width="3.7265625" style="1764" customWidth="1"/>
    <col min="14854" max="14855" width="8.453125" style="1764" customWidth="1"/>
    <col min="14856" max="14861" width="8.1796875" style="1764" customWidth="1"/>
    <col min="14862" max="15106" width="9.1796875" style="1764"/>
    <col min="15107" max="15107" width="3.7265625" style="1764" customWidth="1"/>
    <col min="15108" max="15108" width="14.453125" style="1764" customWidth="1"/>
    <col min="15109" max="15109" width="3.7265625" style="1764" customWidth="1"/>
    <col min="15110" max="15111" width="8.453125" style="1764" customWidth="1"/>
    <col min="15112" max="15117" width="8.1796875" style="1764" customWidth="1"/>
    <col min="15118" max="15362" width="9.1796875" style="1764"/>
    <col min="15363" max="15363" width="3.7265625" style="1764" customWidth="1"/>
    <col min="15364" max="15364" width="14.453125" style="1764" customWidth="1"/>
    <col min="15365" max="15365" width="3.7265625" style="1764" customWidth="1"/>
    <col min="15366" max="15367" width="8.453125" style="1764" customWidth="1"/>
    <col min="15368" max="15373" width="8.1796875" style="1764" customWidth="1"/>
    <col min="15374" max="15618" width="9.1796875" style="1764"/>
    <col min="15619" max="15619" width="3.7265625" style="1764" customWidth="1"/>
    <col min="15620" max="15620" width="14.453125" style="1764" customWidth="1"/>
    <col min="15621" max="15621" width="3.7265625" style="1764" customWidth="1"/>
    <col min="15622" max="15623" width="8.453125" style="1764" customWidth="1"/>
    <col min="15624" max="15629" width="8.1796875" style="1764" customWidth="1"/>
    <col min="15630" max="15874" width="9.1796875" style="1764"/>
    <col min="15875" max="15875" width="3.7265625" style="1764" customWidth="1"/>
    <col min="15876" max="15876" width="14.453125" style="1764" customWidth="1"/>
    <col min="15877" max="15877" width="3.7265625" style="1764" customWidth="1"/>
    <col min="15878" max="15879" width="8.453125" style="1764" customWidth="1"/>
    <col min="15880" max="15885" width="8.1796875" style="1764" customWidth="1"/>
    <col min="15886" max="16130" width="9.1796875" style="1764"/>
    <col min="16131" max="16131" width="3.7265625" style="1764" customWidth="1"/>
    <col min="16132" max="16132" width="14.453125" style="1764" customWidth="1"/>
    <col min="16133" max="16133" width="3.7265625" style="1764" customWidth="1"/>
    <col min="16134" max="16135" width="8.453125" style="1764" customWidth="1"/>
    <col min="16136" max="16141" width="8.1796875" style="1764" customWidth="1"/>
    <col min="16142" max="16384" width="9.1796875" style="1764"/>
  </cols>
  <sheetData>
    <row r="2" spans="1:26" ht="14.15" customHeight="1" x14ac:dyDescent="0.3">
      <c r="A2" s="1255">
        <v>1</v>
      </c>
      <c r="B2" s="1255" t="s">
        <v>0</v>
      </c>
      <c r="C2" s="1255">
        <v>36</v>
      </c>
      <c r="D2" s="4715" t="s">
        <v>851</v>
      </c>
      <c r="E2" s="4716"/>
      <c r="F2" s="4716"/>
      <c r="G2" s="4716"/>
      <c r="H2" s="4716"/>
      <c r="I2" s="4716"/>
      <c r="J2" s="4716"/>
      <c r="K2" s="4716"/>
      <c r="L2" s="4716"/>
      <c r="M2" s="4716"/>
      <c r="N2" s="4716"/>
      <c r="O2" s="4716"/>
      <c r="P2" s="4716"/>
      <c r="Q2" s="4716"/>
      <c r="R2" s="4716"/>
      <c r="S2" s="4716"/>
      <c r="T2" s="4716"/>
      <c r="U2" s="4716"/>
      <c r="V2" s="4716"/>
      <c r="W2" s="4716"/>
      <c r="X2" s="4717"/>
    </row>
    <row r="3" spans="1:26" ht="14.15" customHeight="1" x14ac:dyDescent="0.3">
      <c r="A3" s="1255">
        <v>2</v>
      </c>
      <c r="B3" s="1255" t="s">
        <v>2</v>
      </c>
      <c r="C3" s="1255"/>
      <c r="D3" s="4715" t="s">
        <v>761</v>
      </c>
      <c r="E3" s="4716"/>
      <c r="F3" s="4716"/>
      <c r="G3" s="4716"/>
      <c r="H3" s="4716"/>
      <c r="I3" s="4716"/>
      <c r="J3" s="4716"/>
      <c r="K3" s="4716"/>
      <c r="L3" s="4716"/>
      <c r="M3" s="4716"/>
      <c r="N3" s="4716"/>
      <c r="O3" s="4716"/>
      <c r="P3" s="4716"/>
      <c r="Q3" s="4716"/>
      <c r="R3" s="4716"/>
      <c r="S3" s="4716"/>
      <c r="T3" s="4716"/>
      <c r="U3" s="4716"/>
      <c r="V3" s="4716"/>
      <c r="W3" s="4716"/>
      <c r="X3" s="4717"/>
    </row>
    <row r="4" spans="1:26" ht="14.15" customHeight="1" x14ac:dyDescent="0.3">
      <c r="A4" s="1255">
        <v>3</v>
      </c>
      <c r="B4" s="1255" t="s">
        <v>4</v>
      </c>
      <c r="C4" s="1255"/>
      <c r="D4" s="4715" t="s">
        <v>762</v>
      </c>
      <c r="E4" s="4716"/>
      <c r="F4" s="4716"/>
      <c r="G4" s="4716"/>
      <c r="H4" s="4716"/>
      <c r="I4" s="4716"/>
      <c r="J4" s="4716"/>
      <c r="K4" s="4716"/>
      <c r="L4" s="4716"/>
      <c r="M4" s="4716"/>
      <c r="N4" s="4716"/>
      <c r="O4" s="4716"/>
      <c r="P4" s="4716"/>
      <c r="Q4" s="4716"/>
      <c r="R4" s="4716"/>
      <c r="S4" s="4716"/>
      <c r="T4" s="4716"/>
      <c r="U4" s="4716"/>
      <c r="V4" s="4716"/>
      <c r="W4" s="4716"/>
      <c r="X4" s="4717"/>
    </row>
    <row r="5" spans="1:26" ht="14.15" customHeight="1" x14ac:dyDescent="0.3">
      <c r="A5" s="1255">
        <v>4</v>
      </c>
      <c r="B5" s="1255" t="s">
        <v>763</v>
      </c>
      <c r="C5" s="1255"/>
      <c r="D5" s="4715" t="s">
        <v>852</v>
      </c>
      <c r="E5" s="4716"/>
      <c r="F5" s="4716"/>
      <c r="G5" s="4716"/>
      <c r="H5" s="4716"/>
      <c r="I5" s="4716"/>
      <c r="J5" s="4716"/>
      <c r="K5" s="4716"/>
      <c r="L5" s="4716"/>
      <c r="M5" s="4716"/>
      <c r="N5" s="4716"/>
      <c r="O5" s="4716"/>
      <c r="P5" s="4716"/>
      <c r="Q5" s="4716"/>
      <c r="R5" s="4716"/>
      <c r="S5" s="4716"/>
      <c r="T5" s="4716"/>
      <c r="U5" s="4716"/>
      <c r="V5" s="4716"/>
      <c r="W5" s="4716"/>
      <c r="X5" s="4717"/>
    </row>
    <row r="6" spans="1:26" ht="14.15" customHeight="1" x14ac:dyDescent="0.3">
      <c r="A6" s="1255"/>
      <c r="B6" s="1255"/>
      <c r="C6" s="1255"/>
      <c r="D6" s="2043"/>
      <c r="E6" s="2043"/>
      <c r="F6" s="2043"/>
      <c r="G6" s="2043"/>
      <c r="H6" s="2043"/>
      <c r="I6" s="2043"/>
      <c r="J6" s="2043"/>
      <c r="K6" s="2043"/>
      <c r="L6" s="2043"/>
      <c r="M6" s="2043"/>
      <c r="N6" s="2043"/>
      <c r="O6" s="2043"/>
      <c r="P6" s="2043"/>
      <c r="Q6" s="2043"/>
      <c r="R6" s="2043"/>
      <c r="S6" s="2043"/>
      <c r="T6" s="2043"/>
      <c r="U6" s="2043"/>
      <c r="V6" s="2043"/>
      <c r="W6" s="2043"/>
    </row>
    <row r="7" spans="1:26" ht="14" x14ac:dyDescent="0.3">
      <c r="A7" s="1255">
        <v>5</v>
      </c>
      <c r="B7" s="728" t="s">
        <v>6</v>
      </c>
      <c r="C7" s="728"/>
    </row>
    <row r="8" spans="1:26" s="1265" customFormat="1" ht="14" x14ac:dyDescent="0.3">
      <c r="A8" s="1259"/>
      <c r="B8" s="1260"/>
      <c r="C8" s="1260"/>
      <c r="D8" s="1629" t="s">
        <v>690</v>
      </c>
      <c r="E8" s="1629" t="s">
        <v>853</v>
      </c>
      <c r="F8" s="1629"/>
      <c r="G8" s="1629"/>
      <c r="H8" s="1629"/>
      <c r="I8" s="1629"/>
      <c r="J8" s="1629"/>
      <c r="K8" s="1629"/>
      <c r="L8" s="1270"/>
      <c r="M8" s="1270"/>
      <c r="N8" s="1270"/>
      <c r="O8" s="1270"/>
      <c r="P8" s="1270"/>
      <c r="Q8" s="1270"/>
      <c r="X8" s="1764"/>
    </row>
    <row r="9" spans="1:26" s="1265" customFormat="1" ht="13.5" customHeight="1" x14ac:dyDescent="0.3">
      <c r="A9" s="1259"/>
      <c r="B9" s="1260"/>
      <c r="C9" s="1260"/>
      <c r="D9" s="2256">
        <v>1997</v>
      </c>
      <c r="E9" s="2257">
        <v>1998</v>
      </c>
      <c r="F9" s="2257">
        <v>1999</v>
      </c>
      <c r="G9" s="2257">
        <v>2000</v>
      </c>
      <c r="H9" s="2257">
        <v>2001</v>
      </c>
      <c r="I9" s="2257">
        <v>2002</v>
      </c>
      <c r="J9" s="2257">
        <v>2003</v>
      </c>
      <c r="K9" s="2257">
        <v>2004</v>
      </c>
      <c r="L9" s="2258">
        <v>2005</v>
      </c>
      <c r="M9" s="2258">
        <v>2006</v>
      </c>
      <c r="N9" s="2258">
        <v>2007</v>
      </c>
      <c r="O9" s="2258">
        <v>2008</v>
      </c>
      <c r="P9" s="2258">
        <v>2009</v>
      </c>
      <c r="Q9" s="2258">
        <v>2010</v>
      </c>
      <c r="R9" s="2258">
        <v>2011</v>
      </c>
      <c r="S9" s="2258">
        <v>2012</v>
      </c>
      <c r="T9" s="2258">
        <v>2013</v>
      </c>
      <c r="U9" s="2259">
        <v>2014</v>
      </c>
      <c r="V9" s="2260">
        <v>2015</v>
      </c>
      <c r="W9" s="2259">
        <v>2016</v>
      </c>
      <c r="X9" s="2261">
        <v>2017</v>
      </c>
      <c r="Y9" s="2261">
        <v>2018</v>
      </c>
      <c r="Z9" s="1764"/>
    </row>
    <row r="10" spans="1:26" s="1265" customFormat="1" ht="13.5" customHeight="1" x14ac:dyDescent="0.3">
      <c r="A10" s="1259" t="s">
        <v>854</v>
      </c>
      <c r="B10" s="2262">
        <v>1</v>
      </c>
      <c r="C10" s="2263" t="s">
        <v>525</v>
      </c>
      <c r="D10" s="2264"/>
      <c r="E10" s="2265"/>
      <c r="F10" s="2265"/>
      <c r="G10" s="2265"/>
      <c r="H10" s="2265"/>
      <c r="I10" s="2265">
        <v>133</v>
      </c>
      <c r="J10" s="2265">
        <v>150</v>
      </c>
      <c r="K10" s="2265">
        <v>196</v>
      </c>
      <c r="L10" s="2265">
        <v>212</v>
      </c>
      <c r="M10" s="2266">
        <v>237</v>
      </c>
      <c r="N10" s="2266">
        <v>277</v>
      </c>
      <c r="O10" s="2266">
        <v>271</v>
      </c>
      <c r="P10" s="2266">
        <v>283</v>
      </c>
      <c r="Q10" s="2266">
        <v>248</v>
      </c>
      <c r="R10" s="2266">
        <v>184</v>
      </c>
      <c r="S10" s="2266">
        <v>155</v>
      </c>
      <c r="T10" s="2266">
        <v>143</v>
      </c>
      <c r="U10" s="2266">
        <v>157</v>
      </c>
      <c r="V10" s="2266">
        <v>141</v>
      </c>
      <c r="W10" s="2267">
        <v>105</v>
      </c>
      <c r="X10" s="2268"/>
      <c r="Y10" s="2268"/>
      <c r="Z10" s="1764"/>
    </row>
    <row r="11" spans="1:26" s="1265" customFormat="1" ht="13.5" hidden="1" customHeight="1" x14ac:dyDescent="0.3">
      <c r="A11" s="1259"/>
      <c r="B11" s="2262"/>
      <c r="C11" s="2263" t="e">
        <f>1+C10</f>
        <v>#VALUE!</v>
      </c>
      <c r="D11" s="2269"/>
      <c r="E11" s="2265">
        <v>73.8</v>
      </c>
      <c r="F11" s="2265"/>
      <c r="G11" s="2265"/>
      <c r="H11" s="2265"/>
      <c r="I11" s="2265"/>
      <c r="J11" s="2265">
        <v>165.5</v>
      </c>
      <c r="K11" s="2265"/>
      <c r="L11" s="2265"/>
      <c r="M11" s="2266"/>
      <c r="N11" s="2266"/>
      <c r="O11" s="2266"/>
      <c r="P11" s="2266"/>
      <c r="Q11" s="2266"/>
      <c r="R11" s="2266"/>
      <c r="S11" s="2266"/>
      <c r="T11" s="2266"/>
      <c r="U11" s="2266"/>
      <c r="V11" s="2266"/>
      <c r="W11" s="2266"/>
      <c r="X11" s="2268"/>
      <c r="Y11" s="2268"/>
      <c r="Z11" s="1764"/>
    </row>
    <row r="12" spans="1:26" ht="13.5" customHeight="1" x14ac:dyDescent="0.3">
      <c r="B12" s="2262">
        <v>2</v>
      </c>
      <c r="C12" s="2263" t="s">
        <v>855</v>
      </c>
      <c r="D12" s="2270"/>
      <c r="E12" s="2271"/>
      <c r="F12" s="2271"/>
      <c r="G12" s="2271"/>
      <c r="H12" s="2271"/>
      <c r="I12" s="2271"/>
      <c r="J12" s="2271"/>
      <c r="K12" s="2271"/>
      <c r="L12" s="2271"/>
      <c r="M12" s="2272"/>
      <c r="N12" s="2272"/>
      <c r="O12" s="2272">
        <v>280</v>
      </c>
      <c r="P12" s="2272">
        <v>304</v>
      </c>
      <c r="Q12" s="2272">
        <v>269</v>
      </c>
      <c r="R12" s="2272">
        <v>198</v>
      </c>
      <c r="S12" s="2272">
        <v>164</v>
      </c>
      <c r="T12" s="2272">
        <v>153</v>
      </c>
      <c r="U12" s="2272">
        <v>166</v>
      </c>
      <c r="V12" s="2272">
        <v>153</v>
      </c>
      <c r="W12" s="2273">
        <v>134</v>
      </c>
      <c r="X12" s="2273">
        <v>134.97</v>
      </c>
      <c r="Y12" s="2273">
        <v>122.9</v>
      </c>
    </row>
    <row r="13" spans="1:26" ht="13.5" customHeight="1" x14ac:dyDescent="0.3">
      <c r="B13" s="2262"/>
      <c r="C13" s="2263"/>
      <c r="D13" s="2274"/>
      <c r="E13" s="2275"/>
      <c r="F13" s="2275"/>
      <c r="G13" s="2275"/>
      <c r="H13" s="2275"/>
      <c r="I13" s="2275"/>
      <c r="J13" s="2275"/>
      <c r="K13" s="2275"/>
      <c r="L13" s="2275"/>
      <c r="M13" s="2276"/>
      <c r="N13" s="2276"/>
      <c r="O13" s="2276"/>
      <c r="P13" s="2276"/>
      <c r="Q13" s="2276"/>
      <c r="R13" s="2276"/>
      <c r="S13" s="2276"/>
      <c r="T13" s="2276"/>
      <c r="U13" s="2276"/>
      <c r="V13" s="2276"/>
      <c r="W13" s="2276"/>
      <c r="X13" s="2276"/>
      <c r="Y13" s="2276"/>
    </row>
    <row r="14" spans="1:26" ht="13.5" customHeight="1" x14ac:dyDescent="0.3">
      <c r="B14" s="1764"/>
      <c r="C14" s="2262"/>
      <c r="D14" s="4845" t="s">
        <v>856</v>
      </c>
      <c r="E14" s="4845"/>
      <c r="F14" s="4845"/>
      <c r="G14" s="4845"/>
      <c r="H14" s="4845"/>
      <c r="I14" s="2275"/>
      <c r="J14" s="2275"/>
      <c r="K14" s="2275"/>
      <c r="L14" s="2275"/>
      <c r="M14" s="2276"/>
      <c r="N14" s="2276"/>
      <c r="O14" s="2276"/>
      <c r="P14" s="2276"/>
      <c r="Q14" s="2276"/>
      <c r="R14" s="2276"/>
      <c r="S14" s="2276"/>
      <c r="T14" s="2276"/>
      <c r="U14" s="2276"/>
      <c r="V14" s="2276"/>
      <c r="W14" s="2276"/>
      <c r="X14" s="2276"/>
      <c r="Y14" s="2276"/>
    </row>
    <row r="15" spans="1:26" ht="13.5" customHeight="1" x14ac:dyDescent="0.3">
      <c r="B15" s="2262">
        <v>3</v>
      </c>
      <c r="C15" s="2263"/>
      <c r="D15" s="2277"/>
      <c r="E15" s="2278"/>
      <c r="F15" s="2278"/>
      <c r="G15" s="2278"/>
      <c r="H15" s="2278"/>
      <c r="I15" s="2278"/>
      <c r="J15" s="2278"/>
      <c r="K15" s="2278"/>
      <c r="L15" s="2279">
        <v>150.19999999999999</v>
      </c>
      <c r="M15" s="2279">
        <v>161.69999999999999</v>
      </c>
      <c r="N15" s="2279">
        <v>158.5</v>
      </c>
      <c r="O15" s="2279">
        <v>164.8</v>
      </c>
      <c r="P15" s="2279">
        <v>188.9</v>
      </c>
      <c r="Q15" s="2279">
        <v>186.2</v>
      </c>
      <c r="R15" s="2279">
        <v>166.97</v>
      </c>
      <c r="S15" s="2279">
        <v>147.69</v>
      </c>
      <c r="T15" s="2279">
        <v>144.58000000000001</v>
      </c>
      <c r="U15" s="2279">
        <v>135.53</v>
      </c>
      <c r="V15" s="2279">
        <v>135.53</v>
      </c>
      <c r="W15" s="2280">
        <v>135.27000000000001</v>
      </c>
      <c r="X15" s="2281">
        <v>130.96</v>
      </c>
      <c r="Y15" s="4528" t="s">
        <v>857</v>
      </c>
    </row>
    <row r="16" spans="1:26" ht="14" x14ac:dyDescent="0.3">
      <c r="A16" s="1764"/>
      <c r="B16" s="1764"/>
      <c r="C16" s="1255"/>
      <c r="D16" s="1765"/>
      <c r="E16" s="1765"/>
      <c r="F16" s="1765"/>
      <c r="G16" s="1765"/>
      <c r="H16" s="1765"/>
      <c r="I16" s="1765"/>
      <c r="J16" s="1765"/>
      <c r="K16" s="1765"/>
      <c r="L16" s="1765"/>
      <c r="M16" s="1765"/>
      <c r="N16" s="1765"/>
      <c r="O16" s="1765"/>
      <c r="P16" s="1765"/>
      <c r="Q16" s="1765"/>
      <c r="R16" s="1765"/>
      <c r="S16" s="1765"/>
    </row>
    <row r="17" spans="1:3" ht="14" x14ac:dyDescent="0.3">
      <c r="A17" s="1255">
        <v>6</v>
      </c>
      <c r="B17" s="1255" t="s">
        <v>56</v>
      </c>
      <c r="C17" s="1768"/>
    </row>
    <row r="18" spans="1:3" ht="14" x14ac:dyDescent="0.3">
      <c r="B18" s="1768"/>
      <c r="C18" s="1768"/>
    </row>
    <row r="19" spans="1:3" ht="14" x14ac:dyDescent="0.3">
      <c r="B19" s="1768"/>
      <c r="C19" s="1768"/>
    </row>
    <row r="20" spans="1:3" ht="14" x14ac:dyDescent="0.3">
      <c r="B20" s="1768"/>
      <c r="C20" s="1768"/>
    </row>
    <row r="21" spans="1:3" ht="14" x14ac:dyDescent="0.3">
      <c r="B21" s="1768"/>
      <c r="C21" s="1768"/>
    </row>
    <row r="22" spans="1:3" ht="14" x14ac:dyDescent="0.3">
      <c r="B22" s="1768"/>
      <c r="C22" s="1768"/>
    </row>
    <row r="23" spans="1:3" ht="14" x14ac:dyDescent="0.3">
      <c r="B23" s="1768"/>
      <c r="C23" s="1768"/>
    </row>
    <row r="24" spans="1:3" ht="14" x14ac:dyDescent="0.3">
      <c r="B24" s="1768"/>
      <c r="C24" s="1768"/>
    </row>
    <row r="25" spans="1:3" ht="14" x14ac:dyDescent="0.3">
      <c r="B25" s="1768"/>
      <c r="C25" s="1768"/>
    </row>
    <row r="26" spans="1:3" ht="14" x14ac:dyDescent="0.3">
      <c r="B26" s="1768"/>
      <c r="C26" s="1768"/>
    </row>
    <row r="27" spans="1:3" ht="14" x14ac:dyDescent="0.3">
      <c r="B27" s="1768"/>
      <c r="C27" s="1768"/>
    </row>
    <row r="28" spans="1:3" ht="14" x14ac:dyDescent="0.3">
      <c r="B28" s="1768"/>
      <c r="C28" s="1768"/>
    </row>
    <row r="29" spans="1:3" ht="14" x14ac:dyDescent="0.3">
      <c r="B29" s="1768"/>
      <c r="C29" s="1768"/>
    </row>
    <row r="30" spans="1:3" ht="14" x14ac:dyDescent="0.3">
      <c r="B30" s="1768"/>
      <c r="C30" s="1768"/>
    </row>
    <row r="31" spans="1:3" ht="14" x14ac:dyDescent="0.3">
      <c r="B31" s="1768"/>
      <c r="C31" s="1768"/>
    </row>
    <row r="32" spans="1:3" ht="14" x14ac:dyDescent="0.3">
      <c r="B32" s="1768"/>
      <c r="C32" s="1768"/>
    </row>
    <row r="33" spans="1:24" x14ac:dyDescent="0.35">
      <c r="B33" s="1768"/>
      <c r="C33" s="1768"/>
      <c r="D33" s="2282"/>
      <c r="E33" s="2283"/>
      <c r="F33" s="2283"/>
      <c r="G33" s="2283"/>
      <c r="H33" s="2283"/>
      <c r="I33" s="2283"/>
    </row>
    <row r="34" spans="1:24" ht="15" customHeight="1" x14ac:dyDescent="0.3">
      <c r="A34" s="1255">
        <v>7</v>
      </c>
      <c r="B34" s="1255" t="s">
        <v>58</v>
      </c>
      <c r="C34" s="1255"/>
      <c r="D34" s="4733" t="s">
        <v>858</v>
      </c>
      <c r="E34" s="4734"/>
      <c r="F34" s="4734"/>
      <c r="G34" s="4734"/>
      <c r="H34" s="4734"/>
      <c r="I34" s="4734"/>
      <c r="J34" s="4734"/>
      <c r="K34" s="4734"/>
      <c r="L34" s="4734"/>
      <c r="M34" s="4734"/>
      <c r="N34" s="4734"/>
      <c r="O34" s="4734"/>
      <c r="P34" s="4734"/>
      <c r="Q34" s="4734"/>
      <c r="R34" s="4734"/>
      <c r="S34" s="4734"/>
      <c r="T34" s="4734"/>
      <c r="U34" s="4735"/>
      <c r="V34" s="1513"/>
      <c r="W34" s="1513"/>
    </row>
    <row r="35" spans="1:24" ht="27" customHeight="1" x14ac:dyDescent="0.3">
      <c r="A35" s="1306">
        <v>8</v>
      </c>
      <c r="B35" s="1306" t="s">
        <v>60</v>
      </c>
      <c r="C35" s="1306"/>
      <c r="D35" s="4715" t="s">
        <v>859</v>
      </c>
      <c r="E35" s="4716"/>
      <c r="F35" s="4716"/>
      <c r="G35" s="4716"/>
      <c r="H35" s="4716"/>
      <c r="I35" s="4716"/>
      <c r="J35" s="4716"/>
      <c r="K35" s="4716"/>
      <c r="L35" s="4716"/>
      <c r="M35" s="4716"/>
      <c r="N35" s="4716"/>
      <c r="O35" s="4716"/>
      <c r="P35" s="4716"/>
      <c r="Q35" s="4716"/>
      <c r="R35" s="4716"/>
      <c r="S35" s="4716"/>
      <c r="T35" s="4716"/>
      <c r="U35" s="4716"/>
      <c r="V35" s="4716"/>
      <c r="W35" s="4716"/>
      <c r="X35" s="4717"/>
    </row>
    <row r="36" spans="1:24" ht="39" customHeight="1" x14ac:dyDescent="0.3">
      <c r="A36" s="1255">
        <v>9</v>
      </c>
      <c r="B36" s="1255" t="s">
        <v>62</v>
      </c>
      <c r="C36" s="1255"/>
      <c r="D36" s="4715" t="s">
        <v>860</v>
      </c>
      <c r="E36" s="4716"/>
      <c r="F36" s="4716"/>
      <c r="G36" s="4716"/>
      <c r="H36" s="4716"/>
      <c r="I36" s="4716"/>
      <c r="J36" s="4716"/>
      <c r="K36" s="4716"/>
      <c r="L36" s="4716"/>
      <c r="M36" s="4716"/>
      <c r="N36" s="4716"/>
      <c r="O36" s="4716"/>
      <c r="P36" s="4716"/>
      <c r="Q36" s="4716"/>
      <c r="R36" s="4716"/>
      <c r="S36" s="4716"/>
      <c r="T36" s="4716"/>
      <c r="U36" s="4716"/>
      <c r="V36" s="4716"/>
      <c r="W36" s="4716"/>
      <c r="X36" s="4717"/>
    </row>
    <row r="37" spans="1:24" ht="39.75" customHeight="1" x14ac:dyDescent="0.3">
      <c r="A37" s="1255">
        <v>10</v>
      </c>
      <c r="B37" s="1255" t="s">
        <v>134</v>
      </c>
      <c r="D37" s="4715" t="s">
        <v>861</v>
      </c>
      <c r="E37" s="4716"/>
      <c r="F37" s="4716"/>
      <c r="G37" s="4716"/>
      <c r="H37" s="4716"/>
      <c r="I37" s="4716"/>
      <c r="J37" s="4716"/>
      <c r="K37" s="4716"/>
      <c r="L37" s="4716"/>
      <c r="M37" s="4716"/>
      <c r="N37" s="4716"/>
      <c r="O37" s="4716"/>
      <c r="P37" s="4716"/>
      <c r="Q37" s="4716"/>
      <c r="R37" s="4716"/>
      <c r="S37" s="4716"/>
      <c r="T37" s="4716"/>
      <c r="U37" s="4716"/>
      <c r="V37" s="4716"/>
      <c r="W37" s="4716"/>
      <c r="X37" s="4717"/>
    </row>
    <row r="40" spans="1:24" x14ac:dyDescent="0.3">
      <c r="B40" s="2285" t="s">
        <v>862</v>
      </c>
    </row>
  </sheetData>
  <mergeCells count="9">
    <mergeCell ref="D35:X35"/>
    <mergeCell ref="D36:X36"/>
    <mergeCell ref="D37:X37"/>
    <mergeCell ref="D2:X2"/>
    <mergeCell ref="D3:X3"/>
    <mergeCell ref="D4:X4"/>
    <mergeCell ref="D5:X5"/>
    <mergeCell ref="D14:H14"/>
    <mergeCell ref="D34:U34"/>
  </mergeCells>
  <hyperlinks>
    <hyperlink ref="B40" r:id="rId1" xr:uid="{00000000-0004-0000-2300-000000000000}"/>
  </hyperlinks>
  <pageMargins left="0.74803149606299202" right="0.74803149606299202" top="0.98425196850393704" bottom="0.98425196850393704" header="0.511811023622047" footer="0.511811023622047"/>
  <pageSetup paperSize="9" scale="65" orientation="landscape" r:id="rId2"/>
  <headerFooter alignWithMargins="0">
    <oddHeader>&amp;C&amp;"-,Bold"DEVELOPMENT INDICATORS 2017</oddHeader>
    <oddFooter>&amp;LDepartment of Planning, Monitoring and Evaluation (DPME). &amp;CPage &amp;P of &amp;N&amp;R&amp;D</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2:AB58"/>
  <sheetViews>
    <sheetView showGridLines="0" view="pageBreakPreview" zoomScaleNormal="100" zoomScaleSheetLayoutView="100" workbookViewId="0">
      <selection activeCell="X8" sqref="X8"/>
    </sheetView>
  </sheetViews>
  <sheetFormatPr defaultColWidth="9.1796875" defaultRowHeight="14" x14ac:dyDescent="0.3"/>
  <cols>
    <col min="1" max="1" width="3.7265625" style="2070" customWidth="1"/>
    <col min="2" max="2" width="14.453125" style="1768" customWidth="1"/>
    <col min="3" max="3" width="3.7265625" style="1768" customWidth="1"/>
    <col min="4" max="4" width="23.453125" style="1764" customWidth="1"/>
    <col min="5" max="25" width="6.26953125" style="1764" customWidth="1"/>
    <col min="26" max="37" width="10" style="1764" bestFit="1" customWidth="1"/>
    <col min="38" max="260" width="9.1796875" style="1764"/>
    <col min="261" max="261" width="3.7265625" style="1764" customWidth="1"/>
    <col min="262" max="262" width="14.453125" style="1764" customWidth="1"/>
    <col min="263" max="263" width="3.7265625" style="1764" customWidth="1"/>
    <col min="264" max="264" width="14.54296875" style="1764" customWidth="1"/>
    <col min="265" max="281" width="6.26953125" style="1764" customWidth="1"/>
    <col min="282" max="516" width="9.1796875" style="1764"/>
    <col min="517" max="517" width="3.7265625" style="1764" customWidth="1"/>
    <col min="518" max="518" width="14.453125" style="1764" customWidth="1"/>
    <col min="519" max="519" width="3.7265625" style="1764" customWidth="1"/>
    <col min="520" max="520" width="14.54296875" style="1764" customWidth="1"/>
    <col min="521" max="537" width="6.26953125" style="1764" customWidth="1"/>
    <col min="538" max="772" width="9.1796875" style="1764"/>
    <col min="773" max="773" width="3.7265625" style="1764" customWidth="1"/>
    <col min="774" max="774" width="14.453125" style="1764" customWidth="1"/>
    <col min="775" max="775" width="3.7265625" style="1764" customWidth="1"/>
    <col min="776" max="776" width="14.54296875" style="1764" customWidth="1"/>
    <col min="777" max="793" width="6.26953125" style="1764" customWidth="1"/>
    <col min="794" max="1028" width="9.1796875" style="1764"/>
    <col min="1029" max="1029" width="3.7265625" style="1764" customWidth="1"/>
    <col min="1030" max="1030" width="14.453125" style="1764" customWidth="1"/>
    <col min="1031" max="1031" width="3.7265625" style="1764" customWidth="1"/>
    <col min="1032" max="1032" width="14.54296875" style="1764" customWidth="1"/>
    <col min="1033" max="1049" width="6.26953125" style="1764" customWidth="1"/>
    <col min="1050" max="1284" width="9.1796875" style="1764"/>
    <col min="1285" max="1285" width="3.7265625" style="1764" customWidth="1"/>
    <col min="1286" max="1286" width="14.453125" style="1764" customWidth="1"/>
    <col min="1287" max="1287" width="3.7265625" style="1764" customWidth="1"/>
    <col min="1288" max="1288" width="14.54296875" style="1764" customWidth="1"/>
    <col min="1289" max="1305" width="6.26953125" style="1764" customWidth="1"/>
    <col min="1306" max="1540" width="9.1796875" style="1764"/>
    <col min="1541" max="1541" width="3.7265625" style="1764" customWidth="1"/>
    <col min="1542" max="1542" width="14.453125" style="1764" customWidth="1"/>
    <col min="1543" max="1543" width="3.7265625" style="1764" customWidth="1"/>
    <col min="1544" max="1544" width="14.54296875" style="1764" customWidth="1"/>
    <col min="1545" max="1561" width="6.26953125" style="1764" customWidth="1"/>
    <col min="1562" max="1796" width="9.1796875" style="1764"/>
    <col min="1797" max="1797" width="3.7265625" style="1764" customWidth="1"/>
    <col min="1798" max="1798" width="14.453125" style="1764" customWidth="1"/>
    <col min="1799" max="1799" width="3.7265625" style="1764" customWidth="1"/>
    <col min="1800" max="1800" width="14.54296875" style="1764" customWidth="1"/>
    <col min="1801" max="1817" width="6.26953125" style="1764" customWidth="1"/>
    <col min="1818" max="2052" width="9.1796875" style="1764"/>
    <col min="2053" max="2053" width="3.7265625" style="1764" customWidth="1"/>
    <col min="2054" max="2054" width="14.453125" style="1764" customWidth="1"/>
    <col min="2055" max="2055" width="3.7265625" style="1764" customWidth="1"/>
    <col min="2056" max="2056" width="14.54296875" style="1764" customWidth="1"/>
    <col min="2057" max="2073" width="6.26953125" style="1764" customWidth="1"/>
    <col min="2074" max="2308" width="9.1796875" style="1764"/>
    <col min="2309" max="2309" width="3.7265625" style="1764" customWidth="1"/>
    <col min="2310" max="2310" width="14.453125" style="1764" customWidth="1"/>
    <col min="2311" max="2311" width="3.7265625" style="1764" customWidth="1"/>
    <col min="2312" max="2312" width="14.54296875" style="1764" customWidth="1"/>
    <col min="2313" max="2329" width="6.26953125" style="1764" customWidth="1"/>
    <col min="2330" max="2564" width="9.1796875" style="1764"/>
    <col min="2565" max="2565" width="3.7265625" style="1764" customWidth="1"/>
    <col min="2566" max="2566" width="14.453125" style="1764" customWidth="1"/>
    <col min="2567" max="2567" width="3.7265625" style="1764" customWidth="1"/>
    <col min="2568" max="2568" width="14.54296875" style="1764" customWidth="1"/>
    <col min="2569" max="2585" width="6.26953125" style="1764" customWidth="1"/>
    <col min="2586" max="2820" width="9.1796875" style="1764"/>
    <col min="2821" max="2821" width="3.7265625" style="1764" customWidth="1"/>
    <col min="2822" max="2822" width="14.453125" style="1764" customWidth="1"/>
    <col min="2823" max="2823" width="3.7265625" style="1764" customWidth="1"/>
    <col min="2824" max="2824" width="14.54296875" style="1764" customWidth="1"/>
    <col min="2825" max="2841" width="6.26953125" style="1764" customWidth="1"/>
    <col min="2842" max="3076" width="9.1796875" style="1764"/>
    <col min="3077" max="3077" width="3.7265625" style="1764" customWidth="1"/>
    <col min="3078" max="3078" width="14.453125" style="1764" customWidth="1"/>
    <col min="3079" max="3079" width="3.7265625" style="1764" customWidth="1"/>
    <col min="3080" max="3080" width="14.54296875" style="1764" customWidth="1"/>
    <col min="3081" max="3097" width="6.26953125" style="1764" customWidth="1"/>
    <col min="3098" max="3332" width="9.1796875" style="1764"/>
    <col min="3333" max="3333" width="3.7265625" style="1764" customWidth="1"/>
    <col min="3334" max="3334" width="14.453125" style="1764" customWidth="1"/>
    <col min="3335" max="3335" width="3.7265625" style="1764" customWidth="1"/>
    <col min="3336" max="3336" width="14.54296875" style="1764" customWidth="1"/>
    <col min="3337" max="3353" width="6.26953125" style="1764" customWidth="1"/>
    <col min="3354" max="3588" width="9.1796875" style="1764"/>
    <col min="3589" max="3589" width="3.7265625" style="1764" customWidth="1"/>
    <col min="3590" max="3590" width="14.453125" style="1764" customWidth="1"/>
    <col min="3591" max="3591" width="3.7265625" style="1764" customWidth="1"/>
    <col min="3592" max="3592" width="14.54296875" style="1764" customWidth="1"/>
    <col min="3593" max="3609" width="6.26953125" style="1764" customWidth="1"/>
    <col min="3610" max="3844" width="9.1796875" style="1764"/>
    <col min="3845" max="3845" width="3.7265625" style="1764" customWidth="1"/>
    <col min="3846" max="3846" width="14.453125" style="1764" customWidth="1"/>
    <col min="3847" max="3847" width="3.7265625" style="1764" customWidth="1"/>
    <col min="3848" max="3848" width="14.54296875" style="1764" customWidth="1"/>
    <col min="3849" max="3865" width="6.26953125" style="1764" customWidth="1"/>
    <col min="3866" max="4100" width="9.1796875" style="1764"/>
    <col min="4101" max="4101" width="3.7265625" style="1764" customWidth="1"/>
    <col min="4102" max="4102" width="14.453125" style="1764" customWidth="1"/>
    <col min="4103" max="4103" width="3.7265625" style="1764" customWidth="1"/>
    <col min="4104" max="4104" width="14.54296875" style="1764" customWidth="1"/>
    <col min="4105" max="4121" width="6.26953125" style="1764" customWidth="1"/>
    <col min="4122" max="4356" width="9.1796875" style="1764"/>
    <col min="4357" max="4357" width="3.7265625" style="1764" customWidth="1"/>
    <col min="4358" max="4358" width="14.453125" style="1764" customWidth="1"/>
    <col min="4359" max="4359" width="3.7265625" style="1764" customWidth="1"/>
    <col min="4360" max="4360" width="14.54296875" style="1764" customWidth="1"/>
    <col min="4361" max="4377" width="6.26953125" style="1764" customWidth="1"/>
    <col min="4378" max="4612" width="9.1796875" style="1764"/>
    <col min="4613" max="4613" width="3.7265625" style="1764" customWidth="1"/>
    <col min="4614" max="4614" width="14.453125" style="1764" customWidth="1"/>
    <col min="4615" max="4615" width="3.7265625" style="1764" customWidth="1"/>
    <col min="4616" max="4616" width="14.54296875" style="1764" customWidth="1"/>
    <col min="4617" max="4633" width="6.26953125" style="1764" customWidth="1"/>
    <col min="4634" max="4868" width="9.1796875" style="1764"/>
    <col min="4869" max="4869" width="3.7265625" style="1764" customWidth="1"/>
    <col min="4870" max="4870" width="14.453125" style="1764" customWidth="1"/>
    <col min="4871" max="4871" width="3.7265625" style="1764" customWidth="1"/>
    <col min="4872" max="4872" width="14.54296875" style="1764" customWidth="1"/>
    <col min="4873" max="4889" width="6.26953125" style="1764" customWidth="1"/>
    <col min="4890" max="5124" width="9.1796875" style="1764"/>
    <col min="5125" max="5125" width="3.7265625" style="1764" customWidth="1"/>
    <col min="5126" max="5126" width="14.453125" style="1764" customWidth="1"/>
    <col min="5127" max="5127" width="3.7265625" style="1764" customWidth="1"/>
    <col min="5128" max="5128" width="14.54296875" style="1764" customWidth="1"/>
    <col min="5129" max="5145" width="6.26953125" style="1764" customWidth="1"/>
    <col min="5146" max="5380" width="9.1796875" style="1764"/>
    <col min="5381" max="5381" width="3.7265625" style="1764" customWidth="1"/>
    <col min="5382" max="5382" width="14.453125" style="1764" customWidth="1"/>
    <col min="5383" max="5383" width="3.7265625" style="1764" customWidth="1"/>
    <col min="5384" max="5384" width="14.54296875" style="1764" customWidth="1"/>
    <col min="5385" max="5401" width="6.26953125" style="1764" customWidth="1"/>
    <col min="5402" max="5636" width="9.1796875" style="1764"/>
    <col min="5637" max="5637" width="3.7265625" style="1764" customWidth="1"/>
    <col min="5638" max="5638" width="14.453125" style="1764" customWidth="1"/>
    <col min="5639" max="5639" width="3.7265625" style="1764" customWidth="1"/>
    <col min="5640" max="5640" width="14.54296875" style="1764" customWidth="1"/>
    <col min="5641" max="5657" width="6.26953125" style="1764" customWidth="1"/>
    <col min="5658" max="5892" width="9.1796875" style="1764"/>
    <col min="5893" max="5893" width="3.7265625" style="1764" customWidth="1"/>
    <col min="5894" max="5894" width="14.453125" style="1764" customWidth="1"/>
    <col min="5895" max="5895" width="3.7265625" style="1764" customWidth="1"/>
    <col min="5896" max="5896" width="14.54296875" style="1764" customWidth="1"/>
    <col min="5897" max="5913" width="6.26953125" style="1764" customWidth="1"/>
    <col min="5914" max="6148" width="9.1796875" style="1764"/>
    <col min="6149" max="6149" width="3.7265625" style="1764" customWidth="1"/>
    <col min="6150" max="6150" width="14.453125" style="1764" customWidth="1"/>
    <col min="6151" max="6151" width="3.7265625" style="1764" customWidth="1"/>
    <col min="6152" max="6152" width="14.54296875" style="1764" customWidth="1"/>
    <col min="6153" max="6169" width="6.26953125" style="1764" customWidth="1"/>
    <col min="6170" max="6404" width="9.1796875" style="1764"/>
    <col min="6405" max="6405" width="3.7265625" style="1764" customWidth="1"/>
    <col min="6406" max="6406" width="14.453125" style="1764" customWidth="1"/>
    <col min="6407" max="6407" width="3.7265625" style="1764" customWidth="1"/>
    <col min="6408" max="6408" width="14.54296875" style="1764" customWidth="1"/>
    <col min="6409" max="6425" width="6.26953125" style="1764" customWidth="1"/>
    <col min="6426" max="6660" width="9.1796875" style="1764"/>
    <col min="6661" max="6661" width="3.7265625" style="1764" customWidth="1"/>
    <col min="6662" max="6662" width="14.453125" style="1764" customWidth="1"/>
    <col min="6663" max="6663" width="3.7265625" style="1764" customWidth="1"/>
    <col min="6664" max="6664" width="14.54296875" style="1764" customWidth="1"/>
    <col min="6665" max="6681" width="6.26953125" style="1764" customWidth="1"/>
    <col min="6682" max="6916" width="9.1796875" style="1764"/>
    <col min="6917" max="6917" width="3.7265625" style="1764" customWidth="1"/>
    <col min="6918" max="6918" width="14.453125" style="1764" customWidth="1"/>
    <col min="6919" max="6919" width="3.7265625" style="1764" customWidth="1"/>
    <col min="6920" max="6920" width="14.54296875" style="1764" customWidth="1"/>
    <col min="6921" max="6937" width="6.26953125" style="1764" customWidth="1"/>
    <col min="6938" max="7172" width="9.1796875" style="1764"/>
    <col min="7173" max="7173" width="3.7265625" style="1764" customWidth="1"/>
    <col min="7174" max="7174" width="14.453125" style="1764" customWidth="1"/>
    <col min="7175" max="7175" width="3.7265625" style="1764" customWidth="1"/>
    <col min="7176" max="7176" width="14.54296875" style="1764" customWidth="1"/>
    <col min="7177" max="7193" width="6.26953125" style="1764" customWidth="1"/>
    <col min="7194" max="7428" width="9.1796875" style="1764"/>
    <col min="7429" max="7429" width="3.7265625" style="1764" customWidth="1"/>
    <col min="7430" max="7430" width="14.453125" style="1764" customWidth="1"/>
    <col min="7431" max="7431" width="3.7265625" style="1764" customWidth="1"/>
    <col min="7432" max="7432" width="14.54296875" style="1764" customWidth="1"/>
    <col min="7433" max="7449" width="6.26953125" style="1764" customWidth="1"/>
    <col min="7450" max="7684" width="9.1796875" style="1764"/>
    <col min="7685" max="7685" width="3.7265625" style="1764" customWidth="1"/>
    <col min="7686" max="7686" width="14.453125" style="1764" customWidth="1"/>
    <col min="7687" max="7687" width="3.7265625" style="1764" customWidth="1"/>
    <col min="7688" max="7688" width="14.54296875" style="1764" customWidth="1"/>
    <col min="7689" max="7705" width="6.26953125" style="1764" customWidth="1"/>
    <col min="7706" max="7940" width="9.1796875" style="1764"/>
    <col min="7941" max="7941" width="3.7265625" style="1764" customWidth="1"/>
    <col min="7942" max="7942" width="14.453125" style="1764" customWidth="1"/>
    <col min="7943" max="7943" width="3.7265625" style="1764" customWidth="1"/>
    <col min="7944" max="7944" width="14.54296875" style="1764" customWidth="1"/>
    <col min="7945" max="7961" width="6.26953125" style="1764" customWidth="1"/>
    <col min="7962" max="8196" width="9.1796875" style="1764"/>
    <col min="8197" max="8197" width="3.7265625" style="1764" customWidth="1"/>
    <col min="8198" max="8198" width="14.453125" style="1764" customWidth="1"/>
    <col min="8199" max="8199" width="3.7265625" style="1764" customWidth="1"/>
    <col min="8200" max="8200" width="14.54296875" style="1764" customWidth="1"/>
    <col min="8201" max="8217" width="6.26953125" style="1764" customWidth="1"/>
    <col min="8218" max="8452" width="9.1796875" style="1764"/>
    <col min="8453" max="8453" width="3.7265625" style="1764" customWidth="1"/>
    <col min="8454" max="8454" width="14.453125" style="1764" customWidth="1"/>
    <col min="8455" max="8455" width="3.7265625" style="1764" customWidth="1"/>
    <col min="8456" max="8456" width="14.54296875" style="1764" customWidth="1"/>
    <col min="8457" max="8473" width="6.26953125" style="1764" customWidth="1"/>
    <col min="8474" max="8708" width="9.1796875" style="1764"/>
    <col min="8709" max="8709" width="3.7265625" style="1764" customWidth="1"/>
    <col min="8710" max="8710" width="14.453125" style="1764" customWidth="1"/>
    <col min="8711" max="8711" width="3.7265625" style="1764" customWidth="1"/>
    <col min="8712" max="8712" width="14.54296875" style="1764" customWidth="1"/>
    <col min="8713" max="8729" width="6.26953125" style="1764" customWidth="1"/>
    <col min="8730" max="8964" width="9.1796875" style="1764"/>
    <col min="8965" max="8965" width="3.7265625" style="1764" customWidth="1"/>
    <col min="8966" max="8966" width="14.453125" style="1764" customWidth="1"/>
    <col min="8967" max="8967" width="3.7265625" style="1764" customWidth="1"/>
    <col min="8968" max="8968" width="14.54296875" style="1764" customWidth="1"/>
    <col min="8969" max="8985" width="6.26953125" style="1764" customWidth="1"/>
    <col min="8986" max="9220" width="9.1796875" style="1764"/>
    <col min="9221" max="9221" width="3.7265625" style="1764" customWidth="1"/>
    <col min="9222" max="9222" width="14.453125" style="1764" customWidth="1"/>
    <col min="9223" max="9223" width="3.7265625" style="1764" customWidth="1"/>
    <col min="9224" max="9224" width="14.54296875" style="1764" customWidth="1"/>
    <col min="9225" max="9241" width="6.26953125" style="1764" customWidth="1"/>
    <col min="9242" max="9476" width="9.1796875" style="1764"/>
    <col min="9477" max="9477" width="3.7265625" style="1764" customWidth="1"/>
    <col min="9478" max="9478" width="14.453125" style="1764" customWidth="1"/>
    <col min="9479" max="9479" width="3.7265625" style="1764" customWidth="1"/>
    <col min="9480" max="9480" width="14.54296875" style="1764" customWidth="1"/>
    <col min="9481" max="9497" width="6.26953125" style="1764" customWidth="1"/>
    <col min="9498" max="9732" width="9.1796875" style="1764"/>
    <col min="9733" max="9733" width="3.7265625" style="1764" customWidth="1"/>
    <col min="9734" max="9734" width="14.453125" style="1764" customWidth="1"/>
    <col min="9735" max="9735" width="3.7265625" style="1764" customWidth="1"/>
    <col min="9736" max="9736" width="14.54296875" style="1764" customWidth="1"/>
    <col min="9737" max="9753" width="6.26953125" style="1764" customWidth="1"/>
    <col min="9754" max="9988" width="9.1796875" style="1764"/>
    <col min="9989" max="9989" width="3.7265625" style="1764" customWidth="1"/>
    <col min="9990" max="9990" width="14.453125" style="1764" customWidth="1"/>
    <col min="9991" max="9991" width="3.7265625" style="1764" customWidth="1"/>
    <col min="9992" max="9992" width="14.54296875" style="1764" customWidth="1"/>
    <col min="9993" max="10009" width="6.26953125" style="1764" customWidth="1"/>
    <col min="10010" max="10244" width="9.1796875" style="1764"/>
    <col min="10245" max="10245" width="3.7265625" style="1764" customWidth="1"/>
    <col min="10246" max="10246" width="14.453125" style="1764" customWidth="1"/>
    <col min="10247" max="10247" width="3.7265625" style="1764" customWidth="1"/>
    <col min="10248" max="10248" width="14.54296875" style="1764" customWidth="1"/>
    <col min="10249" max="10265" width="6.26953125" style="1764" customWidth="1"/>
    <col min="10266" max="10500" width="9.1796875" style="1764"/>
    <col min="10501" max="10501" width="3.7265625" style="1764" customWidth="1"/>
    <col min="10502" max="10502" width="14.453125" style="1764" customWidth="1"/>
    <col min="10503" max="10503" width="3.7265625" style="1764" customWidth="1"/>
    <col min="10504" max="10504" width="14.54296875" style="1764" customWidth="1"/>
    <col min="10505" max="10521" width="6.26953125" style="1764" customWidth="1"/>
    <col min="10522" max="10756" width="9.1796875" style="1764"/>
    <col min="10757" max="10757" width="3.7265625" style="1764" customWidth="1"/>
    <col min="10758" max="10758" width="14.453125" style="1764" customWidth="1"/>
    <col min="10759" max="10759" width="3.7265625" style="1764" customWidth="1"/>
    <col min="10760" max="10760" width="14.54296875" style="1764" customWidth="1"/>
    <col min="10761" max="10777" width="6.26953125" style="1764" customWidth="1"/>
    <col min="10778" max="11012" width="9.1796875" style="1764"/>
    <col min="11013" max="11013" width="3.7265625" style="1764" customWidth="1"/>
    <col min="11014" max="11014" width="14.453125" style="1764" customWidth="1"/>
    <col min="11015" max="11015" width="3.7265625" style="1764" customWidth="1"/>
    <col min="11016" max="11016" width="14.54296875" style="1764" customWidth="1"/>
    <col min="11017" max="11033" width="6.26953125" style="1764" customWidth="1"/>
    <col min="11034" max="11268" width="9.1796875" style="1764"/>
    <col min="11269" max="11269" width="3.7265625" style="1764" customWidth="1"/>
    <col min="11270" max="11270" width="14.453125" style="1764" customWidth="1"/>
    <col min="11271" max="11271" width="3.7265625" style="1764" customWidth="1"/>
    <col min="11272" max="11272" width="14.54296875" style="1764" customWidth="1"/>
    <col min="11273" max="11289" width="6.26953125" style="1764" customWidth="1"/>
    <col min="11290" max="11524" width="9.1796875" style="1764"/>
    <col min="11525" max="11525" width="3.7265625" style="1764" customWidth="1"/>
    <col min="11526" max="11526" width="14.453125" style="1764" customWidth="1"/>
    <col min="11527" max="11527" width="3.7265625" style="1764" customWidth="1"/>
    <col min="11528" max="11528" width="14.54296875" style="1764" customWidth="1"/>
    <col min="11529" max="11545" width="6.26953125" style="1764" customWidth="1"/>
    <col min="11546" max="11780" width="9.1796875" style="1764"/>
    <col min="11781" max="11781" width="3.7265625" style="1764" customWidth="1"/>
    <col min="11782" max="11782" width="14.453125" style="1764" customWidth="1"/>
    <col min="11783" max="11783" width="3.7265625" style="1764" customWidth="1"/>
    <col min="11784" max="11784" width="14.54296875" style="1764" customWidth="1"/>
    <col min="11785" max="11801" width="6.26953125" style="1764" customWidth="1"/>
    <col min="11802" max="12036" width="9.1796875" style="1764"/>
    <col min="12037" max="12037" width="3.7265625" style="1764" customWidth="1"/>
    <col min="12038" max="12038" width="14.453125" style="1764" customWidth="1"/>
    <col min="12039" max="12039" width="3.7265625" style="1764" customWidth="1"/>
    <col min="12040" max="12040" width="14.54296875" style="1764" customWidth="1"/>
    <col min="12041" max="12057" width="6.26953125" style="1764" customWidth="1"/>
    <col min="12058" max="12292" width="9.1796875" style="1764"/>
    <col min="12293" max="12293" width="3.7265625" style="1764" customWidth="1"/>
    <col min="12294" max="12294" width="14.453125" style="1764" customWidth="1"/>
    <col min="12295" max="12295" width="3.7265625" style="1764" customWidth="1"/>
    <col min="12296" max="12296" width="14.54296875" style="1764" customWidth="1"/>
    <col min="12297" max="12313" width="6.26953125" style="1764" customWidth="1"/>
    <col min="12314" max="12548" width="9.1796875" style="1764"/>
    <col min="12549" max="12549" width="3.7265625" style="1764" customWidth="1"/>
    <col min="12550" max="12550" width="14.453125" style="1764" customWidth="1"/>
    <col min="12551" max="12551" width="3.7265625" style="1764" customWidth="1"/>
    <col min="12552" max="12552" width="14.54296875" style="1764" customWidth="1"/>
    <col min="12553" max="12569" width="6.26953125" style="1764" customWidth="1"/>
    <col min="12570" max="12804" width="9.1796875" style="1764"/>
    <col min="12805" max="12805" width="3.7265625" style="1764" customWidth="1"/>
    <col min="12806" max="12806" width="14.453125" style="1764" customWidth="1"/>
    <col min="12807" max="12807" width="3.7265625" style="1764" customWidth="1"/>
    <col min="12808" max="12808" width="14.54296875" style="1764" customWidth="1"/>
    <col min="12809" max="12825" width="6.26953125" style="1764" customWidth="1"/>
    <col min="12826" max="13060" width="9.1796875" style="1764"/>
    <col min="13061" max="13061" width="3.7265625" style="1764" customWidth="1"/>
    <col min="13062" max="13062" width="14.453125" style="1764" customWidth="1"/>
    <col min="13063" max="13063" width="3.7265625" style="1764" customWidth="1"/>
    <col min="13064" max="13064" width="14.54296875" style="1764" customWidth="1"/>
    <col min="13065" max="13081" width="6.26953125" style="1764" customWidth="1"/>
    <col min="13082" max="13316" width="9.1796875" style="1764"/>
    <col min="13317" max="13317" width="3.7265625" style="1764" customWidth="1"/>
    <col min="13318" max="13318" width="14.453125" style="1764" customWidth="1"/>
    <col min="13319" max="13319" width="3.7265625" style="1764" customWidth="1"/>
    <col min="13320" max="13320" width="14.54296875" style="1764" customWidth="1"/>
    <col min="13321" max="13337" width="6.26953125" style="1764" customWidth="1"/>
    <col min="13338" max="13572" width="9.1796875" style="1764"/>
    <col min="13573" max="13573" width="3.7265625" style="1764" customWidth="1"/>
    <col min="13574" max="13574" width="14.453125" style="1764" customWidth="1"/>
    <col min="13575" max="13575" width="3.7265625" style="1764" customWidth="1"/>
    <col min="13576" max="13576" width="14.54296875" style="1764" customWidth="1"/>
    <col min="13577" max="13593" width="6.26953125" style="1764" customWidth="1"/>
    <col min="13594" max="13828" width="9.1796875" style="1764"/>
    <col min="13829" max="13829" width="3.7265625" style="1764" customWidth="1"/>
    <col min="13830" max="13830" width="14.453125" style="1764" customWidth="1"/>
    <col min="13831" max="13831" width="3.7265625" style="1764" customWidth="1"/>
    <col min="13832" max="13832" width="14.54296875" style="1764" customWidth="1"/>
    <col min="13833" max="13849" width="6.26953125" style="1764" customWidth="1"/>
    <col min="13850" max="14084" width="9.1796875" style="1764"/>
    <col min="14085" max="14085" width="3.7265625" style="1764" customWidth="1"/>
    <col min="14086" max="14086" width="14.453125" style="1764" customWidth="1"/>
    <col min="14087" max="14087" width="3.7265625" style="1764" customWidth="1"/>
    <col min="14088" max="14088" width="14.54296875" style="1764" customWidth="1"/>
    <col min="14089" max="14105" width="6.26953125" style="1764" customWidth="1"/>
    <col min="14106" max="14340" width="9.1796875" style="1764"/>
    <col min="14341" max="14341" width="3.7265625" style="1764" customWidth="1"/>
    <col min="14342" max="14342" width="14.453125" style="1764" customWidth="1"/>
    <col min="14343" max="14343" width="3.7265625" style="1764" customWidth="1"/>
    <col min="14344" max="14344" width="14.54296875" style="1764" customWidth="1"/>
    <col min="14345" max="14361" width="6.26953125" style="1764" customWidth="1"/>
    <col min="14362" max="14596" width="9.1796875" style="1764"/>
    <col min="14597" max="14597" width="3.7265625" style="1764" customWidth="1"/>
    <col min="14598" max="14598" width="14.453125" style="1764" customWidth="1"/>
    <col min="14599" max="14599" width="3.7265625" style="1764" customWidth="1"/>
    <col min="14600" max="14600" width="14.54296875" style="1764" customWidth="1"/>
    <col min="14601" max="14617" width="6.26953125" style="1764" customWidth="1"/>
    <col min="14618" max="14852" width="9.1796875" style="1764"/>
    <col min="14853" max="14853" width="3.7265625" style="1764" customWidth="1"/>
    <col min="14854" max="14854" width="14.453125" style="1764" customWidth="1"/>
    <col min="14855" max="14855" width="3.7265625" style="1764" customWidth="1"/>
    <col min="14856" max="14856" width="14.54296875" style="1764" customWidth="1"/>
    <col min="14857" max="14873" width="6.26953125" style="1764" customWidth="1"/>
    <col min="14874" max="15108" width="9.1796875" style="1764"/>
    <col min="15109" max="15109" width="3.7265625" style="1764" customWidth="1"/>
    <col min="15110" max="15110" width="14.453125" style="1764" customWidth="1"/>
    <col min="15111" max="15111" width="3.7265625" style="1764" customWidth="1"/>
    <col min="15112" max="15112" width="14.54296875" style="1764" customWidth="1"/>
    <col min="15113" max="15129" width="6.26953125" style="1764" customWidth="1"/>
    <col min="15130" max="15364" width="9.1796875" style="1764"/>
    <col min="15365" max="15365" width="3.7265625" style="1764" customWidth="1"/>
    <col min="15366" max="15366" width="14.453125" style="1764" customWidth="1"/>
    <col min="15367" max="15367" width="3.7265625" style="1764" customWidth="1"/>
    <col min="15368" max="15368" width="14.54296875" style="1764" customWidth="1"/>
    <col min="15369" max="15385" width="6.26953125" style="1764" customWidth="1"/>
    <col min="15386" max="15620" width="9.1796875" style="1764"/>
    <col min="15621" max="15621" width="3.7265625" style="1764" customWidth="1"/>
    <col min="15622" max="15622" width="14.453125" style="1764" customWidth="1"/>
    <col min="15623" max="15623" width="3.7265625" style="1764" customWidth="1"/>
    <col min="15624" max="15624" width="14.54296875" style="1764" customWidth="1"/>
    <col min="15625" max="15641" width="6.26953125" style="1764" customWidth="1"/>
    <col min="15642" max="15876" width="9.1796875" style="1764"/>
    <col min="15877" max="15877" width="3.7265625" style="1764" customWidth="1"/>
    <col min="15878" max="15878" width="14.453125" style="1764" customWidth="1"/>
    <col min="15879" max="15879" width="3.7265625" style="1764" customWidth="1"/>
    <col min="15880" max="15880" width="14.54296875" style="1764" customWidth="1"/>
    <col min="15881" max="15897" width="6.26953125" style="1764" customWidth="1"/>
    <col min="15898" max="16132" width="9.1796875" style="1764"/>
    <col min="16133" max="16133" width="3.7265625" style="1764" customWidth="1"/>
    <col min="16134" max="16134" width="14.453125" style="1764" customWidth="1"/>
    <col min="16135" max="16135" width="3.7265625" style="1764" customWidth="1"/>
    <col min="16136" max="16136" width="14.54296875" style="1764" customWidth="1"/>
    <col min="16137" max="16153" width="6.26953125" style="1764" customWidth="1"/>
    <col min="16154" max="16384" width="9.1796875" style="1764"/>
  </cols>
  <sheetData>
    <row r="2" spans="1:26" ht="15" customHeight="1" x14ac:dyDescent="0.3">
      <c r="A2" s="1255">
        <v>1</v>
      </c>
      <c r="B2" s="1255" t="s">
        <v>0</v>
      </c>
      <c r="C2" s="1255">
        <v>37</v>
      </c>
      <c r="D2" s="4764" t="s">
        <v>863</v>
      </c>
      <c r="E2" s="4765"/>
      <c r="F2" s="4765"/>
      <c r="G2" s="4765"/>
      <c r="H2" s="4765"/>
      <c r="I2" s="4765"/>
      <c r="J2" s="4765"/>
      <c r="K2" s="4765"/>
      <c r="L2" s="4765"/>
      <c r="M2" s="4765"/>
      <c r="N2" s="4765"/>
      <c r="O2" s="4765"/>
      <c r="P2" s="4765"/>
      <c r="Q2" s="4765"/>
      <c r="R2" s="4765"/>
      <c r="S2" s="4765"/>
      <c r="T2" s="4765"/>
      <c r="U2" s="4765"/>
      <c r="V2" s="4765"/>
      <c r="W2" s="4765"/>
      <c r="X2" s="4765"/>
      <c r="Y2" s="4765"/>
      <c r="Z2" s="4766"/>
    </row>
    <row r="3" spans="1:26" ht="15" customHeight="1" x14ac:dyDescent="0.3">
      <c r="A3" s="1255">
        <v>2</v>
      </c>
      <c r="B3" s="1255" t="s">
        <v>2</v>
      </c>
      <c r="C3" s="1255"/>
      <c r="D3" s="4733" t="s">
        <v>761</v>
      </c>
      <c r="E3" s="4734"/>
      <c r="F3" s="4734"/>
      <c r="G3" s="4734"/>
      <c r="H3" s="4734"/>
      <c r="I3" s="4734"/>
      <c r="J3" s="4734"/>
      <c r="K3" s="4734"/>
      <c r="L3" s="4734"/>
      <c r="M3" s="4734"/>
      <c r="N3" s="4734"/>
      <c r="O3" s="4734"/>
      <c r="P3" s="4734"/>
      <c r="Q3" s="4734"/>
      <c r="R3" s="4734"/>
      <c r="S3" s="4734"/>
      <c r="T3" s="4734"/>
      <c r="U3" s="4734"/>
      <c r="V3" s="4734"/>
      <c r="W3" s="4734"/>
      <c r="X3" s="4734"/>
      <c r="Y3" s="4734"/>
      <c r="Z3" s="4735"/>
    </row>
    <row r="4" spans="1:26" ht="15" customHeight="1" x14ac:dyDescent="0.3">
      <c r="A4" s="1255">
        <v>3</v>
      </c>
      <c r="B4" s="1255" t="s">
        <v>4</v>
      </c>
      <c r="C4" s="1255"/>
      <c r="D4" s="4834" t="s">
        <v>864</v>
      </c>
      <c r="E4" s="4835"/>
      <c r="F4" s="4835"/>
      <c r="G4" s="4835"/>
      <c r="H4" s="4835"/>
      <c r="I4" s="4835"/>
      <c r="J4" s="4835"/>
      <c r="K4" s="4835"/>
      <c r="L4" s="4835"/>
      <c r="M4" s="4835"/>
      <c r="N4" s="4835"/>
      <c r="O4" s="4835"/>
      <c r="P4" s="4835"/>
      <c r="Q4" s="4835"/>
      <c r="R4" s="4835"/>
      <c r="S4" s="4835"/>
      <c r="T4" s="4835"/>
      <c r="U4" s="4835"/>
      <c r="V4" s="4835"/>
      <c r="W4" s="4835"/>
      <c r="X4" s="4835"/>
      <c r="Y4" s="4835"/>
      <c r="Z4" s="4836"/>
    </row>
    <row r="5" spans="1:26" ht="15" customHeight="1" x14ac:dyDescent="0.3">
      <c r="A5" s="1255">
        <v>4</v>
      </c>
      <c r="B5" s="1255" t="s">
        <v>763</v>
      </c>
      <c r="C5" s="1255"/>
      <c r="D5" s="4834"/>
      <c r="E5" s="4835"/>
      <c r="F5" s="4835"/>
      <c r="G5" s="4835"/>
      <c r="H5" s="4835"/>
      <c r="I5" s="4835"/>
      <c r="J5" s="4835"/>
      <c r="K5" s="4835"/>
      <c r="L5" s="4835"/>
      <c r="M5" s="4835"/>
      <c r="N5" s="4835"/>
      <c r="O5" s="4835"/>
      <c r="P5" s="4835"/>
      <c r="Q5" s="4835"/>
      <c r="R5" s="4835"/>
      <c r="S5" s="4835"/>
      <c r="T5" s="4835"/>
      <c r="U5" s="4835"/>
      <c r="V5" s="4835"/>
      <c r="W5" s="4835"/>
      <c r="X5" s="4835"/>
      <c r="Y5" s="4835"/>
      <c r="Z5" s="4836"/>
    </row>
    <row r="6" spans="1:26" ht="15" customHeight="1" x14ac:dyDescent="0.3">
      <c r="C6" s="1959"/>
      <c r="D6" s="2286"/>
      <c r="E6" s="2286"/>
      <c r="F6" s="2286"/>
      <c r="G6" s="2286"/>
      <c r="H6" s="2286"/>
      <c r="I6" s="2286"/>
      <c r="J6" s="2286"/>
      <c r="K6" s="2286"/>
      <c r="L6" s="2286"/>
      <c r="M6" s="2286"/>
      <c r="N6" s="2286"/>
      <c r="O6" s="2286"/>
      <c r="P6" s="2286"/>
      <c r="Q6" s="2286"/>
      <c r="R6" s="2286"/>
      <c r="S6" s="2286"/>
      <c r="T6" s="2286"/>
      <c r="U6" s="2286"/>
      <c r="V6" s="2286"/>
      <c r="W6" s="2286"/>
      <c r="X6" s="2286"/>
      <c r="Y6" s="2286"/>
      <c r="Z6" s="2287"/>
    </row>
    <row r="7" spans="1:26" s="1265" customFormat="1" ht="13.5" thickBot="1" x14ac:dyDescent="0.35">
      <c r="A7" s="1255">
        <v>5</v>
      </c>
      <c r="B7" s="728" t="s">
        <v>6</v>
      </c>
      <c r="C7" s="1260"/>
      <c r="D7" s="2173" t="s">
        <v>7</v>
      </c>
      <c r="E7" s="2173" t="s">
        <v>865</v>
      </c>
      <c r="F7" s="2173"/>
      <c r="G7" s="1629"/>
      <c r="H7" s="1629"/>
      <c r="I7" s="1629"/>
      <c r="J7" s="1629"/>
      <c r="K7" s="1629"/>
      <c r="L7" s="1629"/>
      <c r="M7" s="1270"/>
      <c r="N7" s="1270"/>
      <c r="O7" s="1270"/>
      <c r="P7" s="1270"/>
      <c r="Q7" s="1270"/>
      <c r="R7" s="1270"/>
      <c r="S7" s="1270"/>
      <c r="T7" s="1270"/>
      <c r="U7" s="1270"/>
      <c r="V7" s="1270"/>
      <c r="W7" s="1270"/>
      <c r="X7" s="1270"/>
      <c r="Y7" s="1270"/>
    </row>
    <row r="8" spans="1:26" s="1265" customFormat="1" ht="15" customHeight="1" thickBot="1" x14ac:dyDescent="0.3">
      <c r="A8" s="1259"/>
      <c r="B8" s="1260"/>
      <c r="C8" s="1260"/>
      <c r="D8" s="2288" t="s">
        <v>97</v>
      </c>
      <c r="E8" s="2289"/>
      <c r="F8" s="2290">
        <v>2002</v>
      </c>
      <c r="G8" s="2291">
        <v>2003</v>
      </c>
      <c r="H8" s="2291">
        <v>2004</v>
      </c>
      <c r="I8" s="2291">
        <v>2005</v>
      </c>
      <c r="J8" s="2291">
        <v>2006</v>
      </c>
      <c r="K8" s="2291">
        <v>2007</v>
      </c>
      <c r="L8" s="2291">
        <v>2008</v>
      </c>
      <c r="M8" s="2291">
        <v>2009</v>
      </c>
      <c r="N8" s="2290">
        <v>2010</v>
      </c>
      <c r="O8" s="2290">
        <v>2011</v>
      </c>
      <c r="P8" s="2290">
        <v>2012</v>
      </c>
      <c r="Q8" s="2291">
        <v>2013</v>
      </c>
      <c r="R8" s="2291">
        <v>2014</v>
      </c>
      <c r="S8" s="2291">
        <v>2015</v>
      </c>
      <c r="T8" s="2291">
        <v>2016</v>
      </c>
      <c r="U8" s="2291">
        <v>2017</v>
      </c>
      <c r="V8" s="2291">
        <v>2018</v>
      </c>
      <c r="W8" s="2291">
        <v>2019</v>
      </c>
      <c r="X8" s="2292">
        <v>2020</v>
      </c>
    </row>
    <row r="9" spans="1:26" s="1265" customFormat="1" ht="15.75" customHeight="1" x14ac:dyDescent="0.25">
      <c r="A9" s="1259"/>
      <c r="B9" s="1260"/>
      <c r="C9" s="2262">
        <v>1</v>
      </c>
      <c r="D9" s="2293" t="s">
        <v>866</v>
      </c>
      <c r="E9" s="2294"/>
      <c r="F9" s="2295">
        <v>6.39</v>
      </c>
      <c r="G9" s="2295">
        <v>6.39</v>
      </c>
      <c r="H9" s="2295">
        <v>6.35</v>
      </c>
      <c r="I9" s="2295">
        <v>6.28</v>
      </c>
      <c r="J9" s="2295">
        <v>6.19</v>
      </c>
      <c r="K9" s="2295">
        <v>6.1</v>
      </c>
      <c r="L9" s="2295">
        <v>6.04</v>
      </c>
      <c r="M9" s="2295">
        <v>6.04</v>
      </c>
      <c r="N9" s="2295">
        <v>6.03</v>
      </c>
      <c r="O9" s="2295">
        <v>6</v>
      </c>
      <c r="P9" s="2295">
        <v>6.01</v>
      </c>
      <c r="Q9" s="2295">
        <v>5.96</v>
      </c>
      <c r="R9" s="2295">
        <v>5.87</v>
      </c>
      <c r="S9" s="2295">
        <v>5.8</v>
      </c>
      <c r="T9" s="2295">
        <v>5.65</v>
      </c>
      <c r="U9" s="2295">
        <v>5.55</v>
      </c>
      <c r="V9" s="2295">
        <v>5.47</v>
      </c>
      <c r="W9" s="2295">
        <v>5.4</v>
      </c>
      <c r="X9" s="2296">
        <v>5.34</v>
      </c>
    </row>
    <row r="10" spans="1:26" s="1265" customFormat="1" ht="15" customHeight="1" x14ac:dyDescent="0.25">
      <c r="A10" s="1259"/>
      <c r="B10" s="1260"/>
      <c r="C10" s="2262">
        <v>2</v>
      </c>
      <c r="D10" s="2293" t="s">
        <v>867</v>
      </c>
      <c r="E10" s="2294"/>
      <c r="F10" s="2295">
        <v>15.39282250545979</v>
      </c>
      <c r="G10" s="2295">
        <v>16.12481981096926</v>
      </c>
      <c r="H10" s="2295">
        <v>16.687309456628228</v>
      </c>
      <c r="I10" s="2295">
        <v>17.123474977001585</v>
      </c>
      <c r="J10" s="2295">
        <v>17.499111709001173</v>
      </c>
      <c r="K10" s="2295">
        <v>17.835965678117184</v>
      </c>
      <c r="L10" s="2295">
        <v>18.184993795216958</v>
      </c>
      <c r="M10" s="2295">
        <v>18.712597536390881</v>
      </c>
      <c r="N10" s="2295">
        <v>19.25495923259782</v>
      </c>
      <c r="O10" s="2295">
        <v>19.834155612902869</v>
      </c>
      <c r="P10" s="2295">
        <v>20.430709594056207</v>
      </c>
      <c r="Q10" s="2295">
        <v>20.941656244235425</v>
      </c>
      <c r="R10" s="2295">
        <v>21.413162019495104</v>
      </c>
      <c r="S10" s="2295">
        <v>21.834549041537731</v>
      </c>
      <c r="T10" s="2295">
        <v>22.119719935069256</v>
      </c>
      <c r="U10" s="2295">
        <v>22.39602066160279</v>
      </c>
      <c r="V10" s="2295">
        <v>22.64164989684868</v>
      </c>
      <c r="W10" s="2295">
        <v>22.826585990056262</v>
      </c>
      <c r="X10" s="2296">
        <v>22.954838138334619</v>
      </c>
    </row>
    <row r="11" spans="1:26" s="1265" customFormat="1" ht="15" customHeight="1" x14ac:dyDescent="0.25">
      <c r="A11" s="1259"/>
      <c r="B11" s="1260"/>
      <c r="C11" s="2262">
        <v>3</v>
      </c>
      <c r="D11" s="2293" t="s">
        <v>868</v>
      </c>
      <c r="E11" s="2294"/>
      <c r="F11" s="2295">
        <v>13.308595071286518</v>
      </c>
      <c r="G11" s="2295">
        <v>13.897288191595639</v>
      </c>
      <c r="H11" s="2295">
        <v>14.334354686616594</v>
      </c>
      <c r="I11" s="2295">
        <v>14.656099907479989</v>
      </c>
      <c r="J11" s="2295">
        <v>14.912599539004677</v>
      </c>
      <c r="K11" s="2295">
        <v>15.147434877694504</v>
      </c>
      <c r="L11" s="2295">
        <v>15.394485959735219</v>
      </c>
      <c r="M11" s="2295">
        <v>15.760222949405801</v>
      </c>
      <c r="N11" s="2295">
        <v>16.112165321794532</v>
      </c>
      <c r="O11" s="2295">
        <v>16.503296926330595</v>
      </c>
      <c r="P11" s="2295">
        <v>16.91787765136382</v>
      </c>
      <c r="Q11" s="2295">
        <v>17.272023431910767</v>
      </c>
      <c r="R11" s="2295">
        <v>17.60219659320046</v>
      </c>
      <c r="S11" s="2295">
        <v>17.901293164987685</v>
      </c>
      <c r="T11" s="2295">
        <v>18.101147794523651</v>
      </c>
      <c r="U11" s="2295">
        <v>18.303485470819513</v>
      </c>
      <c r="V11" s="2295">
        <v>18.483648953966799</v>
      </c>
      <c r="W11" s="2295">
        <v>18.614833474398406</v>
      </c>
      <c r="X11" s="2296">
        <v>18.702553623775596</v>
      </c>
    </row>
    <row r="12" spans="1:26" s="1265" customFormat="1" ht="12.65" customHeight="1" x14ac:dyDescent="0.25">
      <c r="A12" s="1259"/>
      <c r="B12" s="1260"/>
      <c r="C12" s="2262">
        <v>4</v>
      </c>
      <c r="D12" s="2293" t="s">
        <v>869</v>
      </c>
      <c r="E12" s="2294"/>
      <c r="F12" s="2295">
        <v>8.2173387289003443</v>
      </c>
      <c r="G12" s="2295">
        <v>8.7010987716346939</v>
      </c>
      <c r="H12" s="2295">
        <v>9.0900296049336724</v>
      </c>
      <c r="I12" s="2295">
        <v>9.3957328084118377</v>
      </c>
      <c r="J12" s="2295">
        <v>9.6524797094872419</v>
      </c>
      <c r="K12" s="2295">
        <v>9.8742178188258691</v>
      </c>
      <c r="L12" s="2295">
        <v>10.094624350727569</v>
      </c>
      <c r="M12" s="2295">
        <v>10.374316791081782</v>
      </c>
      <c r="N12" s="2295">
        <v>10.649324909855853</v>
      </c>
      <c r="O12" s="2295">
        <v>10.95650251663824</v>
      </c>
      <c r="P12" s="2295">
        <v>11.267298928452522</v>
      </c>
      <c r="Q12" s="2295">
        <v>11.535289914641256</v>
      </c>
      <c r="R12" s="2295">
        <v>11.80105169808755</v>
      </c>
      <c r="S12" s="2295">
        <v>12.048347598485508</v>
      </c>
      <c r="T12" s="2295">
        <v>12.243910710615765</v>
      </c>
      <c r="U12" s="2295">
        <v>12.442742108542994</v>
      </c>
      <c r="V12" s="2295">
        <v>12.637635347899344</v>
      </c>
      <c r="W12" s="2295">
        <v>12.830218011310135</v>
      </c>
      <c r="X12" s="2296">
        <v>13.014651821494851</v>
      </c>
    </row>
    <row r="13" spans="1:26" s="1265" customFormat="1" ht="12.65" customHeight="1" x14ac:dyDescent="0.25">
      <c r="A13" s="1259"/>
      <c r="B13" s="1260"/>
      <c r="C13" s="2262">
        <v>5</v>
      </c>
      <c r="D13" s="2293" t="s">
        <v>870</v>
      </c>
      <c r="E13" s="2294"/>
      <c r="F13" s="2295">
        <v>1.95</v>
      </c>
      <c r="G13" s="2295">
        <v>1.86</v>
      </c>
      <c r="H13" s="2295">
        <v>1.78</v>
      </c>
      <c r="I13" s="2295">
        <v>1.71</v>
      </c>
      <c r="J13" s="2295">
        <v>1.66</v>
      </c>
      <c r="K13" s="2295">
        <v>1.62</v>
      </c>
      <c r="L13" s="2295">
        <v>1.59</v>
      </c>
      <c r="M13" s="2295">
        <v>1.59</v>
      </c>
      <c r="N13" s="2295">
        <v>1.52</v>
      </c>
      <c r="O13" s="2295">
        <v>1.52</v>
      </c>
      <c r="P13" s="2295">
        <v>1.5</v>
      </c>
      <c r="Q13" s="2295">
        <v>1.4</v>
      </c>
      <c r="R13" s="2295">
        <v>1.34</v>
      </c>
      <c r="S13" s="2295">
        <v>1.31</v>
      </c>
      <c r="T13" s="2295">
        <v>1.18</v>
      </c>
      <c r="U13" s="2295">
        <v>1.17</v>
      </c>
      <c r="V13" s="2295">
        <v>1.1399999999999999</v>
      </c>
      <c r="W13" s="2295">
        <v>1.1399999999999999</v>
      </c>
      <c r="X13" s="2296">
        <v>1.1299999999999999</v>
      </c>
    </row>
    <row r="14" spans="1:26" s="1265" customFormat="1" ht="11" thickBot="1" x14ac:dyDescent="0.3">
      <c r="A14" s="1259"/>
      <c r="B14" s="1260"/>
      <c r="C14" s="2262">
        <v>6</v>
      </c>
      <c r="D14" s="2297" t="s">
        <v>871</v>
      </c>
      <c r="E14" s="2298"/>
      <c r="F14" s="2299"/>
      <c r="G14" s="2299"/>
      <c r="H14" s="2299"/>
      <c r="I14" s="2299"/>
      <c r="J14" s="2299"/>
      <c r="K14" s="2299"/>
      <c r="L14" s="2299"/>
      <c r="M14" s="2299"/>
      <c r="N14" s="2299"/>
      <c r="O14" s="2299"/>
      <c r="P14" s="2299"/>
      <c r="Q14" s="2299"/>
      <c r="R14" s="2299"/>
      <c r="S14" s="2299"/>
      <c r="T14" s="2299"/>
      <c r="U14" s="2299"/>
      <c r="V14" s="2299"/>
      <c r="W14" s="2299"/>
      <c r="X14" s="2300"/>
    </row>
    <row r="15" spans="1:26" s="1265" customFormat="1" ht="16.399999999999999" customHeight="1" thickBot="1" x14ac:dyDescent="0.25">
      <c r="C15" s="2144"/>
      <c r="Y15" s="1270"/>
    </row>
    <row r="16" spans="1:26" s="1265" customFormat="1" ht="16.399999999999999" hidden="1" customHeight="1" x14ac:dyDescent="0.2">
      <c r="A16" s="1296"/>
      <c r="B16" s="1260"/>
      <c r="C16" s="2144"/>
      <c r="D16" s="1804"/>
      <c r="E16" s="2301"/>
      <c r="F16" s="2301"/>
      <c r="G16" s="2301"/>
      <c r="H16" s="2301"/>
      <c r="I16" s="2301"/>
      <c r="J16" s="2301"/>
      <c r="K16" s="2301"/>
      <c r="L16" s="2301"/>
      <c r="M16" s="2301"/>
      <c r="N16" s="2301"/>
      <c r="O16" s="2301"/>
      <c r="P16" s="2301"/>
      <c r="Q16" s="2302"/>
      <c r="R16" s="2302"/>
      <c r="S16" s="2302"/>
      <c r="T16" s="2302"/>
      <c r="U16" s="1270"/>
      <c r="V16" s="1270"/>
      <c r="W16" s="1270"/>
      <c r="X16" s="1270"/>
      <c r="Y16" s="1270"/>
    </row>
    <row r="17" spans="1:28" s="1265" customFormat="1" ht="16.399999999999999" hidden="1" customHeight="1" x14ac:dyDescent="0.3">
      <c r="A17" s="1296"/>
      <c r="B17" s="1260"/>
      <c r="C17" s="2144"/>
      <c r="D17" s="2173" t="s">
        <v>35</v>
      </c>
      <c r="E17" s="2173" t="s">
        <v>872</v>
      </c>
      <c r="F17" s="2301"/>
      <c r="G17" s="2301"/>
      <c r="H17" s="2301"/>
      <c r="I17" s="2301"/>
      <c r="J17" s="2301"/>
      <c r="K17" s="2301"/>
      <c r="L17" s="2301"/>
      <c r="M17" s="2301"/>
      <c r="N17" s="2301"/>
      <c r="O17" s="2301"/>
      <c r="P17" s="2301"/>
      <c r="Q17" s="2302"/>
      <c r="R17" s="2302"/>
      <c r="S17" s="2302"/>
      <c r="T17" s="2302"/>
      <c r="U17" s="1270"/>
      <c r="V17" s="1270"/>
      <c r="W17" s="1270"/>
      <c r="X17" s="1270"/>
      <c r="Y17" s="1270"/>
    </row>
    <row r="18" spans="1:28" s="1265" customFormat="1" ht="15" hidden="1" customHeight="1" x14ac:dyDescent="0.25">
      <c r="A18" s="1259"/>
      <c r="B18" s="1260"/>
      <c r="C18" s="1260"/>
      <c r="D18" s="2171" t="s">
        <v>97</v>
      </c>
      <c r="E18" s="2303">
        <v>1994</v>
      </c>
      <c r="F18" s="2303">
        <v>1995</v>
      </c>
      <c r="G18" s="2303">
        <v>1996</v>
      </c>
      <c r="H18" s="2303">
        <v>1997</v>
      </c>
      <c r="I18" s="2304">
        <v>1998</v>
      </c>
      <c r="J18" s="2304">
        <v>1999</v>
      </c>
      <c r="K18" s="2304">
        <v>2000</v>
      </c>
      <c r="L18" s="2305">
        <v>2001</v>
      </c>
      <c r="M18" s="2305">
        <v>2002</v>
      </c>
      <c r="N18" s="2305">
        <v>2003</v>
      </c>
      <c r="O18" s="2305">
        <v>2004</v>
      </c>
      <c r="P18" s="2305">
        <v>2005</v>
      </c>
      <c r="Q18" s="2305">
        <v>2006</v>
      </c>
      <c r="R18" s="2305">
        <v>2007</v>
      </c>
      <c r="S18" s="2305">
        <v>2008</v>
      </c>
      <c r="T18" s="2305">
        <v>2009</v>
      </c>
      <c r="U18" s="2305">
        <v>2010</v>
      </c>
      <c r="V18" s="2305">
        <v>2011</v>
      </c>
      <c r="W18" s="2305">
        <v>2012</v>
      </c>
      <c r="X18" s="2305">
        <v>2013</v>
      </c>
      <c r="Y18" s="2305">
        <v>2014</v>
      </c>
      <c r="Z18" s="2305">
        <v>2015</v>
      </c>
      <c r="AB18" s="2306"/>
    </row>
    <row r="19" spans="1:28" s="1265" customFormat="1" ht="12.65" hidden="1" customHeight="1" x14ac:dyDescent="0.2">
      <c r="A19" s="1296"/>
      <c r="B19" s="1260"/>
      <c r="C19" s="2144">
        <v>11</v>
      </c>
      <c r="D19" s="1632" t="s">
        <v>873</v>
      </c>
      <c r="E19" s="2307"/>
      <c r="F19" s="2307"/>
      <c r="G19" s="2307"/>
      <c r="H19" s="2307"/>
      <c r="I19" s="2307"/>
      <c r="J19" s="2307"/>
      <c r="K19" s="2307"/>
      <c r="L19" s="2307"/>
      <c r="M19" s="2307"/>
      <c r="N19" s="2307"/>
      <c r="O19" s="2307"/>
      <c r="P19" s="2307"/>
      <c r="Q19" s="2308"/>
      <c r="R19" s="2308"/>
      <c r="S19" s="2308"/>
      <c r="T19" s="2308"/>
      <c r="U19" s="2309">
        <v>31.4</v>
      </c>
      <c r="V19" s="2309">
        <v>32.200000000000003</v>
      </c>
      <c r="W19" s="2310"/>
      <c r="X19" s="2310"/>
      <c r="Y19" s="2310"/>
      <c r="Z19" s="2310"/>
    </row>
    <row r="20" spans="1:28" s="1265" customFormat="1" ht="20.5" hidden="1" customHeight="1" x14ac:dyDescent="0.2">
      <c r="A20" s="1296"/>
      <c r="B20" s="1260"/>
      <c r="C20" s="2144">
        <v>12</v>
      </c>
      <c r="D20" s="1996" t="s">
        <v>874</v>
      </c>
      <c r="E20" s="2311"/>
      <c r="F20" s="2311"/>
      <c r="G20" s="2311"/>
      <c r="H20" s="2311"/>
      <c r="I20" s="2311"/>
      <c r="J20" s="2311"/>
      <c r="K20" s="2311"/>
      <c r="L20" s="2311"/>
      <c r="M20" s="2311"/>
      <c r="N20" s="2311"/>
      <c r="O20" s="2311"/>
      <c r="P20" s="2311"/>
      <c r="Q20" s="2312"/>
      <c r="R20" s="2312"/>
      <c r="S20" s="2312"/>
      <c r="T20" s="2312"/>
      <c r="U20" s="2313">
        <v>3.5</v>
      </c>
      <c r="V20" s="2313">
        <v>2.67</v>
      </c>
      <c r="W20" s="2314"/>
      <c r="X20" s="2314"/>
      <c r="Y20" s="2314"/>
      <c r="Z20" s="2314"/>
    </row>
    <row r="21" spans="1:28" s="1265" customFormat="1" ht="16.399999999999999" hidden="1" customHeight="1" x14ac:dyDescent="0.2">
      <c r="A21" s="1296"/>
      <c r="B21" s="1260"/>
      <c r="C21" s="2144"/>
      <c r="D21" s="1804"/>
      <c r="E21" s="2301"/>
      <c r="F21" s="2301"/>
      <c r="G21" s="2301"/>
      <c r="H21" s="2301"/>
      <c r="I21" s="2301"/>
      <c r="J21" s="2301"/>
      <c r="K21" s="2301"/>
      <c r="L21" s="2301"/>
      <c r="M21" s="2301"/>
      <c r="N21" s="2301"/>
      <c r="O21" s="2301"/>
      <c r="P21" s="2301"/>
      <c r="Q21" s="2302"/>
      <c r="R21" s="2302"/>
      <c r="S21" s="2302"/>
      <c r="T21" s="2302"/>
      <c r="U21" s="1270"/>
      <c r="V21" s="1270"/>
      <c r="W21" s="1270"/>
      <c r="X21" s="1270"/>
      <c r="Y21" s="1270"/>
    </row>
    <row r="22" spans="1:28" s="1265" customFormat="1" ht="11" hidden="1" thickBot="1" x14ac:dyDescent="0.25">
      <c r="A22" s="1296"/>
      <c r="B22" s="1260"/>
      <c r="C22" s="2144"/>
      <c r="D22" s="1804"/>
      <c r="E22" s="2301"/>
      <c r="F22" s="2301"/>
      <c r="G22" s="2301"/>
      <c r="H22" s="2301"/>
      <c r="I22" s="2301"/>
      <c r="J22" s="2301"/>
      <c r="K22" s="2301"/>
      <c r="L22" s="2301"/>
      <c r="M22" s="2301"/>
      <c r="N22" s="2301"/>
      <c r="O22" s="2301"/>
      <c r="P22" s="2301"/>
      <c r="Q22" s="2302"/>
      <c r="R22" s="2302"/>
      <c r="S22" s="2302"/>
      <c r="T22" s="2302"/>
      <c r="U22" s="1270"/>
      <c r="V22" s="1270"/>
      <c r="W22" s="1270"/>
      <c r="X22" s="1270"/>
      <c r="Y22" s="1270"/>
    </row>
    <row r="23" spans="1:28" s="1265" customFormat="1" ht="11" thickBot="1" x14ac:dyDescent="0.3">
      <c r="A23" s="1296"/>
      <c r="B23" s="1260"/>
      <c r="C23" s="1260"/>
      <c r="D23" s="2288" t="s">
        <v>875</v>
      </c>
      <c r="E23" s="2289"/>
      <c r="F23" s="2290">
        <v>2002</v>
      </c>
      <c r="G23" s="2291">
        <v>2003</v>
      </c>
      <c r="H23" s="2291">
        <v>2004</v>
      </c>
      <c r="I23" s="2291">
        <v>2005</v>
      </c>
      <c r="J23" s="2291">
        <v>2006</v>
      </c>
      <c r="K23" s="2291">
        <v>2007</v>
      </c>
      <c r="L23" s="2291">
        <v>2008</v>
      </c>
      <c r="M23" s="2291">
        <v>2009</v>
      </c>
      <c r="N23" s="2290">
        <v>2010</v>
      </c>
      <c r="O23" s="2290">
        <v>2011</v>
      </c>
      <c r="P23" s="2290">
        <v>2012</v>
      </c>
      <c r="Q23" s="2291">
        <v>2013</v>
      </c>
      <c r="R23" s="2291">
        <v>2014</v>
      </c>
      <c r="S23" s="2291">
        <v>2015</v>
      </c>
      <c r="T23" s="2291">
        <v>2016</v>
      </c>
      <c r="U23" s="2291">
        <v>2017</v>
      </c>
      <c r="V23" s="2291">
        <v>2018</v>
      </c>
      <c r="W23" s="2291">
        <v>2019</v>
      </c>
      <c r="X23" s="2292">
        <v>2020</v>
      </c>
    </row>
    <row r="24" spans="1:28" ht="14.5" thickBot="1" x14ac:dyDescent="0.35">
      <c r="A24" s="1764"/>
      <c r="B24" s="1764"/>
      <c r="C24" s="1255"/>
      <c r="D24" s="2315" t="s">
        <v>876</v>
      </c>
      <c r="E24" s="2316"/>
      <c r="F24" s="2317">
        <v>3.8128099999999998</v>
      </c>
      <c r="G24" s="2317">
        <v>4.0768250000000004</v>
      </c>
      <c r="H24" s="2317">
        <v>4.3052539999999997</v>
      </c>
      <c r="I24" s="2317">
        <v>4.5008910000000002</v>
      </c>
      <c r="J24" s="2317">
        <v>4.6785990000000002</v>
      </c>
      <c r="K24" s="2317">
        <v>4.8467140000000004</v>
      </c>
      <c r="L24" s="2317">
        <v>5.0215630000000004</v>
      </c>
      <c r="M24" s="2317">
        <v>5.2343919999999997</v>
      </c>
      <c r="N24" s="2317">
        <v>5.4537760000000004</v>
      </c>
      <c r="O24" s="2317">
        <v>5.6978530000000003</v>
      </c>
      <c r="P24" s="2317">
        <v>5.9508039999999998</v>
      </c>
      <c r="Q24" s="2317">
        <v>6.1871470000000004</v>
      </c>
      <c r="R24" s="2317">
        <v>6.4289759999999996</v>
      </c>
      <c r="S24" s="2317">
        <v>6.6660899999999996</v>
      </c>
      <c r="T24" s="2317">
        <v>6.8798500000000002</v>
      </c>
      <c r="U24" s="2317">
        <v>7.0994260000000002</v>
      </c>
      <c r="V24" s="2318">
        <v>7.3203250000000004</v>
      </c>
      <c r="W24" s="2318">
        <v>7.5433060000000003</v>
      </c>
      <c r="X24" s="2319">
        <v>7.7596410000000002</v>
      </c>
    </row>
    <row r="26" spans="1:28" x14ac:dyDescent="0.3">
      <c r="A26" s="1255">
        <v>6</v>
      </c>
      <c r="B26" s="1255" t="s">
        <v>56</v>
      </c>
    </row>
    <row r="29" spans="1:28" x14ac:dyDescent="0.3">
      <c r="N29" s="2320"/>
    </row>
    <row r="38" spans="1:25" x14ac:dyDescent="0.3">
      <c r="A38" s="1255">
        <v>7</v>
      </c>
      <c r="B38" s="1255" t="s">
        <v>58</v>
      </c>
      <c r="C38" s="1255"/>
      <c r="D38" s="4849" t="s">
        <v>363</v>
      </c>
      <c r="E38" s="4850"/>
      <c r="F38" s="4850"/>
      <c r="G38" s="4850"/>
      <c r="H38" s="4850"/>
      <c r="I38" s="4850"/>
      <c r="J38" s="4850"/>
      <c r="K38" s="4850"/>
      <c r="L38" s="4850"/>
      <c r="M38" s="4850"/>
      <c r="N38" s="4850"/>
      <c r="O38" s="4850"/>
      <c r="P38" s="4850"/>
      <c r="Q38" s="4850"/>
      <c r="R38" s="4850"/>
      <c r="S38" s="4850"/>
      <c r="T38" s="4850"/>
      <c r="U38" s="4850"/>
      <c r="V38" s="4850"/>
      <c r="W38" s="4850"/>
      <c r="X38" s="4850"/>
      <c r="Y38" s="4851"/>
    </row>
    <row r="39" spans="1:25" ht="20.149999999999999" customHeight="1" x14ac:dyDescent="0.3">
      <c r="A39" s="1306">
        <v>8</v>
      </c>
      <c r="B39" s="1306" t="s">
        <v>60</v>
      </c>
      <c r="C39" s="1306"/>
    </row>
    <row r="40" spans="1:25" ht="17.5" customHeight="1" x14ac:dyDescent="0.3">
      <c r="A40" s="1255">
        <v>9</v>
      </c>
      <c r="B40" s="1255" t="s">
        <v>62</v>
      </c>
      <c r="C40" s="1306"/>
    </row>
    <row r="41" spans="1:25" hidden="1" x14ac:dyDescent="0.3">
      <c r="A41" s="2070">
        <v>9</v>
      </c>
      <c r="B41" s="1255" t="s">
        <v>134</v>
      </c>
      <c r="D41" s="4733" t="s">
        <v>877</v>
      </c>
      <c r="E41" s="4734"/>
      <c r="F41" s="4734"/>
      <c r="G41" s="4734"/>
      <c r="H41" s="4734"/>
      <c r="I41" s="4734"/>
      <c r="J41" s="4734"/>
      <c r="K41" s="4734"/>
      <c r="L41" s="4734"/>
      <c r="M41" s="4734"/>
      <c r="N41" s="4734"/>
      <c r="O41" s="4734"/>
      <c r="P41" s="4734"/>
      <c r="Q41" s="4734"/>
      <c r="R41" s="4734"/>
      <c r="S41" s="4734"/>
      <c r="T41" s="4734"/>
      <c r="U41" s="4734"/>
      <c r="V41" s="4734"/>
      <c r="W41" s="4734"/>
      <c r="X41" s="4734"/>
      <c r="Y41" s="4735"/>
    </row>
    <row r="42" spans="1:25" ht="14.5" x14ac:dyDescent="0.35">
      <c r="A42"/>
      <c r="B42"/>
      <c r="C42"/>
      <c r="D42" s="4846" t="s">
        <v>878</v>
      </c>
      <c r="E42" s="4847"/>
      <c r="F42" s="4847"/>
      <c r="G42" s="4847"/>
      <c r="H42" s="4847"/>
      <c r="I42" s="4847"/>
      <c r="J42" s="4847"/>
      <c r="K42" s="4847"/>
      <c r="L42" s="4847"/>
      <c r="M42" s="4847"/>
      <c r="N42" s="4847"/>
      <c r="O42" s="4847"/>
      <c r="P42" s="4847"/>
      <c r="Q42" s="4847"/>
      <c r="R42" s="4847"/>
      <c r="S42" s="4847"/>
      <c r="T42" s="4847"/>
      <c r="U42" s="4847"/>
      <c r="V42" s="4847"/>
      <c r="W42" s="4847"/>
      <c r="X42" s="4847"/>
      <c r="Y42" s="4848"/>
    </row>
    <row r="43" spans="1:25" ht="14.5" x14ac:dyDescent="0.35">
      <c r="A43"/>
      <c r="B43"/>
      <c r="C43"/>
      <c r="D43" s="4849" t="s">
        <v>879</v>
      </c>
      <c r="E43" s="4850"/>
      <c r="F43" s="4850"/>
      <c r="G43" s="4850"/>
      <c r="H43" s="4850"/>
      <c r="I43" s="4850"/>
      <c r="J43" s="4850"/>
      <c r="K43" s="4850"/>
      <c r="L43" s="4850"/>
      <c r="M43" s="4850"/>
      <c r="N43" s="4850"/>
      <c r="O43" s="4850"/>
      <c r="P43" s="4850"/>
      <c r="Q43" s="4850"/>
      <c r="R43" s="4850"/>
      <c r="S43" s="4850"/>
      <c r="T43" s="4850"/>
      <c r="U43" s="4850"/>
      <c r="V43" s="4850"/>
      <c r="W43" s="4850"/>
      <c r="X43" s="4850"/>
      <c r="Y43" s="4851"/>
    </row>
    <row r="45" spans="1:25" ht="14.5" thickBot="1" x14ac:dyDescent="0.35"/>
    <row r="46" spans="1:25" ht="14.5" thickBot="1" x14ac:dyDescent="0.35">
      <c r="D46" s="2321" t="s">
        <v>97</v>
      </c>
      <c r="E46" s="2321"/>
      <c r="F46" s="2322">
        <v>2002</v>
      </c>
      <c r="G46" s="2322">
        <v>2003</v>
      </c>
      <c r="H46" s="2322">
        <v>2004</v>
      </c>
      <c r="I46" s="2322">
        <v>2005</v>
      </c>
      <c r="J46" s="2322">
        <v>2006</v>
      </c>
      <c r="K46" s="2322">
        <v>2007</v>
      </c>
      <c r="L46" s="2322">
        <v>2008</v>
      </c>
      <c r="M46" s="2322">
        <v>2009</v>
      </c>
      <c r="N46" s="2322">
        <v>2010</v>
      </c>
      <c r="O46" s="2322">
        <v>2011</v>
      </c>
      <c r="P46" s="2322">
        <v>2012</v>
      </c>
      <c r="Q46" s="2322">
        <v>2013</v>
      </c>
      <c r="R46" s="2322">
        <v>2014</v>
      </c>
      <c r="S46" s="2322">
        <v>2015</v>
      </c>
      <c r="T46" s="2322">
        <v>2016</v>
      </c>
      <c r="U46" s="2322">
        <v>2017</v>
      </c>
      <c r="V46" s="2323">
        <v>2018</v>
      </c>
    </row>
    <row r="47" spans="1:25" x14ac:dyDescent="0.3">
      <c r="D47" s="2324" t="s">
        <v>866</v>
      </c>
      <c r="E47" s="2325"/>
      <c r="F47" s="2326"/>
      <c r="G47" s="2327"/>
      <c r="H47" s="2327"/>
      <c r="I47" s="2327"/>
      <c r="J47" s="2327"/>
      <c r="K47" s="2327"/>
      <c r="L47" s="2327"/>
      <c r="M47" s="2327"/>
      <c r="N47" s="2327"/>
      <c r="O47" s="2327"/>
      <c r="P47" s="2327"/>
      <c r="Q47" s="2327"/>
      <c r="R47" s="2327"/>
      <c r="S47" s="2327"/>
      <c r="T47" s="2327"/>
      <c r="U47" s="2327"/>
      <c r="V47" s="2328"/>
    </row>
    <row r="48" spans="1:25" x14ac:dyDescent="0.3">
      <c r="D48" s="2293" t="s">
        <v>867</v>
      </c>
      <c r="E48" s="2329"/>
      <c r="F48" s="2326"/>
      <c r="G48" s="2327"/>
      <c r="H48" s="2327"/>
      <c r="I48" s="2327"/>
      <c r="J48" s="2327"/>
      <c r="K48" s="2327"/>
      <c r="L48" s="2327"/>
      <c r="M48" s="2327"/>
      <c r="N48" s="2327"/>
      <c r="O48" s="2327"/>
      <c r="P48" s="2327"/>
      <c r="Q48" s="2327"/>
      <c r="R48" s="2327"/>
      <c r="S48" s="2327"/>
      <c r="T48" s="2327"/>
      <c r="U48" s="2327">
        <v>26.3</v>
      </c>
      <c r="V48" s="2328"/>
    </row>
    <row r="49" spans="4:22" x14ac:dyDescent="0.3">
      <c r="D49" s="2293" t="s">
        <v>880</v>
      </c>
      <c r="E49" s="2329"/>
      <c r="F49" s="2330"/>
      <c r="G49" s="2327"/>
      <c r="H49" s="2327"/>
      <c r="I49" s="2327"/>
      <c r="J49" s="2327"/>
      <c r="K49" s="2327"/>
      <c r="L49" s="2327"/>
      <c r="M49" s="2327"/>
      <c r="N49" s="2327"/>
      <c r="O49" s="2327"/>
      <c r="P49" s="2327"/>
      <c r="Q49" s="2327"/>
      <c r="R49" s="2327"/>
      <c r="S49" s="2327"/>
      <c r="T49" s="2327"/>
      <c r="U49" s="2327"/>
      <c r="V49" s="2328"/>
    </row>
    <row r="50" spans="4:22" x14ac:dyDescent="0.3">
      <c r="D50" s="2293" t="s">
        <v>881</v>
      </c>
      <c r="E50" s="2329"/>
      <c r="F50" s="2330"/>
      <c r="G50" s="2327"/>
      <c r="H50" s="2327"/>
      <c r="I50" s="2327"/>
      <c r="J50" s="2327"/>
      <c r="K50" s="2327"/>
      <c r="L50" s="2327"/>
      <c r="M50" s="2327"/>
      <c r="N50" s="2327"/>
      <c r="O50" s="2327"/>
      <c r="P50" s="2327"/>
      <c r="Q50" s="2327"/>
      <c r="R50" s="2327"/>
      <c r="S50" s="2327"/>
      <c r="T50" s="2327"/>
      <c r="U50" s="2327"/>
      <c r="V50" s="2328"/>
    </row>
    <row r="51" spans="4:22" x14ac:dyDescent="0.3">
      <c r="D51" s="2293" t="s">
        <v>868</v>
      </c>
      <c r="E51" s="2329"/>
      <c r="F51" s="2326"/>
      <c r="G51" s="2327"/>
      <c r="H51" s="2327"/>
      <c r="I51" s="2327"/>
      <c r="J51" s="2327"/>
      <c r="K51" s="2327"/>
      <c r="L51" s="2327"/>
      <c r="M51" s="2327"/>
      <c r="N51" s="2327"/>
      <c r="O51" s="2327"/>
      <c r="P51" s="2327"/>
      <c r="Q51" s="2327"/>
      <c r="R51" s="2327"/>
      <c r="S51" s="2327"/>
      <c r="T51" s="2327"/>
      <c r="U51" s="2327">
        <v>20.6</v>
      </c>
      <c r="V51" s="2328"/>
    </row>
    <row r="52" spans="4:22" x14ac:dyDescent="0.3">
      <c r="D52" s="2331" t="s">
        <v>882</v>
      </c>
      <c r="E52" s="2329"/>
      <c r="F52" s="2326"/>
      <c r="G52" s="2327"/>
      <c r="H52" s="2327"/>
      <c r="I52" s="2327"/>
      <c r="J52" s="2327"/>
      <c r="K52" s="2327"/>
      <c r="L52" s="2327"/>
      <c r="M52" s="2327"/>
      <c r="N52" s="2327"/>
      <c r="O52" s="2327"/>
      <c r="P52" s="2327"/>
      <c r="Q52" s="2327"/>
      <c r="R52" s="2327"/>
      <c r="S52" s="2327"/>
      <c r="T52" s="2327"/>
      <c r="U52" s="2327"/>
      <c r="V52" s="2328"/>
    </row>
    <row r="53" spans="4:22" x14ac:dyDescent="0.3">
      <c r="D53" s="2332" t="s">
        <v>883</v>
      </c>
      <c r="E53" s="2329"/>
      <c r="F53" s="2330"/>
      <c r="G53" s="2327"/>
      <c r="H53" s="2327"/>
      <c r="I53" s="2327"/>
      <c r="J53" s="2327"/>
      <c r="K53" s="2327"/>
      <c r="L53" s="2327"/>
      <c r="M53" s="2327"/>
      <c r="N53" s="2327"/>
      <c r="O53" s="2327"/>
      <c r="P53" s="2327"/>
      <c r="Q53" s="2327"/>
      <c r="R53" s="2327"/>
      <c r="S53" s="2327"/>
      <c r="T53" s="2327"/>
      <c r="U53" s="2327"/>
      <c r="V53" s="2328"/>
    </row>
    <row r="54" spans="4:22" x14ac:dyDescent="0.3">
      <c r="D54" s="2332" t="s">
        <v>884</v>
      </c>
      <c r="E54" s="2329"/>
      <c r="F54" s="2330"/>
      <c r="G54" s="2327"/>
      <c r="H54" s="2327"/>
      <c r="I54" s="2327"/>
      <c r="J54" s="2327"/>
      <c r="K54" s="2327"/>
      <c r="L54" s="2327"/>
      <c r="M54" s="2327"/>
      <c r="N54" s="2327"/>
      <c r="O54" s="2327"/>
      <c r="P54" s="2327"/>
      <c r="Q54" s="2327"/>
      <c r="R54" s="2327"/>
      <c r="S54" s="2327"/>
      <c r="T54" s="2327"/>
      <c r="U54" s="2327"/>
      <c r="V54" s="2328"/>
    </row>
    <row r="55" spans="4:22" ht="14.5" thickBot="1" x14ac:dyDescent="0.35">
      <c r="D55" s="2333" t="s">
        <v>869</v>
      </c>
      <c r="E55" s="2334"/>
      <c r="F55" s="2335">
        <v>11.4</v>
      </c>
      <c r="G55" s="2336"/>
      <c r="H55" s="2336"/>
      <c r="I55" s="2336">
        <v>10.8</v>
      </c>
      <c r="J55" s="2336"/>
      <c r="K55" s="2336"/>
      <c r="L55" s="2336">
        <v>10.9</v>
      </c>
      <c r="M55" s="2336"/>
      <c r="N55" s="2336"/>
      <c r="O55" s="2336"/>
      <c r="P55" s="2336">
        <v>12.2</v>
      </c>
      <c r="Q55" s="2336"/>
      <c r="R55" s="2336"/>
      <c r="S55" s="2336"/>
      <c r="T55" s="2336"/>
      <c r="U55" s="2336"/>
      <c r="V55" s="2337"/>
    </row>
    <row r="58" spans="4:22" x14ac:dyDescent="0.3">
      <c r="D58" s="1764" t="s">
        <v>885</v>
      </c>
    </row>
  </sheetData>
  <mergeCells count="8">
    <mergeCell ref="D42:Y42"/>
    <mergeCell ref="D43:Y43"/>
    <mergeCell ref="D2:Z2"/>
    <mergeCell ref="D3:Z3"/>
    <mergeCell ref="D4:Z4"/>
    <mergeCell ref="D5:Z5"/>
    <mergeCell ref="D38:Y38"/>
    <mergeCell ref="D41:Y41"/>
  </mergeCells>
  <pageMargins left="0.74803149606299213" right="0.74803149606299213" top="4.3124999999999997E-2" bottom="0.98425196850393704" header="0.51181102362204722" footer="0.51181102362204722"/>
  <pageSetup paperSize="9" scale="66" orientation="landscape" r:id="rId1"/>
  <headerFooter alignWithMargins="0">
    <oddFooter>&amp;LDepartment of Planning, Monitoring and Evaluation (DPME). &amp;CPage &amp;P of &amp;N&amp;R&amp;D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2:AF81"/>
  <sheetViews>
    <sheetView showGridLines="0" zoomScaleNormal="100" zoomScaleSheetLayoutView="100" workbookViewId="0">
      <selection activeCell="O13" sqref="O13"/>
    </sheetView>
  </sheetViews>
  <sheetFormatPr defaultColWidth="9.1796875" defaultRowHeight="14" x14ac:dyDescent="0.3"/>
  <cols>
    <col min="1" max="1" width="3.7265625" style="2070" customWidth="1"/>
    <col min="2" max="2" width="14.453125" style="1768" customWidth="1"/>
    <col min="3" max="3" width="3.7265625" style="1768" customWidth="1"/>
    <col min="4" max="4" width="17.54296875" style="1764" customWidth="1"/>
    <col min="5" max="5" width="6.81640625" style="1764" customWidth="1"/>
    <col min="6" max="8" width="11.453125" style="1764" bestFit="1" customWidth="1"/>
    <col min="9" max="10" width="9.7265625" style="1764" bestFit="1" customWidth="1"/>
    <col min="11" max="11" width="9.7265625" style="1764" customWidth="1"/>
    <col min="12" max="12" width="9.453125" style="1764" customWidth="1"/>
    <col min="13" max="13" width="9.81640625" style="1764" customWidth="1"/>
    <col min="14" max="14" width="9" style="1764" customWidth="1"/>
    <col min="15" max="16" width="6.81640625" style="1764" customWidth="1"/>
    <col min="17" max="17" width="8.81640625" style="1764" bestFit="1" customWidth="1"/>
    <col min="18" max="18" width="9.54296875" style="1764" customWidth="1"/>
    <col min="19" max="23" width="6.81640625" style="1764" customWidth="1"/>
    <col min="24" max="259" width="9.1796875" style="1764"/>
    <col min="260" max="260" width="3.7265625" style="1764" customWidth="1"/>
    <col min="261" max="261" width="14.453125" style="1764" customWidth="1"/>
    <col min="262" max="262" width="3.7265625" style="1764" customWidth="1"/>
    <col min="263" max="263" width="14.1796875" style="1764" customWidth="1"/>
    <col min="264" max="278" width="6.81640625" style="1764" customWidth="1"/>
    <col min="279" max="515" width="9.1796875" style="1764"/>
    <col min="516" max="516" width="3.7265625" style="1764" customWidth="1"/>
    <col min="517" max="517" width="14.453125" style="1764" customWidth="1"/>
    <col min="518" max="518" width="3.7265625" style="1764" customWidth="1"/>
    <col min="519" max="519" width="14.1796875" style="1764" customWidth="1"/>
    <col min="520" max="534" width="6.81640625" style="1764" customWidth="1"/>
    <col min="535" max="771" width="9.1796875" style="1764"/>
    <col min="772" max="772" width="3.7265625" style="1764" customWidth="1"/>
    <col min="773" max="773" width="14.453125" style="1764" customWidth="1"/>
    <col min="774" max="774" width="3.7265625" style="1764" customWidth="1"/>
    <col min="775" max="775" width="14.1796875" style="1764" customWidth="1"/>
    <col min="776" max="790" width="6.81640625" style="1764" customWidth="1"/>
    <col min="791" max="1027" width="9.1796875" style="1764"/>
    <col min="1028" max="1028" width="3.7265625" style="1764" customWidth="1"/>
    <col min="1029" max="1029" width="14.453125" style="1764" customWidth="1"/>
    <col min="1030" max="1030" width="3.7265625" style="1764" customWidth="1"/>
    <col min="1031" max="1031" width="14.1796875" style="1764" customWidth="1"/>
    <col min="1032" max="1046" width="6.81640625" style="1764" customWidth="1"/>
    <col min="1047" max="1283" width="9.1796875" style="1764"/>
    <col min="1284" max="1284" width="3.7265625" style="1764" customWidth="1"/>
    <col min="1285" max="1285" width="14.453125" style="1764" customWidth="1"/>
    <col min="1286" max="1286" width="3.7265625" style="1764" customWidth="1"/>
    <col min="1287" max="1287" width="14.1796875" style="1764" customWidth="1"/>
    <col min="1288" max="1302" width="6.81640625" style="1764" customWidth="1"/>
    <col min="1303" max="1539" width="9.1796875" style="1764"/>
    <col min="1540" max="1540" width="3.7265625" style="1764" customWidth="1"/>
    <col min="1541" max="1541" width="14.453125" style="1764" customWidth="1"/>
    <col min="1542" max="1542" width="3.7265625" style="1764" customWidth="1"/>
    <col min="1543" max="1543" width="14.1796875" style="1764" customWidth="1"/>
    <col min="1544" max="1558" width="6.81640625" style="1764" customWidth="1"/>
    <col min="1559" max="1795" width="9.1796875" style="1764"/>
    <col min="1796" max="1796" width="3.7265625" style="1764" customWidth="1"/>
    <col min="1797" max="1797" width="14.453125" style="1764" customWidth="1"/>
    <col min="1798" max="1798" width="3.7265625" style="1764" customWidth="1"/>
    <col min="1799" max="1799" width="14.1796875" style="1764" customWidth="1"/>
    <col min="1800" max="1814" width="6.81640625" style="1764" customWidth="1"/>
    <col min="1815" max="2051" width="9.1796875" style="1764"/>
    <col min="2052" max="2052" width="3.7265625" style="1764" customWidth="1"/>
    <col min="2053" max="2053" width="14.453125" style="1764" customWidth="1"/>
    <col min="2054" max="2054" width="3.7265625" style="1764" customWidth="1"/>
    <col min="2055" max="2055" width="14.1796875" style="1764" customWidth="1"/>
    <col min="2056" max="2070" width="6.81640625" style="1764" customWidth="1"/>
    <col min="2071" max="2307" width="9.1796875" style="1764"/>
    <col min="2308" max="2308" width="3.7265625" style="1764" customWidth="1"/>
    <col min="2309" max="2309" width="14.453125" style="1764" customWidth="1"/>
    <col min="2310" max="2310" width="3.7265625" style="1764" customWidth="1"/>
    <col min="2311" max="2311" width="14.1796875" style="1764" customWidth="1"/>
    <col min="2312" max="2326" width="6.81640625" style="1764" customWidth="1"/>
    <col min="2327" max="2563" width="9.1796875" style="1764"/>
    <col min="2564" max="2564" width="3.7265625" style="1764" customWidth="1"/>
    <col min="2565" max="2565" width="14.453125" style="1764" customWidth="1"/>
    <col min="2566" max="2566" width="3.7265625" style="1764" customWidth="1"/>
    <col min="2567" max="2567" width="14.1796875" style="1764" customWidth="1"/>
    <col min="2568" max="2582" width="6.81640625" style="1764" customWidth="1"/>
    <col min="2583" max="2819" width="9.1796875" style="1764"/>
    <col min="2820" max="2820" width="3.7265625" style="1764" customWidth="1"/>
    <col min="2821" max="2821" width="14.453125" style="1764" customWidth="1"/>
    <col min="2822" max="2822" width="3.7265625" style="1764" customWidth="1"/>
    <col min="2823" max="2823" width="14.1796875" style="1764" customWidth="1"/>
    <col min="2824" max="2838" width="6.81640625" style="1764" customWidth="1"/>
    <col min="2839" max="3075" width="9.1796875" style="1764"/>
    <col min="3076" max="3076" width="3.7265625" style="1764" customWidth="1"/>
    <col min="3077" max="3077" width="14.453125" style="1764" customWidth="1"/>
    <col min="3078" max="3078" width="3.7265625" style="1764" customWidth="1"/>
    <col min="3079" max="3079" width="14.1796875" style="1764" customWidth="1"/>
    <col min="3080" max="3094" width="6.81640625" style="1764" customWidth="1"/>
    <col min="3095" max="3331" width="9.1796875" style="1764"/>
    <col min="3332" max="3332" width="3.7265625" style="1764" customWidth="1"/>
    <col min="3333" max="3333" width="14.453125" style="1764" customWidth="1"/>
    <col min="3334" max="3334" width="3.7265625" style="1764" customWidth="1"/>
    <col min="3335" max="3335" width="14.1796875" style="1764" customWidth="1"/>
    <col min="3336" max="3350" width="6.81640625" style="1764" customWidth="1"/>
    <col min="3351" max="3587" width="9.1796875" style="1764"/>
    <col min="3588" max="3588" width="3.7265625" style="1764" customWidth="1"/>
    <col min="3589" max="3589" width="14.453125" style="1764" customWidth="1"/>
    <col min="3590" max="3590" width="3.7265625" style="1764" customWidth="1"/>
    <col min="3591" max="3591" width="14.1796875" style="1764" customWidth="1"/>
    <col min="3592" max="3606" width="6.81640625" style="1764" customWidth="1"/>
    <col min="3607" max="3843" width="9.1796875" style="1764"/>
    <col min="3844" max="3844" width="3.7265625" style="1764" customWidth="1"/>
    <col min="3845" max="3845" width="14.453125" style="1764" customWidth="1"/>
    <col min="3846" max="3846" width="3.7265625" style="1764" customWidth="1"/>
    <col min="3847" max="3847" width="14.1796875" style="1764" customWidth="1"/>
    <col min="3848" max="3862" width="6.81640625" style="1764" customWidth="1"/>
    <col min="3863" max="4099" width="9.1796875" style="1764"/>
    <col min="4100" max="4100" width="3.7265625" style="1764" customWidth="1"/>
    <col min="4101" max="4101" width="14.453125" style="1764" customWidth="1"/>
    <col min="4102" max="4102" width="3.7265625" style="1764" customWidth="1"/>
    <col min="4103" max="4103" width="14.1796875" style="1764" customWidth="1"/>
    <col min="4104" max="4118" width="6.81640625" style="1764" customWidth="1"/>
    <col min="4119" max="4355" width="9.1796875" style="1764"/>
    <col min="4356" max="4356" width="3.7265625" style="1764" customWidth="1"/>
    <col min="4357" max="4357" width="14.453125" style="1764" customWidth="1"/>
    <col min="4358" max="4358" width="3.7265625" style="1764" customWidth="1"/>
    <col min="4359" max="4359" width="14.1796875" style="1764" customWidth="1"/>
    <col min="4360" max="4374" width="6.81640625" style="1764" customWidth="1"/>
    <col min="4375" max="4611" width="9.1796875" style="1764"/>
    <col min="4612" max="4612" width="3.7265625" style="1764" customWidth="1"/>
    <col min="4613" max="4613" width="14.453125" style="1764" customWidth="1"/>
    <col min="4614" max="4614" width="3.7265625" style="1764" customWidth="1"/>
    <col min="4615" max="4615" width="14.1796875" style="1764" customWidth="1"/>
    <col min="4616" max="4630" width="6.81640625" style="1764" customWidth="1"/>
    <col min="4631" max="4867" width="9.1796875" style="1764"/>
    <col min="4868" max="4868" width="3.7265625" style="1764" customWidth="1"/>
    <col min="4869" max="4869" width="14.453125" style="1764" customWidth="1"/>
    <col min="4870" max="4870" width="3.7265625" style="1764" customWidth="1"/>
    <col min="4871" max="4871" width="14.1796875" style="1764" customWidth="1"/>
    <col min="4872" max="4886" width="6.81640625" style="1764" customWidth="1"/>
    <col min="4887" max="5123" width="9.1796875" style="1764"/>
    <col min="5124" max="5124" width="3.7265625" style="1764" customWidth="1"/>
    <col min="5125" max="5125" width="14.453125" style="1764" customWidth="1"/>
    <col min="5126" max="5126" width="3.7265625" style="1764" customWidth="1"/>
    <col min="5127" max="5127" width="14.1796875" style="1764" customWidth="1"/>
    <col min="5128" max="5142" width="6.81640625" style="1764" customWidth="1"/>
    <col min="5143" max="5379" width="9.1796875" style="1764"/>
    <col min="5380" max="5380" width="3.7265625" style="1764" customWidth="1"/>
    <col min="5381" max="5381" width="14.453125" style="1764" customWidth="1"/>
    <col min="5382" max="5382" width="3.7265625" style="1764" customWidth="1"/>
    <col min="5383" max="5383" width="14.1796875" style="1764" customWidth="1"/>
    <col min="5384" max="5398" width="6.81640625" style="1764" customWidth="1"/>
    <col min="5399" max="5635" width="9.1796875" style="1764"/>
    <col min="5636" max="5636" width="3.7265625" style="1764" customWidth="1"/>
    <col min="5637" max="5637" width="14.453125" style="1764" customWidth="1"/>
    <col min="5638" max="5638" width="3.7265625" style="1764" customWidth="1"/>
    <col min="5639" max="5639" width="14.1796875" style="1764" customWidth="1"/>
    <col min="5640" max="5654" width="6.81640625" style="1764" customWidth="1"/>
    <col min="5655" max="5891" width="9.1796875" style="1764"/>
    <col min="5892" max="5892" width="3.7265625" style="1764" customWidth="1"/>
    <col min="5893" max="5893" width="14.453125" style="1764" customWidth="1"/>
    <col min="5894" max="5894" width="3.7265625" style="1764" customWidth="1"/>
    <col min="5895" max="5895" width="14.1796875" style="1764" customWidth="1"/>
    <col min="5896" max="5910" width="6.81640625" style="1764" customWidth="1"/>
    <col min="5911" max="6147" width="9.1796875" style="1764"/>
    <col min="6148" max="6148" width="3.7265625" style="1764" customWidth="1"/>
    <col min="6149" max="6149" width="14.453125" style="1764" customWidth="1"/>
    <col min="6150" max="6150" width="3.7265625" style="1764" customWidth="1"/>
    <col min="6151" max="6151" width="14.1796875" style="1764" customWidth="1"/>
    <col min="6152" max="6166" width="6.81640625" style="1764" customWidth="1"/>
    <col min="6167" max="6403" width="9.1796875" style="1764"/>
    <col min="6404" max="6404" width="3.7265625" style="1764" customWidth="1"/>
    <col min="6405" max="6405" width="14.453125" style="1764" customWidth="1"/>
    <col min="6406" max="6406" width="3.7265625" style="1764" customWidth="1"/>
    <col min="6407" max="6407" width="14.1796875" style="1764" customWidth="1"/>
    <col min="6408" max="6422" width="6.81640625" style="1764" customWidth="1"/>
    <col min="6423" max="6659" width="9.1796875" style="1764"/>
    <col min="6660" max="6660" width="3.7265625" style="1764" customWidth="1"/>
    <col min="6661" max="6661" width="14.453125" style="1764" customWidth="1"/>
    <col min="6662" max="6662" width="3.7265625" style="1764" customWidth="1"/>
    <col min="6663" max="6663" width="14.1796875" style="1764" customWidth="1"/>
    <col min="6664" max="6678" width="6.81640625" style="1764" customWidth="1"/>
    <col min="6679" max="6915" width="9.1796875" style="1764"/>
    <col min="6916" max="6916" width="3.7265625" style="1764" customWidth="1"/>
    <col min="6917" max="6917" width="14.453125" style="1764" customWidth="1"/>
    <col min="6918" max="6918" width="3.7265625" style="1764" customWidth="1"/>
    <col min="6919" max="6919" width="14.1796875" style="1764" customWidth="1"/>
    <col min="6920" max="6934" width="6.81640625" style="1764" customWidth="1"/>
    <col min="6935" max="7171" width="9.1796875" style="1764"/>
    <col min="7172" max="7172" width="3.7265625" style="1764" customWidth="1"/>
    <col min="7173" max="7173" width="14.453125" style="1764" customWidth="1"/>
    <col min="7174" max="7174" width="3.7265625" style="1764" customWidth="1"/>
    <col min="7175" max="7175" width="14.1796875" style="1764" customWidth="1"/>
    <col min="7176" max="7190" width="6.81640625" style="1764" customWidth="1"/>
    <col min="7191" max="7427" width="9.1796875" style="1764"/>
    <col min="7428" max="7428" width="3.7265625" style="1764" customWidth="1"/>
    <col min="7429" max="7429" width="14.453125" style="1764" customWidth="1"/>
    <col min="7430" max="7430" width="3.7265625" style="1764" customWidth="1"/>
    <col min="7431" max="7431" width="14.1796875" style="1764" customWidth="1"/>
    <col min="7432" max="7446" width="6.81640625" style="1764" customWidth="1"/>
    <col min="7447" max="7683" width="9.1796875" style="1764"/>
    <col min="7684" max="7684" width="3.7265625" style="1764" customWidth="1"/>
    <col min="7685" max="7685" width="14.453125" style="1764" customWidth="1"/>
    <col min="7686" max="7686" width="3.7265625" style="1764" customWidth="1"/>
    <col min="7687" max="7687" width="14.1796875" style="1764" customWidth="1"/>
    <col min="7688" max="7702" width="6.81640625" style="1764" customWidth="1"/>
    <col min="7703" max="7939" width="9.1796875" style="1764"/>
    <col min="7940" max="7940" width="3.7265625" style="1764" customWidth="1"/>
    <col min="7941" max="7941" width="14.453125" style="1764" customWidth="1"/>
    <col min="7942" max="7942" width="3.7265625" style="1764" customWidth="1"/>
    <col min="7943" max="7943" width="14.1796875" style="1764" customWidth="1"/>
    <col min="7944" max="7958" width="6.81640625" style="1764" customWidth="1"/>
    <col min="7959" max="8195" width="9.1796875" style="1764"/>
    <col min="8196" max="8196" width="3.7265625" style="1764" customWidth="1"/>
    <col min="8197" max="8197" width="14.453125" style="1764" customWidth="1"/>
    <col min="8198" max="8198" width="3.7265625" style="1764" customWidth="1"/>
    <col min="8199" max="8199" width="14.1796875" style="1764" customWidth="1"/>
    <col min="8200" max="8214" width="6.81640625" style="1764" customWidth="1"/>
    <col min="8215" max="8451" width="9.1796875" style="1764"/>
    <col min="8452" max="8452" width="3.7265625" style="1764" customWidth="1"/>
    <col min="8453" max="8453" width="14.453125" style="1764" customWidth="1"/>
    <col min="8454" max="8454" width="3.7265625" style="1764" customWidth="1"/>
    <col min="8455" max="8455" width="14.1796875" style="1764" customWidth="1"/>
    <col min="8456" max="8470" width="6.81640625" style="1764" customWidth="1"/>
    <col min="8471" max="8707" width="9.1796875" style="1764"/>
    <col min="8708" max="8708" width="3.7265625" style="1764" customWidth="1"/>
    <col min="8709" max="8709" width="14.453125" style="1764" customWidth="1"/>
    <col min="8710" max="8710" width="3.7265625" style="1764" customWidth="1"/>
    <col min="8711" max="8711" width="14.1796875" style="1764" customWidth="1"/>
    <col min="8712" max="8726" width="6.81640625" style="1764" customWidth="1"/>
    <col min="8727" max="8963" width="9.1796875" style="1764"/>
    <col min="8964" max="8964" width="3.7265625" style="1764" customWidth="1"/>
    <col min="8965" max="8965" width="14.453125" style="1764" customWidth="1"/>
    <col min="8966" max="8966" width="3.7265625" style="1764" customWidth="1"/>
    <col min="8967" max="8967" width="14.1796875" style="1764" customWidth="1"/>
    <col min="8968" max="8982" width="6.81640625" style="1764" customWidth="1"/>
    <col min="8983" max="9219" width="9.1796875" style="1764"/>
    <col min="9220" max="9220" width="3.7265625" style="1764" customWidth="1"/>
    <col min="9221" max="9221" width="14.453125" style="1764" customWidth="1"/>
    <col min="9222" max="9222" width="3.7265625" style="1764" customWidth="1"/>
    <col min="9223" max="9223" width="14.1796875" style="1764" customWidth="1"/>
    <col min="9224" max="9238" width="6.81640625" style="1764" customWidth="1"/>
    <col min="9239" max="9475" width="9.1796875" style="1764"/>
    <col min="9476" max="9476" width="3.7265625" style="1764" customWidth="1"/>
    <col min="9477" max="9477" width="14.453125" style="1764" customWidth="1"/>
    <col min="9478" max="9478" width="3.7265625" style="1764" customWidth="1"/>
    <col min="9479" max="9479" width="14.1796875" style="1764" customWidth="1"/>
    <col min="9480" max="9494" width="6.81640625" style="1764" customWidth="1"/>
    <col min="9495" max="9731" width="9.1796875" style="1764"/>
    <col min="9732" max="9732" width="3.7265625" style="1764" customWidth="1"/>
    <col min="9733" max="9733" width="14.453125" style="1764" customWidth="1"/>
    <col min="9734" max="9734" width="3.7265625" style="1764" customWidth="1"/>
    <col min="9735" max="9735" width="14.1796875" style="1764" customWidth="1"/>
    <col min="9736" max="9750" width="6.81640625" style="1764" customWidth="1"/>
    <col min="9751" max="9987" width="9.1796875" style="1764"/>
    <col min="9988" max="9988" width="3.7265625" style="1764" customWidth="1"/>
    <col min="9989" max="9989" width="14.453125" style="1764" customWidth="1"/>
    <col min="9990" max="9990" width="3.7265625" style="1764" customWidth="1"/>
    <col min="9991" max="9991" width="14.1796875" style="1764" customWidth="1"/>
    <col min="9992" max="10006" width="6.81640625" style="1764" customWidth="1"/>
    <col min="10007" max="10243" width="9.1796875" style="1764"/>
    <col min="10244" max="10244" width="3.7265625" style="1764" customWidth="1"/>
    <col min="10245" max="10245" width="14.453125" style="1764" customWidth="1"/>
    <col min="10246" max="10246" width="3.7265625" style="1764" customWidth="1"/>
    <col min="10247" max="10247" width="14.1796875" style="1764" customWidth="1"/>
    <col min="10248" max="10262" width="6.81640625" style="1764" customWidth="1"/>
    <col min="10263" max="10499" width="9.1796875" style="1764"/>
    <col min="10500" max="10500" width="3.7265625" style="1764" customWidth="1"/>
    <col min="10501" max="10501" width="14.453125" style="1764" customWidth="1"/>
    <col min="10502" max="10502" width="3.7265625" style="1764" customWidth="1"/>
    <col min="10503" max="10503" width="14.1796875" style="1764" customWidth="1"/>
    <col min="10504" max="10518" width="6.81640625" style="1764" customWidth="1"/>
    <col min="10519" max="10755" width="9.1796875" style="1764"/>
    <col min="10756" max="10756" width="3.7265625" style="1764" customWidth="1"/>
    <col min="10757" max="10757" width="14.453125" style="1764" customWidth="1"/>
    <col min="10758" max="10758" width="3.7265625" style="1764" customWidth="1"/>
    <col min="10759" max="10759" width="14.1796875" style="1764" customWidth="1"/>
    <col min="10760" max="10774" width="6.81640625" style="1764" customWidth="1"/>
    <col min="10775" max="11011" width="9.1796875" style="1764"/>
    <col min="11012" max="11012" width="3.7265625" style="1764" customWidth="1"/>
    <col min="11013" max="11013" width="14.453125" style="1764" customWidth="1"/>
    <col min="11014" max="11014" width="3.7265625" style="1764" customWidth="1"/>
    <col min="11015" max="11015" width="14.1796875" style="1764" customWidth="1"/>
    <col min="11016" max="11030" width="6.81640625" style="1764" customWidth="1"/>
    <col min="11031" max="11267" width="9.1796875" style="1764"/>
    <col min="11268" max="11268" width="3.7265625" style="1764" customWidth="1"/>
    <col min="11269" max="11269" width="14.453125" style="1764" customWidth="1"/>
    <col min="11270" max="11270" width="3.7265625" style="1764" customWidth="1"/>
    <col min="11271" max="11271" width="14.1796875" style="1764" customWidth="1"/>
    <col min="11272" max="11286" width="6.81640625" style="1764" customWidth="1"/>
    <col min="11287" max="11523" width="9.1796875" style="1764"/>
    <col min="11524" max="11524" width="3.7265625" style="1764" customWidth="1"/>
    <col min="11525" max="11525" width="14.453125" style="1764" customWidth="1"/>
    <col min="11526" max="11526" width="3.7265625" style="1764" customWidth="1"/>
    <col min="11527" max="11527" width="14.1796875" style="1764" customWidth="1"/>
    <col min="11528" max="11542" width="6.81640625" style="1764" customWidth="1"/>
    <col min="11543" max="11779" width="9.1796875" style="1764"/>
    <col min="11780" max="11780" width="3.7265625" style="1764" customWidth="1"/>
    <col min="11781" max="11781" width="14.453125" style="1764" customWidth="1"/>
    <col min="11782" max="11782" width="3.7265625" style="1764" customWidth="1"/>
    <col min="11783" max="11783" width="14.1796875" style="1764" customWidth="1"/>
    <col min="11784" max="11798" width="6.81640625" style="1764" customWidth="1"/>
    <col min="11799" max="12035" width="9.1796875" style="1764"/>
    <col min="12036" max="12036" width="3.7265625" style="1764" customWidth="1"/>
    <col min="12037" max="12037" width="14.453125" style="1764" customWidth="1"/>
    <col min="12038" max="12038" width="3.7265625" style="1764" customWidth="1"/>
    <col min="12039" max="12039" width="14.1796875" style="1764" customWidth="1"/>
    <col min="12040" max="12054" width="6.81640625" style="1764" customWidth="1"/>
    <col min="12055" max="12291" width="9.1796875" style="1764"/>
    <col min="12292" max="12292" width="3.7265625" style="1764" customWidth="1"/>
    <col min="12293" max="12293" width="14.453125" style="1764" customWidth="1"/>
    <col min="12294" max="12294" width="3.7265625" style="1764" customWidth="1"/>
    <col min="12295" max="12295" width="14.1796875" style="1764" customWidth="1"/>
    <col min="12296" max="12310" width="6.81640625" style="1764" customWidth="1"/>
    <col min="12311" max="12547" width="9.1796875" style="1764"/>
    <col min="12548" max="12548" width="3.7265625" style="1764" customWidth="1"/>
    <col min="12549" max="12549" width="14.453125" style="1764" customWidth="1"/>
    <col min="12550" max="12550" width="3.7265625" style="1764" customWidth="1"/>
    <col min="12551" max="12551" width="14.1796875" style="1764" customWidth="1"/>
    <col min="12552" max="12566" width="6.81640625" style="1764" customWidth="1"/>
    <col min="12567" max="12803" width="9.1796875" style="1764"/>
    <col min="12804" max="12804" width="3.7265625" style="1764" customWidth="1"/>
    <col min="12805" max="12805" width="14.453125" style="1764" customWidth="1"/>
    <col min="12806" max="12806" width="3.7265625" style="1764" customWidth="1"/>
    <col min="12807" max="12807" width="14.1796875" style="1764" customWidth="1"/>
    <col min="12808" max="12822" width="6.81640625" style="1764" customWidth="1"/>
    <col min="12823" max="13059" width="9.1796875" style="1764"/>
    <col min="13060" max="13060" width="3.7265625" style="1764" customWidth="1"/>
    <col min="13061" max="13061" width="14.453125" style="1764" customWidth="1"/>
    <col min="13062" max="13062" width="3.7265625" style="1764" customWidth="1"/>
    <col min="13063" max="13063" width="14.1796875" style="1764" customWidth="1"/>
    <col min="13064" max="13078" width="6.81640625" style="1764" customWidth="1"/>
    <col min="13079" max="13315" width="9.1796875" style="1764"/>
    <col min="13316" max="13316" width="3.7265625" style="1764" customWidth="1"/>
    <col min="13317" max="13317" width="14.453125" style="1764" customWidth="1"/>
    <col min="13318" max="13318" width="3.7265625" style="1764" customWidth="1"/>
    <col min="13319" max="13319" width="14.1796875" style="1764" customWidth="1"/>
    <col min="13320" max="13334" width="6.81640625" style="1764" customWidth="1"/>
    <col min="13335" max="13571" width="9.1796875" style="1764"/>
    <col min="13572" max="13572" width="3.7265625" style="1764" customWidth="1"/>
    <col min="13573" max="13573" width="14.453125" style="1764" customWidth="1"/>
    <col min="13574" max="13574" width="3.7265625" style="1764" customWidth="1"/>
    <col min="13575" max="13575" width="14.1796875" style="1764" customWidth="1"/>
    <col min="13576" max="13590" width="6.81640625" style="1764" customWidth="1"/>
    <col min="13591" max="13827" width="9.1796875" style="1764"/>
    <col min="13828" max="13828" width="3.7265625" style="1764" customWidth="1"/>
    <col min="13829" max="13829" width="14.453125" style="1764" customWidth="1"/>
    <col min="13830" max="13830" width="3.7265625" style="1764" customWidth="1"/>
    <col min="13831" max="13831" width="14.1796875" style="1764" customWidth="1"/>
    <col min="13832" max="13846" width="6.81640625" style="1764" customWidth="1"/>
    <col min="13847" max="14083" width="9.1796875" style="1764"/>
    <col min="14084" max="14084" width="3.7265625" style="1764" customWidth="1"/>
    <col min="14085" max="14085" width="14.453125" style="1764" customWidth="1"/>
    <col min="14086" max="14086" width="3.7265625" style="1764" customWidth="1"/>
    <col min="14087" max="14087" width="14.1796875" style="1764" customWidth="1"/>
    <col min="14088" max="14102" width="6.81640625" style="1764" customWidth="1"/>
    <col min="14103" max="14339" width="9.1796875" style="1764"/>
    <col min="14340" max="14340" width="3.7265625" style="1764" customWidth="1"/>
    <col min="14341" max="14341" width="14.453125" style="1764" customWidth="1"/>
    <col min="14342" max="14342" width="3.7265625" style="1764" customWidth="1"/>
    <col min="14343" max="14343" width="14.1796875" style="1764" customWidth="1"/>
    <col min="14344" max="14358" width="6.81640625" style="1764" customWidth="1"/>
    <col min="14359" max="14595" width="9.1796875" style="1764"/>
    <col min="14596" max="14596" width="3.7265625" style="1764" customWidth="1"/>
    <col min="14597" max="14597" width="14.453125" style="1764" customWidth="1"/>
    <col min="14598" max="14598" width="3.7265625" style="1764" customWidth="1"/>
    <col min="14599" max="14599" width="14.1796875" style="1764" customWidth="1"/>
    <col min="14600" max="14614" width="6.81640625" style="1764" customWidth="1"/>
    <col min="14615" max="14851" width="9.1796875" style="1764"/>
    <col min="14852" max="14852" width="3.7265625" style="1764" customWidth="1"/>
    <col min="14853" max="14853" width="14.453125" style="1764" customWidth="1"/>
    <col min="14854" max="14854" width="3.7265625" style="1764" customWidth="1"/>
    <col min="14855" max="14855" width="14.1796875" style="1764" customWidth="1"/>
    <col min="14856" max="14870" width="6.81640625" style="1764" customWidth="1"/>
    <col min="14871" max="15107" width="9.1796875" style="1764"/>
    <col min="15108" max="15108" width="3.7265625" style="1764" customWidth="1"/>
    <col min="15109" max="15109" width="14.453125" style="1764" customWidth="1"/>
    <col min="15110" max="15110" width="3.7265625" style="1764" customWidth="1"/>
    <col min="15111" max="15111" width="14.1796875" style="1764" customWidth="1"/>
    <col min="15112" max="15126" width="6.81640625" style="1764" customWidth="1"/>
    <col min="15127" max="15363" width="9.1796875" style="1764"/>
    <col min="15364" max="15364" width="3.7265625" style="1764" customWidth="1"/>
    <col min="15365" max="15365" width="14.453125" style="1764" customWidth="1"/>
    <col min="15366" max="15366" width="3.7265625" style="1764" customWidth="1"/>
    <col min="15367" max="15367" width="14.1796875" style="1764" customWidth="1"/>
    <col min="15368" max="15382" width="6.81640625" style="1764" customWidth="1"/>
    <col min="15383" max="15619" width="9.1796875" style="1764"/>
    <col min="15620" max="15620" width="3.7265625" style="1764" customWidth="1"/>
    <col min="15621" max="15621" width="14.453125" style="1764" customWidth="1"/>
    <col min="15622" max="15622" width="3.7265625" style="1764" customWidth="1"/>
    <col min="15623" max="15623" width="14.1796875" style="1764" customWidth="1"/>
    <col min="15624" max="15638" width="6.81640625" style="1764" customWidth="1"/>
    <col min="15639" max="15875" width="9.1796875" style="1764"/>
    <col min="15876" max="15876" width="3.7265625" style="1764" customWidth="1"/>
    <col min="15877" max="15877" width="14.453125" style="1764" customWidth="1"/>
    <col min="15878" max="15878" width="3.7265625" style="1764" customWidth="1"/>
    <col min="15879" max="15879" width="14.1796875" style="1764" customWidth="1"/>
    <col min="15880" max="15894" width="6.81640625" style="1764" customWidth="1"/>
    <col min="15895" max="16131" width="9.1796875" style="1764"/>
    <col min="16132" max="16132" width="3.7265625" style="1764" customWidth="1"/>
    <col min="16133" max="16133" width="14.453125" style="1764" customWidth="1"/>
    <col min="16134" max="16134" width="3.7265625" style="1764" customWidth="1"/>
    <col min="16135" max="16135" width="14.1796875" style="1764" customWidth="1"/>
    <col min="16136" max="16150" width="6.81640625" style="1764" customWidth="1"/>
    <col min="16151" max="16384" width="9.1796875" style="1764"/>
  </cols>
  <sheetData>
    <row r="2" spans="1:27" ht="12" customHeight="1" x14ac:dyDescent="0.3">
      <c r="A2" s="1255">
        <v>1</v>
      </c>
      <c r="B2" s="1255" t="s">
        <v>886</v>
      </c>
      <c r="C2" s="1255">
        <f>1+'[15]HIV Prevalance '!C2</f>
        <v>38</v>
      </c>
      <c r="D2" s="4853" t="s">
        <v>887</v>
      </c>
      <c r="E2" s="4854"/>
      <c r="F2" s="4854"/>
      <c r="G2" s="4854"/>
      <c r="H2" s="4854"/>
      <c r="I2" s="4854"/>
      <c r="J2" s="4854"/>
      <c r="K2" s="4854"/>
      <c r="L2" s="4854"/>
      <c r="M2" s="4854"/>
      <c r="N2" s="4854"/>
      <c r="O2" s="4854"/>
      <c r="P2" s="4854"/>
      <c r="Q2" s="4854"/>
      <c r="R2" s="4854"/>
      <c r="S2" s="4854"/>
      <c r="T2" s="4854"/>
      <c r="U2" s="4854"/>
      <c r="V2" s="4855"/>
      <c r="W2" s="1784"/>
    </row>
    <row r="3" spans="1:27" ht="14.15" customHeight="1" x14ac:dyDescent="0.3">
      <c r="A3" s="1255">
        <v>2</v>
      </c>
      <c r="B3" s="1255" t="s">
        <v>888</v>
      </c>
      <c r="C3" s="1255"/>
      <c r="D3" s="4715" t="s">
        <v>761</v>
      </c>
      <c r="E3" s="4716"/>
      <c r="F3" s="4716"/>
      <c r="G3" s="4716"/>
      <c r="H3" s="4716"/>
      <c r="I3" s="4716"/>
      <c r="J3" s="4716"/>
      <c r="K3" s="4716"/>
      <c r="L3" s="4716"/>
      <c r="M3" s="4716"/>
      <c r="N3" s="4716"/>
      <c r="O3" s="4716"/>
      <c r="P3" s="4716"/>
      <c r="Q3" s="4716"/>
      <c r="R3" s="4716"/>
      <c r="S3" s="4716"/>
      <c r="T3" s="4716"/>
      <c r="U3" s="4716"/>
      <c r="V3" s="4717"/>
      <c r="W3" s="1784"/>
    </row>
    <row r="4" spans="1:27" ht="14.25" customHeight="1" x14ac:dyDescent="0.3">
      <c r="A4" s="1255">
        <v>3</v>
      </c>
      <c r="B4" s="1255" t="s">
        <v>4</v>
      </c>
      <c r="C4" s="1255"/>
      <c r="D4" s="4715" t="s">
        <v>762</v>
      </c>
      <c r="E4" s="4716"/>
      <c r="F4" s="4716"/>
      <c r="G4" s="4716"/>
      <c r="H4" s="4716"/>
      <c r="I4" s="4716"/>
      <c r="J4" s="4716"/>
      <c r="K4" s="4716"/>
      <c r="L4" s="4716"/>
      <c r="M4" s="4716"/>
      <c r="N4" s="4716"/>
      <c r="O4" s="4716"/>
      <c r="P4" s="4716"/>
      <c r="Q4" s="4716"/>
      <c r="R4" s="4716"/>
      <c r="S4" s="4716"/>
      <c r="T4" s="4716"/>
      <c r="U4" s="4716"/>
      <c r="V4" s="4717"/>
      <c r="W4" s="1784"/>
      <c r="X4" s="2338"/>
      <c r="Y4" s="2338"/>
      <c r="Z4" s="2338"/>
      <c r="AA4" s="2339"/>
    </row>
    <row r="5" spans="1:27" ht="14.25" customHeight="1" x14ac:dyDescent="0.3">
      <c r="A5" s="1255">
        <v>4</v>
      </c>
      <c r="B5" s="1255" t="s">
        <v>763</v>
      </c>
      <c r="C5" s="1255"/>
      <c r="D5" s="4834" t="s">
        <v>889</v>
      </c>
      <c r="E5" s="4835"/>
      <c r="F5" s="4835"/>
      <c r="G5" s="4835"/>
      <c r="H5" s="4835"/>
      <c r="I5" s="4835"/>
      <c r="J5" s="4835"/>
      <c r="K5" s="4835"/>
      <c r="L5" s="4835"/>
      <c r="M5" s="4835"/>
      <c r="N5" s="4835"/>
      <c r="O5" s="4835"/>
      <c r="P5" s="4835"/>
      <c r="Q5" s="4835"/>
      <c r="R5" s="4835"/>
      <c r="S5" s="4835"/>
      <c r="T5" s="4835"/>
      <c r="U5" s="4835"/>
      <c r="V5" s="4836"/>
      <c r="W5" s="1784"/>
      <c r="X5" s="2166"/>
      <c r="Y5" s="2166"/>
      <c r="Z5" s="2166"/>
      <c r="AA5" s="2166"/>
    </row>
    <row r="6" spans="1:27" x14ac:dyDescent="0.3">
      <c r="A6" s="1764"/>
      <c r="B6" s="1764"/>
      <c r="C6" s="728"/>
      <c r="W6" s="1784"/>
    </row>
    <row r="7" spans="1:27" s="1265" customFormat="1" ht="13" x14ac:dyDescent="0.25">
      <c r="A7" s="1255">
        <v>5</v>
      </c>
      <c r="B7" s="728" t="s">
        <v>6</v>
      </c>
      <c r="C7" s="1260"/>
      <c r="D7" s="1629" t="s">
        <v>7</v>
      </c>
      <c r="E7" s="1629" t="s">
        <v>890</v>
      </c>
      <c r="F7" s="1629"/>
      <c r="G7" s="1629"/>
      <c r="H7" s="1629"/>
      <c r="I7" s="1629"/>
      <c r="J7" s="1629"/>
      <c r="K7" s="1629"/>
      <c r="L7" s="1629"/>
      <c r="M7" s="1270"/>
      <c r="N7" s="1270"/>
      <c r="O7" s="1270"/>
      <c r="P7" s="1270"/>
      <c r="Q7" s="1270"/>
      <c r="R7" s="1270"/>
      <c r="S7" s="1270"/>
      <c r="T7" s="1270"/>
      <c r="U7" s="1270"/>
      <c r="V7" s="1270"/>
    </row>
    <row r="8" spans="1:27" s="1265" customFormat="1" ht="10.5" x14ac:dyDescent="0.25">
      <c r="A8" s="1259"/>
      <c r="B8" s="1260"/>
      <c r="C8" s="1260"/>
      <c r="D8" s="1273"/>
      <c r="E8" s="2177">
        <v>2005</v>
      </c>
      <c r="F8" s="2177">
        <v>2006</v>
      </c>
      <c r="G8" s="2177">
        <v>2007</v>
      </c>
      <c r="H8" s="1469">
        <v>2008</v>
      </c>
      <c r="I8" s="1469">
        <v>2009</v>
      </c>
      <c r="J8" s="1469">
        <v>2010</v>
      </c>
      <c r="K8" s="1469">
        <v>2011</v>
      </c>
      <c r="L8" s="1469">
        <v>2012</v>
      </c>
      <c r="M8" s="1469">
        <v>2013</v>
      </c>
      <c r="N8" s="1469">
        <v>2014</v>
      </c>
      <c r="O8" s="1469">
        <v>2015</v>
      </c>
      <c r="P8" s="1470">
        <v>2016</v>
      </c>
      <c r="Q8" s="1470">
        <v>2017</v>
      </c>
      <c r="R8" s="1470">
        <v>2018</v>
      </c>
      <c r="S8" s="1470">
        <v>2019</v>
      </c>
      <c r="T8" s="2340"/>
      <c r="U8" s="2340"/>
      <c r="V8" s="2340"/>
      <c r="W8" s="2340"/>
    </row>
    <row r="9" spans="1:27" ht="21" x14ac:dyDescent="0.3">
      <c r="D9" s="2341" t="s">
        <v>891</v>
      </c>
      <c r="E9" s="2342">
        <v>5157</v>
      </c>
      <c r="F9" s="2342">
        <v>36103</v>
      </c>
      <c r="G9" s="2342">
        <v>79821</v>
      </c>
      <c r="H9" s="2342">
        <v>154855</v>
      </c>
      <c r="I9" s="2342">
        <v>480031</v>
      </c>
      <c r="J9" s="2342">
        <v>741540</v>
      </c>
      <c r="K9" s="2342">
        <v>1337630</v>
      </c>
      <c r="L9" s="2342">
        <v>2029509</v>
      </c>
      <c r="M9" s="2342">
        <v>2472591</v>
      </c>
      <c r="N9" s="2342">
        <v>2760890</v>
      </c>
      <c r="O9" s="2342">
        <v>3064920</v>
      </c>
      <c r="P9" s="2342">
        <v>3549268</v>
      </c>
      <c r="Q9" s="2342">
        <v>3923464</v>
      </c>
      <c r="R9" s="2342">
        <v>4338833</v>
      </c>
      <c r="S9" s="2342">
        <v>4770460</v>
      </c>
      <c r="T9" s="2343"/>
      <c r="U9" s="2343"/>
      <c r="V9" s="2343"/>
      <c r="W9" s="2343"/>
    </row>
    <row r="10" spans="1:27" ht="21" x14ac:dyDescent="0.3">
      <c r="D10" s="2341" t="s">
        <v>892</v>
      </c>
      <c r="E10" s="2342">
        <v>367</v>
      </c>
      <c r="F10" s="2342">
        <v>2020</v>
      </c>
      <c r="G10" s="2342">
        <v>4895</v>
      </c>
      <c r="H10" s="2342">
        <v>8040</v>
      </c>
      <c r="I10" s="2342">
        <v>37097</v>
      </c>
      <c r="J10" s="2342">
        <v>56923</v>
      </c>
      <c r="K10" s="2342">
        <v>100350</v>
      </c>
      <c r="L10" s="2342">
        <v>139104</v>
      </c>
      <c r="M10" s="2342">
        <v>156857</v>
      </c>
      <c r="N10" s="2342">
        <v>159707</v>
      </c>
      <c r="O10" s="2342">
        <v>146864</v>
      </c>
      <c r="P10" s="2342">
        <v>166852</v>
      </c>
      <c r="Q10" s="2342">
        <v>162764</v>
      </c>
      <c r="R10" s="2342">
        <v>157304</v>
      </c>
      <c r="S10" s="2342">
        <v>152060</v>
      </c>
      <c r="T10" s="2343"/>
      <c r="U10" s="2343"/>
      <c r="V10" s="2343"/>
      <c r="W10" s="2343"/>
    </row>
    <row r="11" spans="1:27" ht="21.75" customHeight="1" x14ac:dyDescent="0.3">
      <c r="D11" s="2344" t="s">
        <v>893</v>
      </c>
      <c r="E11" s="2345">
        <f t="shared" ref="E11:Q11" si="0">SUM(E9:E10)</f>
        <v>5524</v>
      </c>
      <c r="F11" s="2345">
        <f t="shared" si="0"/>
        <v>38123</v>
      </c>
      <c r="G11" s="2345">
        <f t="shared" si="0"/>
        <v>84716</v>
      </c>
      <c r="H11" s="2345">
        <f t="shared" si="0"/>
        <v>162895</v>
      </c>
      <c r="I11" s="2345">
        <f t="shared" si="0"/>
        <v>517128</v>
      </c>
      <c r="J11" s="2345">
        <f t="shared" si="0"/>
        <v>798463</v>
      </c>
      <c r="K11" s="2345">
        <f t="shared" si="0"/>
        <v>1437980</v>
      </c>
      <c r="L11" s="2345">
        <f t="shared" si="0"/>
        <v>2168613</v>
      </c>
      <c r="M11" s="2345">
        <f t="shared" si="0"/>
        <v>2629448</v>
      </c>
      <c r="N11" s="2345">
        <f t="shared" si="0"/>
        <v>2920597</v>
      </c>
      <c r="O11" s="2345">
        <f t="shared" si="0"/>
        <v>3211784</v>
      </c>
      <c r="P11" s="2346">
        <f t="shared" si="0"/>
        <v>3716120</v>
      </c>
      <c r="Q11" s="2346">
        <f t="shared" si="0"/>
        <v>4086228</v>
      </c>
      <c r="R11" s="2347">
        <v>4496137</v>
      </c>
      <c r="S11" s="2348">
        <v>4922520</v>
      </c>
      <c r="T11" s="2349"/>
      <c r="U11" s="2349"/>
      <c r="V11" s="2349"/>
      <c r="W11" s="2349"/>
    </row>
    <row r="12" spans="1:27" ht="21.75" customHeight="1" x14ac:dyDescent="0.3">
      <c r="D12" s="1642"/>
      <c r="E12" s="2350"/>
      <c r="F12" s="2350"/>
      <c r="G12" s="2350"/>
      <c r="H12" s="2350"/>
      <c r="I12" s="2350"/>
      <c r="J12" s="2350"/>
      <c r="K12" s="2350"/>
      <c r="L12" s="2350"/>
      <c r="M12" s="2350"/>
      <c r="N12" s="2350"/>
      <c r="O12" s="2350"/>
      <c r="P12" s="2350"/>
      <c r="Q12" s="2350"/>
      <c r="S12" s="2351"/>
      <c r="T12" s="2349"/>
      <c r="U12" s="2349"/>
      <c r="V12" s="2349"/>
      <c r="W12" s="2349"/>
    </row>
    <row r="13" spans="1:27" x14ac:dyDescent="0.3">
      <c r="A13" s="1255"/>
      <c r="B13" s="1255"/>
      <c r="C13" s="1255"/>
      <c r="E13" s="2352"/>
    </row>
    <row r="14" spans="1:27" x14ac:dyDescent="0.3">
      <c r="A14" s="1255">
        <v>6</v>
      </c>
      <c r="B14" s="728" t="s">
        <v>56</v>
      </c>
    </row>
    <row r="17" spans="1:25" x14ac:dyDescent="0.3">
      <c r="B17" s="2162"/>
      <c r="C17" s="2162"/>
    </row>
    <row r="20" spans="1:25" x14ac:dyDescent="0.3">
      <c r="Y20" s="1847"/>
    </row>
    <row r="23" spans="1:25" x14ac:dyDescent="0.3">
      <c r="Y23" s="2353"/>
    </row>
    <row r="25" spans="1:25" x14ac:dyDescent="0.3">
      <c r="X25" s="2354"/>
    </row>
    <row r="27" spans="1:25" ht="65.25" customHeight="1" x14ac:dyDescent="0.3"/>
    <row r="29" spans="1:25" x14ac:dyDescent="0.3">
      <c r="A29" s="2070">
        <v>7</v>
      </c>
      <c r="B29" s="1255" t="s">
        <v>58</v>
      </c>
      <c r="D29" s="4733" t="s">
        <v>894</v>
      </c>
      <c r="E29" s="4734"/>
      <c r="F29" s="4734"/>
      <c r="G29" s="4734"/>
      <c r="H29" s="4734"/>
      <c r="I29" s="4734"/>
      <c r="J29" s="4734"/>
      <c r="K29" s="4734"/>
      <c r="L29" s="4734"/>
      <c r="M29" s="4734"/>
      <c r="N29" s="4734"/>
      <c r="O29" s="4734"/>
      <c r="P29" s="4734"/>
      <c r="Q29" s="4734"/>
      <c r="R29" s="4734"/>
      <c r="S29" s="4734"/>
      <c r="T29" s="4734"/>
      <c r="U29" s="4734"/>
      <c r="V29" s="4735"/>
    </row>
    <row r="30" spans="1:25" ht="41.25" customHeight="1" x14ac:dyDescent="0.3">
      <c r="A30" s="1255">
        <v>8</v>
      </c>
      <c r="B30" s="1255" t="s">
        <v>60</v>
      </c>
      <c r="C30" s="1255"/>
      <c r="D30" s="4837" t="s">
        <v>895</v>
      </c>
      <c r="E30" s="4838"/>
      <c r="F30" s="4838"/>
      <c r="G30" s="4838"/>
      <c r="H30" s="4838"/>
      <c r="I30" s="4838"/>
      <c r="J30" s="4838"/>
      <c r="K30" s="4838"/>
      <c r="L30" s="4838"/>
      <c r="M30" s="4838"/>
      <c r="N30" s="4838"/>
      <c r="O30" s="4838"/>
      <c r="P30" s="4838"/>
      <c r="Q30" s="4838"/>
      <c r="R30" s="4838"/>
      <c r="S30" s="4838"/>
      <c r="T30" s="4838"/>
      <c r="U30" s="4838"/>
      <c r="V30" s="4839"/>
    </row>
    <row r="31" spans="1:25" ht="14.25" customHeight="1" x14ac:dyDescent="0.3">
      <c r="A31" s="1306">
        <v>9</v>
      </c>
      <c r="B31" s="1306" t="s">
        <v>62</v>
      </c>
      <c r="C31" s="1306"/>
      <c r="D31" s="4837" t="s">
        <v>850</v>
      </c>
      <c r="E31" s="4838"/>
      <c r="F31" s="4838"/>
      <c r="G31" s="4838"/>
      <c r="H31" s="4838"/>
      <c r="I31" s="4838"/>
      <c r="J31" s="4838"/>
      <c r="K31" s="4838"/>
      <c r="L31" s="4838"/>
      <c r="M31" s="4838"/>
      <c r="N31" s="4838"/>
      <c r="O31" s="4838"/>
      <c r="P31" s="4838"/>
      <c r="Q31" s="4838"/>
      <c r="R31" s="4838"/>
      <c r="S31" s="4838"/>
      <c r="T31" s="4838"/>
      <c r="U31" s="4838"/>
      <c r="V31" s="4839"/>
    </row>
    <row r="32" spans="1:25" ht="27.75" customHeight="1" x14ac:dyDescent="0.3">
      <c r="A32" s="1306">
        <v>10</v>
      </c>
      <c r="B32" s="1255" t="s">
        <v>134</v>
      </c>
      <c r="C32" s="1255"/>
      <c r="D32" s="4733"/>
      <c r="E32" s="4734"/>
      <c r="F32" s="4734"/>
      <c r="G32" s="4734"/>
      <c r="H32" s="4734"/>
      <c r="I32" s="4734"/>
      <c r="J32" s="4734"/>
      <c r="K32" s="4734"/>
      <c r="L32" s="4734"/>
      <c r="M32" s="4734"/>
      <c r="N32" s="4734"/>
      <c r="O32" s="4734"/>
      <c r="P32" s="4734"/>
      <c r="Q32" s="4734"/>
      <c r="R32" s="4734"/>
      <c r="S32" s="4734"/>
      <c r="T32" s="4734"/>
      <c r="U32" s="4734"/>
      <c r="V32" s="4735"/>
    </row>
    <row r="33" spans="1:32" x14ac:dyDescent="0.3">
      <c r="A33" s="1764"/>
    </row>
    <row r="34" spans="1:32" s="1765" customFormat="1" x14ac:dyDescent="0.3">
      <c r="B34" s="1844"/>
      <c r="C34" s="1844"/>
    </row>
    <row r="35" spans="1:32" s="1765" customFormat="1" x14ac:dyDescent="0.3">
      <c r="A35" s="2071"/>
      <c r="B35" s="1844"/>
      <c r="C35" s="1844"/>
    </row>
    <row r="36" spans="1:32" s="1765" customFormat="1" x14ac:dyDescent="0.3">
      <c r="B36" s="2283"/>
      <c r="C36" s="2283"/>
      <c r="D36" s="2283"/>
      <c r="E36" s="2283"/>
      <c r="F36" s="2283"/>
      <c r="G36" s="2283"/>
      <c r="H36" s="2283"/>
      <c r="I36" s="2283"/>
      <c r="J36" s="2283"/>
      <c r="K36" s="2283"/>
      <c r="L36" s="2283"/>
      <c r="M36" s="2283"/>
      <c r="N36" s="2283"/>
      <c r="O36" s="2283"/>
      <c r="P36" s="2283"/>
      <c r="Q36" s="2283"/>
      <c r="R36" s="2283"/>
      <c r="S36" s="2283"/>
      <c r="T36" s="2283"/>
      <c r="U36" s="2283"/>
      <c r="V36" s="2283"/>
      <c r="W36" s="2283"/>
      <c r="X36" s="2283"/>
      <c r="Y36" s="2283"/>
      <c r="Z36" s="2283"/>
      <c r="AA36" s="2283"/>
      <c r="AB36" s="2283"/>
      <c r="AC36" s="2283"/>
      <c r="AD36" s="2283"/>
      <c r="AE36" s="2283"/>
      <c r="AF36" s="2283"/>
    </row>
    <row r="37" spans="1:32" s="1765" customFormat="1" x14ac:dyDescent="0.3">
      <c r="B37" s="2355"/>
      <c r="C37" s="2283"/>
      <c r="D37" s="2283"/>
      <c r="E37" s="2283"/>
      <c r="F37" s="2283"/>
      <c r="G37" s="2355"/>
      <c r="H37" s="2283"/>
      <c r="I37" s="2283"/>
      <c r="J37" s="2283"/>
      <c r="K37" s="2283"/>
      <c r="L37" s="2283"/>
      <c r="M37" s="2283"/>
      <c r="N37" s="2283"/>
      <c r="O37" s="2283"/>
      <c r="P37" s="2283"/>
      <c r="Q37" s="2283"/>
      <c r="R37" s="2283"/>
      <c r="S37" s="2283"/>
      <c r="T37" s="2283"/>
      <c r="U37" s="2283"/>
      <c r="V37" s="2283"/>
      <c r="W37" s="2283"/>
      <c r="X37" s="2283"/>
      <c r="Y37" s="2283"/>
      <c r="Z37" s="2283"/>
      <c r="AA37" s="2283"/>
      <c r="AB37" s="2283"/>
      <c r="AC37" s="2283"/>
      <c r="AD37" s="2283"/>
      <c r="AE37" s="2283"/>
      <c r="AF37" s="2283"/>
    </row>
    <row r="38" spans="1:32" s="1765" customFormat="1" x14ac:dyDescent="0.3">
      <c r="B38" s="2283"/>
      <c r="C38" s="2283"/>
      <c r="D38" s="2283"/>
      <c r="E38" s="2283"/>
      <c r="F38" s="2283"/>
      <c r="G38" s="2283"/>
      <c r="H38" s="2283"/>
      <c r="I38" s="2283"/>
      <c r="J38" s="2283"/>
      <c r="K38" s="2283"/>
      <c r="L38" s="2283"/>
      <c r="M38" s="2283"/>
      <c r="N38" s="2283"/>
      <c r="O38" s="2283"/>
      <c r="P38" s="2283"/>
      <c r="Q38" s="2283"/>
      <c r="R38" s="2283"/>
      <c r="S38" s="2283"/>
      <c r="T38" s="2283"/>
      <c r="U38" s="2283"/>
      <c r="V38" s="2283"/>
      <c r="W38" s="2283"/>
      <c r="X38" s="2283"/>
      <c r="Y38" s="2283"/>
      <c r="Z38" s="2283"/>
      <c r="AA38" s="2283"/>
      <c r="AB38" s="2283"/>
      <c r="AC38" s="2283"/>
      <c r="AD38" s="2283"/>
      <c r="AE38" s="2283"/>
      <c r="AF38" s="2283"/>
    </row>
    <row r="39" spans="1:32" s="1765" customFormat="1" x14ac:dyDescent="0.3">
      <c r="B39" s="2356"/>
      <c r="C39" s="4852"/>
      <c r="D39" s="4852"/>
      <c r="E39" s="4852"/>
      <c r="F39" s="4852"/>
      <c r="G39" s="4852"/>
      <c r="H39" s="4852"/>
      <c r="I39" s="4852"/>
      <c r="J39" s="4852"/>
      <c r="K39" s="4852"/>
      <c r="L39" s="4852"/>
      <c r="M39" s="4852"/>
      <c r="N39" s="4852"/>
      <c r="O39" s="4852"/>
      <c r="P39" s="4852"/>
      <c r="Q39" s="4852"/>
      <c r="R39" s="4852"/>
      <c r="S39" s="4852"/>
      <c r="T39" s="4852"/>
      <c r="U39" s="4852"/>
      <c r="V39" s="4852"/>
      <c r="W39" s="4852"/>
      <c r="X39" s="4852"/>
      <c r="Y39" s="4852"/>
      <c r="Z39" s="4852"/>
      <c r="AA39" s="4852"/>
      <c r="AB39" s="4852"/>
      <c r="AC39" s="2357"/>
      <c r="AD39" s="2357"/>
      <c r="AE39" s="2357"/>
    </row>
    <row r="40" spans="1:32" s="1765" customFormat="1" x14ac:dyDescent="0.3">
      <c r="B40" s="2357"/>
      <c r="C40" s="2358"/>
      <c r="D40" s="2358"/>
      <c r="E40" s="2358"/>
      <c r="F40" s="2358"/>
      <c r="G40" s="2358"/>
      <c r="H40" s="2358"/>
      <c r="I40" s="2358"/>
      <c r="J40" s="2358"/>
      <c r="K40" s="2358"/>
      <c r="L40" s="2358"/>
      <c r="M40" s="2358"/>
      <c r="N40" s="2358"/>
      <c r="O40" s="2358"/>
      <c r="P40" s="2358"/>
      <c r="Q40" s="2358"/>
      <c r="R40" s="2358"/>
      <c r="S40" s="2358"/>
      <c r="T40" s="2358"/>
      <c r="U40" s="2359"/>
      <c r="V40" s="2358"/>
      <c r="W40" s="2358"/>
      <c r="X40" s="2358"/>
      <c r="Y40" s="2358"/>
      <c r="Z40" s="2358"/>
      <c r="AA40" s="2358"/>
      <c r="AB40" s="2358"/>
      <c r="AC40" s="2357"/>
      <c r="AD40" s="2357"/>
      <c r="AE40" s="2360"/>
    </row>
    <row r="41" spans="1:32" s="1765" customFormat="1" x14ac:dyDescent="0.3">
      <c r="B41" s="2357"/>
      <c r="C41" s="2361"/>
      <c r="D41" s="2361"/>
      <c r="E41" s="2361"/>
      <c r="F41" s="2361"/>
      <c r="G41" s="2361"/>
      <c r="H41" s="2361"/>
      <c r="I41" s="2361"/>
      <c r="J41" s="2361"/>
      <c r="K41" s="2283"/>
      <c r="L41" s="2283"/>
      <c r="M41" s="2361"/>
      <c r="N41" s="2361"/>
      <c r="O41" s="2361"/>
      <c r="P41" s="2361"/>
      <c r="Q41" s="2361"/>
      <c r="R41" s="2361"/>
      <c r="S41" s="2361"/>
      <c r="T41" s="2361"/>
      <c r="U41" s="2361"/>
      <c r="V41" s="2361"/>
      <c r="W41" s="2283"/>
      <c r="X41" s="2283"/>
      <c r="Y41" s="2283"/>
      <c r="Z41" s="2283"/>
      <c r="AA41" s="2283"/>
      <c r="AB41" s="2283"/>
      <c r="AC41" s="2361"/>
      <c r="AD41" s="2361"/>
      <c r="AE41" s="2361"/>
    </row>
    <row r="42" spans="1:32" s="1765" customFormat="1" x14ac:dyDescent="0.3">
      <c r="B42" s="2357"/>
      <c r="C42" s="2361"/>
      <c r="D42" s="2361"/>
      <c r="E42" s="2361"/>
      <c r="F42" s="2361"/>
      <c r="G42" s="2361"/>
      <c r="H42" s="2361"/>
      <c r="I42" s="2361"/>
      <c r="J42" s="2361"/>
      <c r="K42" s="2283"/>
      <c r="L42" s="2283"/>
      <c r="M42" s="2361"/>
      <c r="N42" s="2361"/>
      <c r="O42" s="2361"/>
      <c r="P42" s="2361"/>
      <c r="Q42" s="2361"/>
      <c r="R42" s="2361"/>
      <c r="S42" s="2361"/>
      <c r="T42" s="2361"/>
      <c r="U42" s="2361"/>
      <c r="V42" s="2361"/>
      <c r="W42" s="2283"/>
      <c r="X42" s="2283"/>
      <c r="Y42" s="2283"/>
      <c r="Z42" s="2283"/>
      <c r="AA42" s="2355"/>
      <c r="AB42" s="2283"/>
      <c r="AC42" s="2361"/>
      <c r="AD42" s="2361"/>
      <c r="AE42" s="2361"/>
    </row>
    <row r="43" spans="1:32" s="1765" customFormat="1" x14ac:dyDescent="0.3">
      <c r="B43" s="2357"/>
      <c r="C43" s="2361"/>
      <c r="D43" s="2361"/>
      <c r="E43" s="2361"/>
      <c r="F43" s="2361"/>
      <c r="G43" s="2361"/>
      <c r="H43" s="2361"/>
      <c r="I43" s="2361"/>
      <c r="J43" s="2361"/>
      <c r="K43" s="2283"/>
      <c r="L43" s="2283"/>
      <c r="M43" s="2361"/>
      <c r="N43" s="2361"/>
      <c r="O43" s="2361"/>
      <c r="P43" s="2361"/>
      <c r="Q43" s="2361"/>
      <c r="R43" s="2361"/>
      <c r="S43" s="2361"/>
      <c r="T43" s="2361"/>
      <c r="U43" s="2361"/>
      <c r="V43" s="2361"/>
      <c r="W43" s="2283"/>
      <c r="X43" s="2283"/>
      <c r="Y43" s="2283"/>
      <c r="Z43" s="2283"/>
      <c r="AA43" s="2355"/>
      <c r="AB43" s="2283"/>
      <c r="AC43" s="2361"/>
      <c r="AD43" s="2361"/>
      <c r="AE43" s="2361"/>
    </row>
    <row r="44" spans="1:32" s="1765" customFormat="1" x14ac:dyDescent="0.3">
      <c r="B44" s="2357"/>
      <c r="C44" s="2283"/>
      <c r="D44" s="2283"/>
      <c r="E44" s="2283"/>
      <c r="F44" s="2283"/>
      <c r="G44" s="2283"/>
      <c r="H44" s="2283"/>
      <c r="I44" s="2283"/>
      <c r="J44" s="2283"/>
      <c r="K44" s="2283"/>
      <c r="L44" s="2283"/>
      <c r="M44" s="2283"/>
      <c r="N44" s="2283"/>
      <c r="O44" s="2361"/>
      <c r="P44" s="2361"/>
      <c r="Q44" s="2361"/>
      <c r="R44" s="2361"/>
      <c r="S44" s="2283"/>
      <c r="T44" s="2283"/>
      <c r="U44" s="2283"/>
      <c r="V44" s="2361"/>
      <c r="W44" s="2283"/>
      <c r="X44" s="2283"/>
      <c r="Y44" s="2283"/>
      <c r="Z44" s="2283"/>
      <c r="AA44" s="2355"/>
      <c r="AB44" s="2283"/>
      <c r="AC44" s="2361"/>
      <c r="AD44" s="2361"/>
      <c r="AE44" s="2361"/>
    </row>
    <row r="45" spans="1:32" s="1765" customFormat="1" x14ac:dyDescent="0.3">
      <c r="B45" s="2357"/>
      <c r="C45" s="2361"/>
      <c r="D45" s="2361"/>
      <c r="E45" s="2361"/>
      <c r="F45" s="2361"/>
      <c r="G45" s="2361"/>
      <c r="H45" s="2361"/>
      <c r="I45" s="2361"/>
      <c r="J45" s="2361"/>
      <c r="K45" s="2283"/>
      <c r="L45" s="2283"/>
      <c r="M45" s="2361"/>
      <c r="N45" s="2361"/>
      <c r="O45" s="2361"/>
      <c r="P45" s="2361"/>
      <c r="Q45" s="2361"/>
      <c r="R45" s="2361"/>
      <c r="S45" s="2361"/>
      <c r="T45" s="2361"/>
      <c r="U45" s="2361"/>
      <c r="V45" s="2361"/>
      <c r="W45" s="2283"/>
      <c r="X45" s="2283"/>
      <c r="Y45" s="2283"/>
      <c r="Z45" s="2283"/>
      <c r="AA45" s="2355"/>
      <c r="AB45" s="2283"/>
      <c r="AC45" s="2355"/>
      <c r="AD45" s="2361"/>
      <c r="AE45" s="2361"/>
    </row>
    <row r="46" spans="1:32" s="1765" customFormat="1" x14ac:dyDescent="0.3">
      <c r="B46" s="2357"/>
      <c r="C46" s="2361"/>
      <c r="D46" s="2361"/>
      <c r="E46" s="2361"/>
      <c r="F46" s="2361"/>
      <c r="G46" s="2361"/>
      <c r="H46" s="2361"/>
      <c r="I46" s="2361"/>
      <c r="J46" s="2361"/>
      <c r="K46" s="2283"/>
      <c r="L46" s="2283"/>
      <c r="M46" s="2361"/>
      <c r="N46" s="2361"/>
      <c r="O46" s="2361"/>
      <c r="P46" s="2361"/>
      <c r="Q46" s="2361"/>
      <c r="R46" s="2361"/>
      <c r="S46" s="2361"/>
      <c r="T46" s="2361"/>
      <c r="U46" s="2361"/>
      <c r="V46" s="2361"/>
      <c r="W46" s="2283"/>
      <c r="X46" s="2283"/>
      <c r="Y46" s="2283"/>
      <c r="Z46" s="2283"/>
      <c r="AA46" s="2283"/>
      <c r="AB46" s="2283"/>
      <c r="AC46" s="2355"/>
      <c r="AD46" s="2361"/>
      <c r="AE46" s="2361"/>
    </row>
    <row r="47" spans="1:32" s="1765" customFormat="1" x14ac:dyDescent="0.3">
      <c r="B47" s="2357"/>
      <c r="C47" s="2361"/>
      <c r="D47" s="2361"/>
      <c r="E47" s="2361"/>
      <c r="F47" s="2361"/>
      <c r="G47" s="2361"/>
      <c r="H47" s="2361"/>
      <c r="I47" s="2361"/>
      <c r="J47" s="2361"/>
      <c r="K47" s="2283"/>
      <c r="L47" s="2283"/>
      <c r="M47" s="2361"/>
      <c r="N47" s="2361"/>
      <c r="O47" s="2361"/>
      <c r="P47" s="2361"/>
      <c r="Q47" s="2361"/>
      <c r="R47" s="2361"/>
      <c r="S47" s="2361"/>
      <c r="T47" s="2361"/>
      <c r="U47" s="2361"/>
      <c r="V47" s="2361"/>
      <c r="W47" s="2361"/>
      <c r="X47" s="2361"/>
      <c r="Y47" s="2361"/>
      <c r="Z47" s="2361"/>
      <c r="AA47" s="2355"/>
      <c r="AB47" s="2361"/>
      <c r="AC47" s="2355"/>
      <c r="AD47" s="2361"/>
      <c r="AE47" s="2361"/>
    </row>
    <row r="48" spans="1:32" s="1765" customFormat="1" x14ac:dyDescent="0.3">
      <c r="B48" s="2357"/>
      <c r="C48" s="2361"/>
      <c r="D48" s="2361"/>
      <c r="E48" s="2361"/>
      <c r="F48" s="2361"/>
      <c r="G48" s="2361"/>
      <c r="H48" s="2361"/>
      <c r="I48" s="2361"/>
      <c r="J48" s="2361"/>
      <c r="K48" s="2283"/>
      <c r="L48" s="2283"/>
      <c r="M48" s="2361"/>
      <c r="N48" s="2361"/>
      <c r="O48" s="2361"/>
      <c r="P48" s="2361"/>
      <c r="Q48" s="2361"/>
      <c r="R48" s="2361"/>
      <c r="S48" s="2361"/>
      <c r="T48" s="2361"/>
      <c r="U48" s="2361"/>
      <c r="V48" s="2361"/>
      <c r="W48" s="2361"/>
      <c r="X48" s="2361"/>
      <c r="Y48" s="2361"/>
      <c r="Z48" s="2361"/>
      <c r="AA48" s="2361"/>
      <c r="AB48" s="2361"/>
      <c r="AC48" s="2361"/>
      <c r="AD48" s="2361"/>
      <c r="AE48" s="2361"/>
    </row>
    <row r="49" spans="1:32" s="1765" customFormat="1" x14ac:dyDescent="0.3">
      <c r="B49" s="2357"/>
      <c r="C49" s="2361"/>
      <c r="D49" s="2361"/>
      <c r="E49" s="2361"/>
      <c r="F49" s="2361"/>
      <c r="G49" s="2361"/>
      <c r="H49" s="2361"/>
      <c r="I49" s="2361"/>
      <c r="J49" s="2361"/>
      <c r="K49" s="2361"/>
      <c r="L49" s="2361"/>
      <c r="M49" s="2361"/>
      <c r="N49" s="2361"/>
      <c r="O49" s="2361"/>
      <c r="P49" s="2361"/>
      <c r="Q49" s="2361"/>
      <c r="R49" s="2361"/>
      <c r="S49" s="2361"/>
      <c r="T49" s="2361"/>
      <c r="U49" s="2361"/>
      <c r="V49" s="2361"/>
      <c r="W49" s="2361"/>
      <c r="X49" s="2361"/>
      <c r="Y49" s="2361"/>
      <c r="Z49" s="2361"/>
      <c r="AA49" s="2361"/>
      <c r="AB49" s="2361"/>
      <c r="AC49" s="2361"/>
      <c r="AD49" s="2361"/>
      <c r="AE49" s="2361"/>
    </row>
    <row r="50" spans="1:32" s="1765" customFormat="1" x14ac:dyDescent="0.3">
      <c r="A50" s="2071"/>
      <c r="B50" s="1844"/>
      <c r="C50" s="1844"/>
    </row>
    <row r="51" spans="1:32" s="1765" customFormat="1" ht="14.5" x14ac:dyDescent="0.35">
      <c r="B51" s="2362"/>
      <c r="C51" s="2362"/>
      <c r="D51" s="2362"/>
      <c r="E51" s="2362"/>
      <c r="F51" s="2363"/>
      <c r="G51" s="2363"/>
      <c r="H51" s="2363"/>
      <c r="I51" s="2363"/>
      <c r="J51" s="2363"/>
      <c r="K51" s="2363"/>
      <c r="L51" s="2363"/>
      <c r="M51" s="2363"/>
      <c r="N51" s="2363"/>
      <c r="O51" s="2363"/>
      <c r="P51" s="2363"/>
      <c r="Q51" s="2363"/>
      <c r="R51" s="2363"/>
      <c r="S51" s="2363"/>
      <c r="T51" s="2363"/>
      <c r="U51" s="2363"/>
      <c r="V51" s="2363"/>
      <c r="W51" s="2363"/>
      <c r="X51" s="2363"/>
      <c r="Y51" s="2363"/>
      <c r="Z51" s="2363"/>
      <c r="AA51" s="2363"/>
      <c r="AB51" s="2363"/>
      <c r="AC51" s="2363"/>
      <c r="AD51" s="2363"/>
      <c r="AE51" s="2363"/>
      <c r="AF51" s="2363"/>
    </row>
    <row r="52" spans="1:32" s="1765" customFormat="1" x14ac:dyDescent="0.3">
      <c r="B52" s="2355"/>
      <c r="C52" s="2364"/>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55"/>
      <c r="AD52" s="2355"/>
      <c r="AE52" s="2355"/>
    </row>
    <row r="53" spans="1:32" s="1765" customFormat="1" x14ac:dyDescent="0.3">
      <c r="B53" s="2355"/>
      <c r="C53" s="2355"/>
      <c r="D53" s="2355"/>
      <c r="E53" s="2355"/>
      <c r="F53" s="2355"/>
      <c r="G53" s="2355"/>
      <c r="H53" s="2355"/>
      <c r="I53" s="2355"/>
      <c r="J53" s="2355"/>
      <c r="K53" s="2355"/>
      <c r="L53" s="2355"/>
      <c r="M53" s="2355"/>
      <c r="N53" s="2355"/>
      <c r="O53" s="2355"/>
      <c r="P53" s="2355"/>
      <c r="Q53" s="2355"/>
      <c r="R53" s="2355"/>
      <c r="S53" s="2355"/>
      <c r="T53" s="2355"/>
      <c r="U53" s="2355"/>
      <c r="V53" s="2355"/>
      <c r="W53" s="2355"/>
      <c r="X53" s="2355"/>
      <c r="Y53" s="2355"/>
      <c r="Z53" s="2355"/>
      <c r="AA53" s="2355"/>
      <c r="AB53" s="2355"/>
      <c r="AC53" s="2355"/>
      <c r="AD53" s="2355"/>
      <c r="AE53" s="2355"/>
    </row>
    <row r="54" spans="1:32" s="1765" customFormat="1" x14ac:dyDescent="0.3">
      <c r="B54" s="2355"/>
      <c r="C54" s="2283"/>
      <c r="D54" s="2283"/>
      <c r="E54" s="2283"/>
      <c r="F54" s="2283"/>
      <c r="G54" s="2283"/>
      <c r="H54" s="2283"/>
      <c r="I54" s="2283"/>
      <c r="J54" s="2283"/>
      <c r="K54" s="2283"/>
      <c r="L54" s="2283"/>
      <c r="M54" s="2283"/>
      <c r="N54" s="2283"/>
      <c r="O54" s="2283"/>
      <c r="P54" s="2283"/>
      <c r="Q54" s="2283"/>
      <c r="R54" s="2283"/>
      <c r="S54" s="2283"/>
      <c r="T54" s="2283"/>
      <c r="U54" s="2283"/>
      <c r="V54" s="2283"/>
      <c r="W54" s="2283"/>
      <c r="X54" s="2283"/>
      <c r="Y54" s="2283"/>
      <c r="Z54" s="2283"/>
      <c r="AA54" s="2283"/>
      <c r="AB54" s="2283"/>
      <c r="AC54" s="2283"/>
      <c r="AD54" s="2283"/>
      <c r="AE54" s="2283"/>
    </row>
    <row r="55" spans="1:32" s="1765" customFormat="1" x14ac:dyDescent="0.3">
      <c r="B55" s="2355"/>
      <c r="C55" s="2283"/>
      <c r="D55" s="2283"/>
      <c r="E55" s="2283"/>
      <c r="F55" s="2283"/>
      <c r="G55" s="2283"/>
      <c r="H55" s="2283"/>
      <c r="I55" s="2283"/>
      <c r="J55" s="2283"/>
      <c r="K55" s="2283"/>
      <c r="L55" s="2283"/>
      <c r="M55" s="2283"/>
      <c r="N55" s="2283"/>
      <c r="O55" s="2283"/>
      <c r="P55" s="2283"/>
      <c r="Q55" s="2283"/>
      <c r="R55" s="2283"/>
      <c r="S55" s="2283"/>
      <c r="T55" s="2283"/>
      <c r="U55" s="2283"/>
      <c r="V55" s="2283"/>
      <c r="W55" s="2283"/>
      <c r="X55" s="2283"/>
      <c r="Y55" s="2283"/>
      <c r="Z55" s="2283"/>
      <c r="AA55" s="2283"/>
      <c r="AB55" s="2283"/>
      <c r="AC55" s="2283"/>
      <c r="AD55" s="2283"/>
      <c r="AE55" s="2283"/>
    </row>
    <row r="56" spans="1:32" s="1765" customFormat="1" x14ac:dyDescent="0.3">
      <c r="B56" s="2355"/>
      <c r="C56" s="2283"/>
      <c r="D56" s="2283"/>
      <c r="E56" s="2283"/>
      <c r="F56" s="2283"/>
      <c r="G56" s="2283"/>
      <c r="H56" s="2283"/>
      <c r="I56" s="2283"/>
      <c r="J56" s="2283"/>
      <c r="K56" s="2283"/>
      <c r="L56" s="2283"/>
      <c r="M56" s="2283"/>
      <c r="N56" s="2283"/>
      <c r="O56" s="2283"/>
      <c r="P56" s="2283"/>
      <c r="Q56" s="2283"/>
      <c r="R56" s="2283"/>
      <c r="S56" s="2283"/>
      <c r="T56" s="2283"/>
      <c r="U56" s="2283"/>
      <c r="V56" s="2283"/>
      <c r="W56" s="2283"/>
      <c r="X56" s="2283"/>
      <c r="Y56" s="2283"/>
      <c r="Z56" s="2283"/>
      <c r="AA56" s="2283"/>
      <c r="AB56" s="2283"/>
      <c r="AC56" s="2283"/>
      <c r="AD56" s="2283"/>
      <c r="AE56" s="2283"/>
    </row>
    <row r="57" spans="1:32" s="1765" customFormat="1" x14ac:dyDescent="0.3">
      <c r="B57" s="2355"/>
      <c r="C57" s="2283"/>
      <c r="D57" s="2283"/>
      <c r="E57" s="2283"/>
      <c r="F57" s="2283"/>
      <c r="G57" s="2283"/>
      <c r="H57" s="2283"/>
      <c r="I57" s="2283"/>
      <c r="J57" s="2283"/>
      <c r="K57" s="2283"/>
      <c r="L57" s="2283"/>
      <c r="M57" s="2283"/>
      <c r="N57" s="2283"/>
      <c r="O57" s="2283"/>
      <c r="P57" s="2283"/>
      <c r="Q57" s="2283"/>
      <c r="R57" s="2283"/>
      <c r="S57" s="2283"/>
      <c r="T57" s="2283"/>
      <c r="U57" s="2283"/>
      <c r="V57" s="2283"/>
      <c r="W57" s="2283"/>
      <c r="X57" s="2283"/>
      <c r="Y57" s="2283"/>
      <c r="Z57" s="2283"/>
      <c r="AA57" s="2283"/>
      <c r="AB57" s="2283"/>
      <c r="AC57" s="2283"/>
      <c r="AD57" s="2283"/>
      <c r="AE57" s="2283"/>
    </row>
    <row r="58" spans="1:32" s="1765" customFormat="1" x14ac:dyDescent="0.3">
      <c r="B58" s="2355"/>
      <c r="C58" s="2283"/>
      <c r="D58" s="2283"/>
      <c r="E58" s="2283"/>
      <c r="F58" s="2283"/>
      <c r="G58" s="2283"/>
      <c r="H58" s="2283"/>
      <c r="I58" s="2283"/>
      <c r="J58" s="2283"/>
      <c r="K58" s="2283"/>
      <c r="L58" s="2283"/>
      <c r="M58" s="2283"/>
      <c r="N58" s="2283"/>
      <c r="O58" s="2365"/>
      <c r="P58" s="2365"/>
      <c r="Q58" s="2365"/>
      <c r="R58" s="2283"/>
      <c r="S58" s="2283"/>
      <c r="T58" s="2283"/>
      <c r="U58" s="2283"/>
      <c r="V58" s="2283"/>
      <c r="W58" s="2283"/>
      <c r="X58" s="2283"/>
      <c r="Y58" s="2283"/>
      <c r="Z58" s="2283"/>
      <c r="AA58" s="2283"/>
      <c r="AB58" s="2283"/>
      <c r="AC58" s="2283"/>
      <c r="AD58" s="2283"/>
      <c r="AE58" s="2283"/>
    </row>
    <row r="59" spans="1:32" s="1765" customFormat="1" x14ac:dyDescent="0.3">
      <c r="B59" s="2355"/>
      <c r="C59" s="2283"/>
      <c r="D59" s="2283"/>
      <c r="E59" s="2283"/>
      <c r="F59" s="2283"/>
      <c r="G59" s="2283"/>
      <c r="H59" s="2283"/>
      <c r="I59" s="2283"/>
      <c r="J59" s="2283"/>
      <c r="K59" s="2283"/>
      <c r="L59" s="2283"/>
      <c r="M59" s="2283"/>
      <c r="N59" s="2283"/>
      <c r="O59" s="2283"/>
      <c r="P59" s="2283"/>
      <c r="Q59" s="2283"/>
      <c r="R59" s="2283"/>
      <c r="S59" s="2283"/>
      <c r="T59" s="2283"/>
      <c r="U59" s="2283"/>
      <c r="V59" s="2283"/>
      <c r="W59" s="2283"/>
      <c r="X59" s="2283"/>
      <c r="Y59" s="2283"/>
      <c r="Z59" s="2283"/>
      <c r="AA59" s="2283"/>
      <c r="AB59" s="2283"/>
      <c r="AC59" s="2283"/>
      <c r="AD59" s="2283"/>
      <c r="AE59" s="2283"/>
    </row>
    <row r="60" spans="1:32" s="1765" customFormat="1" x14ac:dyDescent="0.3">
      <c r="B60" s="2355"/>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row>
    <row r="61" spans="1:32" s="1765" customFormat="1" x14ac:dyDescent="0.3">
      <c r="B61" s="2355"/>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row>
    <row r="62" spans="1:32" s="1765" customFormat="1" x14ac:dyDescent="0.3">
      <c r="B62" s="2355"/>
      <c r="C62" s="2283"/>
      <c r="D62" s="2283"/>
      <c r="E62" s="2283"/>
      <c r="F62" s="2283"/>
      <c r="G62" s="2283"/>
      <c r="H62" s="2283"/>
      <c r="I62" s="2283"/>
      <c r="J62" s="2283"/>
      <c r="K62" s="2283"/>
      <c r="L62" s="2283"/>
      <c r="M62" s="2283"/>
      <c r="N62" s="2283"/>
      <c r="O62" s="2283"/>
      <c r="P62" s="2283"/>
      <c r="Q62" s="2283"/>
      <c r="R62" s="2283"/>
      <c r="S62" s="2283"/>
      <c r="T62" s="2283"/>
      <c r="U62" s="2283"/>
      <c r="V62" s="2283"/>
      <c r="W62" s="2283"/>
      <c r="X62" s="2283"/>
      <c r="Y62" s="2283"/>
      <c r="Z62" s="2283"/>
      <c r="AA62" s="2283"/>
      <c r="AB62" s="2283"/>
      <c r="AC62" s="2283"/>
      <c r="AD62" s="2283"/>
      <c r="AE62" s="2283"/>
    </row>
    <row r="63" spans="1:32" s="1765" customFormat="1" x14ac:dyDescent="0.3">
      <c r="B63" s="2355"/>
      <c r="C63" s="2283"/>
      <c r="D63" s="2283"/>
      <c r="E63" s="2283"/>
      <c r="F63" s="2283"/>
      <c r="G63" s="2283"/>
      <c r="H63" s="2283"/>
      <c r="I63" s="2283"/>
      <c r="J63" s="2283"/>
      <c r="K63" s="2283"/>
      <c r="L63" s="2283"/>
      <c r="M63" s="2283"/>
      <c r="N63" s="2283"/>
      <c r="O63" s="2283"/>
      <c r="P63" s="2283"/>
      <c r="Q63" s="2283"/>
      <c r="R63" s="2283"/>
      <c r="S63" s="2283"/>
      <c r="T63" s="2283"/>
      <c r="U63" s="2283"/>
      <c r="V63" s="2283"/>
      <c r="W63" s="2283"/>
      <c r="X63" s="2283"/>
      <c r="Y63" s="2283"/>
      <c r="Z63" s="2283"/>
      <c r="AA63" s="2283"/>
      <c r="AB63" s="2283"/>
      <c r="AC63" s="2283"/>
      <c r="AD63" s="2283"/>
      <c r="AE63" s="2283"/>
    </row>
    <row r="64" spans="1:32" s="1765" customFormat="1" x14ac:dyDescent="0.3">
      <c r="B64" s="2355"/>
      <c r="C64" s="2283"/>
      <c r="D64" s="2283"/>
      <c r="E64" s="2283"/>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row>
    <row r="65" spans="1:32" s="1765" customFormat="1" x14ac:dyDescent="0.3">
      <c r="A65" s="2071"/>
      <c r="B65" s="1844"/>
      <c r="C65" s="1844"/>
    </row>
    <row r="66" spans="1:32" s="1765" customFormat="1" ht="14.5" x14ac:dyDescent="0.35">
      <c r="B66" s="2362"/>
      <c r="C66" s="2362"/>
      <c r="D66" s="2362"/>
      <c r="E66" s="2362"/>
      <c r="F66" s="2363"/>
      <c r="G66" s="2363"/>
      <c r="H66" s="2363"/>
      <c r="I66" s="2363"/>
      <c r="J66" s="2363"/>
      <c r="K66" s="2363"/>
      <c r="L66" s="2363"/>
      <c r="M66" s="2363"/>
      <c r="N66" s="2363"/>
      <c r="O66" s="2363"/>
      <c r="P66" s="2363"/>
      <c r="Q66" s="2363"/>
      <c r="R66" s="2363"/>
      <c r="S66" s="2363"/>
      <c r="T66" s="2363"/>
      <c r="U66" s="2363"/>
      <c r="V66" s="2363"/>
      <c r="W66" s="2363"/>
      <c r="X66" s="2363"/>
      <c r="Y66" s="2363"/>
      <c r="Z66" s="2363"/>
      <c r="AA66" s="2363"/>
      <c r="AB66" s="2363"/>
      <c r="AC66" s="2363"/>
      <c r="AD66" s="2363"/>
      <c r="AE66" s="2363"/>
      <c r="AF66" s="2363"/>
    </row>
    <row r="67" spans="1:32" s="1765" customFormat="1" x14ac:dyDescent="0.3">
      <c r="B67" s="2355"/>
      <c r="C67" s="2364"/>
      <c r="D67" s="2364"/>
      <c r="E67" s="2364"/>
      <c r="F67" s="2364"/>
      <c r="G67" s="2364"/>
      <c r="H67" s="2364"/>
      <c r="I67" s="2364"/>
      <c r="J67" s="2364"/>
      <c r="K67" s="2364"/>
      <c r="L67" s="2364"/>
      <c r="M67" s="2364"/>
      <c r="N67" s="2364"/>
      <c r="O67" s="2364"/>
      <c r="P67" s="2364"/>
      <c r="Q67" s="2364"/>
      <c r="R67" s="2364"/>
      <c r="S67" s="2364"/>
      <c r="T67" s="2364"/>
      <c r="U67" s="2364"/>
      <c r="V67" s="2364"/>
      <c r="W67" s="2364"/>
      <c r="X67" s="2364"/>
      <c r="Y67" s="2364"/>
      <c r="Z67" s="2364"/>
      <c r="AA67" s="2364"/>
      <c r="AB67" s="2364"/>
      <c r="AC67" s="2355"/>
      <c r="AD67" s="2355"/>
      <c r="AE67" s="2355"/>
    </row>
    <row r="68" spans="1:32" s="1765" customFormat="1" x14ac:dyDescent="0.3">
      <c r="B68" s="2355"/>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c r="AA68" s="2355"/>
      <c r="AB68" s="2355"/>
      <c r="AC68" s="2355"/>
      <c r="AD68" s="2355"/>
      <c r="AE68" s="2355"/>
    </row>
    <row r="69" spans="1:32" s="1765" customFormat="1" x14ac:dyDescent="0.3">
      <c r="B69" s="2355"/>
      <c r="C69" s="2366"/>
      <c r="D69" s="2366"/>
      <c r="E69" s="2366"/>
      <c r="F69" s="2366"/>
      <c r="G69" s="2366"/>
      <c r="H69" s="2366"/>
      <c r="I69" s="2366"/>
      <c r="J69" s="2366"/>
      <c r="K69" s="2366"/>
      <c r="L69" s="2366"/>
      <c r="M69" s="2366"/>
      <c r="N69" s="2366"/>
      <c r="O69" s="2366"/>
      <c r="P69" s="2366"/>
      <c r="Q69" s="2366"/>
      <c r="R69" s="2366"/>
      <c r="S69" s="2366"/>
      <c r="T69" s="2366"/>
      <c r="U69" s="2366"/>
      <c r="V69" s="2366"/>
      <c r="W69" s="2366"/>
      <c r="X69" s="2366"/>
      <c r="Y69" s="2366"/>
      <c r="Z69" s="2366"/>
      <c r="AA69" s="2366"/>
      <c r="AB69" s="2366"/>
      <c r="AC69" s="2366"/>
      <c r="AD69" s="2366"/>
      <c r="AE69" s="2366"/>
    </row>
    <row r="70" spans="1:32" s="1765" customFormat="1" x14ac:dyDescent="0.3">
      <c r="B70" s="2355"/>
      <c r="C70" s="2366"/>
      <c r="D70" s="2366"/>
      <c r="E70" s="2366"/>
      <c r="F70" s="2366"/>
      <c r="G70" s="2366"/>
      <c r="H70" s="2366"/>
      <c r="I70" s="2366"/>
      <c r="J70" s="2366"/>
      <c r="K70" s="2366"/>
      <c r="L70" s="2366"/>
      <c r="M70" s="2366"/>
      <c r="N70" s="2366"/>
      <c r="O70" s="2366"/>
      <c r="P70" s="2366"/>
      <c r="Q70" s="2366"/>
      <c r="R70" s="2366"/>
      <c r="S70" s="2366"/>
      <c r="T70" s="2366"/>
      <c r="U70" s="2366"/>
      <c r="V70" s="2366"/>
      <c r="W70" s="2366"/>
      <c r="X70" s="2366"/>
      <c r="Y70" s="2366"/>
      <c r="Z70" s="2366"/>
      <c r="AA70" s="2366"/>
      <c r="AB70" s="2366"/>
      <c r="AC70" s="2366"/>
      <c r="AD70" s="2366"/>
      <c r="AE70" s="2366"/>
    </row>
    <row r="71" spans="1:32" s="1765" customFormat="1" x14ac:dyDescent="0.3">
      <c r="B71" s="2355"/>
      <c r="C71" s="2366"/>
      <c r="D71" s="2366"/>
      <c r="E71" s="2366"/>
      <c r="F71" s="2366"/>
      <c r="G71" s="2366"/>
      <c r="H71" s="2366"/>
      <c r="I71" s="2283"/>
      <c r="J71" s="2283"/>
      <c r="K71" s="2283"/>
      <c r="L71" s="2283"/>
      <c r="M71" s="2283"/>
      <c r="N71" s="2283"/>
      <c r="O71" s="2366"/>
      <c r="P71" s="2366"/>
      <c r="Q71" s="2366"/>
      <c r="R71" s="2366"/>
      <c r="S71" s="2366"/>
      <c r="T71" s="2366"/>
      <c r="U71" s="2366"/>
      <c r="V71" s="2366"/>
      <c r="W71" s="2366"/>
      <c r="X71" s="2366"/>
      <c r="Y71" s="2366"/>
      <c r="Z71" s="2366"/>
      <c r="AA71" s="2366"/>
      <c r="AB71" s="2366"/>
      <c r="AC71" s="2366"/>
      <c r="AD71" s="2366"/>
      <c r="AE71" s="2366"/>
    </row>
    <row r="72" spans="1:32" s="1765" customFormat="1" x14ac:dyDescent="0.3">
      <c r="B72" s="2355"/>
      <c r="C72" s="2366"/>
      <c r="D72" s="2366"/>
      <c r="E72" s="2366"/>
      <c r="F72" s="2366"/>
      <c r="G72" s="2366"/>
      <c r="H72" s="2366"/>
      <c r="I72" s="2366"/>
      <c r="J72" s="2366"/>
      <c r="K72" s="2366"/>
      <c r="L72" s="2366"/>
      <c r="M72" s="2366"/>
      <c r="N72" s="2366"/>
      <c r="O72" s="2366"/>
      <c r="P72" s="2366"/>
      <c r="Q72" s="2366"/>
      <c r="R72" s="2366"/>
      <c r="S72" s="2366"/>
      <c r="T72" s="2366"/>
      <c r="U72" s="2366"/>
      <c r="V72" s="2366"/>
      <c r="W72" s="2366"/>
      <c r="X72" s="2366"/>
      <c r="Y72" s="2366"/>
      <c r="Z72" s="2366"/>
      <c r="AA72" s="2366"/>
      <c r="AB72" s="2366"/>
      <c r="AC72" s="2366"/>
      <c r="AD72" s="2366"/>
      <c r="AE72" s="2366"/>
    </row>
    <row r="73" spans="1:32" s="1765" customFormat="1" x14ac:dyDescent="0.3">
      <c r="B73" s="2355"/>
      <c r="C73" s="2366"/>
      <c r="D73" s="2366"/>
      <c r="E73" s="2366"/>
      <c r="F73" s="2366"/>
      <c r="G73" s="2366"/>
      <c r="H73" s="2366"/>
      <c r="I73" s="2366"/>
      <c r="J73" s="2366"/>
      <c r="K73" s="2366"/>
      <c r="L73" s="2366"/>
      <c r="M73" s="2366"/>
      <c r="N73" s="2366"/>
      <c r="O73" s="2366"/>
      <c r="P73" s="2366"/>
      <c r="Q73" s="2366"/>
      <c r="R73" s="2366"/>
      <c r="S73" s="2366"/>
      <c r="T73" s="2366"/>
      <c r="U73" s="2366"/>
      <c r="V73" s="2366"/>
      <c r="W73" s="2366"/>
      <c r="X73" s="2366"/>
      <c r="Y73" s="2366"/>
      <c r="Z73" s="2366"/>
      <c r="AA73" s="2366"/>
      <c r="AB73" s="2366"/>
      <c r="AC73" s="2366"/>
      <c r="AD73" s="2366"/>
      <c r="AE73" s="2366"/>
    </row>
    <row r="74" spans="1:32" s="1765" customFormat="1" x14ac:dyDescent="0.3">
      <c r="B74" s="2355"/>
      <c r="C74" s="2366"/>
      <c r="D74" s="2366"/>
      <c r="E74" s="2366"/>
      <c r="F74" s="2366"/>
      <c r="G74" s="2366"/>
      <c r="H74" s="2366"/>
      <c r="I74" s="2366"/>
      <c r="J74" s="2366"/>
      <c r="K74" s="2366"/>
      <c r="L74" s="2366"/>
      <c r="M74" s="2366"/>
      <c r="N74" s="2366"/>
      <c r="O74" s="2366"/>
      <c r="P74" s="2366"/>
      <c r="Q74" s="2366"/>
      <c r="R74" s="2366"/>
      <c r="S74" s="2366"/>
      <c r="T74" s="2366"/>
      <c r="U74" s="2366"/>
      <c r="V74" s="2366"/>
      <c r="W74" s="2366"/>
      <c r="X74" s="2366"/>
      <c r="Y74" s="2366"/>
      <c r="Z74" s="2366"/>
      <c r="AA74" s="2366"/>
      <c r="AB74" s="2366"/>
      <c r="AC74" s="2366"/>
      <c r="AD74" s="2366"/>
      <c r="AE74" s="2366"/>
    </row>
    <row r="75" spans="1:32" s="1765" customFormat="1" x14ac:dyDescent="0.3">
      <c r="B75" s="2355"/>
      <c r="C75" s="2366"/>
      <c r="D75" s="2366"/>
      <c r="E75" s="2366"/>
      <c r="F75" s="2366"/>
      <c r="G75" s="2366"/>
      <c r="H75" s="2366"/>
      <c r="I75" s="2366"/>
      <c r="J75" s="2366"/>
      <c r="K75" s="2366"/>
      <c r="L75" s="2366"/>
      <c r="M75" s="2366"/>
      <c r="N75" s="2366"/>
      <c r="O75" s="2366"/>
      <c r="P75" s="2366"/>
      <c r="Q75" s="2366"/>
      <c r="R75" s="2366"/>
      <c r="S75" s="2366"/>
      <c r="T75" s="2366"/>
      <c r="U75" s="2366"/>
      <c r="V75" s="2366"/>
      <c r="W75" s="2366"/>
      <c r="X75" s="2366"/>
      <c r="Y75" s="2366"/>
      <c r="Z75" s="2366"/>
      <c r="AA75" s="2366"/>
      <c r="AB75" s="2366"/>
      <c r="AC75" s="2366"/>
      <c r="AD75" s="2366"/>
      <c r="AE75" s="2366"/>
    </row>
    <row r="76" spans="1:32" s="1765" customFormat="1" x14ac:dyDescent="0.3">
      <c r="B76" s="2355"/>
      <c r="C76" s="2361"/>
      <c r="D76" s="2361"/>
      <c r="E76" s="2361"/>
      <c r="F76" s="2361"/>
      <c r="G76" s="2361"/>
      <c r="H76" s="2361"/>
      <c r="I76" s="2361"/>
      <c r="J76" s="2361"/>
      <c r="K76" s="2361"/>
      <c r="L76" s="2361"/>
      <c r="M76" s="2361"/>
      <c r="N76" s="2361"/>
      <c r="O76" s="2361"/>
      <c r="P76" s="2361"/>
      <c r="Q76" s="2361"/>
      <c r="R76" s="2361"/>
      <c r="S76" s="2361"/>
      <c r="T76" s="2361"/>
      <c r="U76" s="2361"/>
      <c r="V76" s="2361"/>
      <c r="W76" s="2361"/>
      <c r="X76" s="2361"/>
      <c r="Y76" s="2361"/>
      <c r="Z76" s="2361"/>
      <c r="AA76" s="2361"/>
      <c r="AB76" s="2361"/>
      <c r="AC76" s="2366"/>
      <c r="AD76" s="2366"/>
      <c r="AE76" s="2361"/>
    </row>
    <row r="77" spans="1:32" s="1765" customFormat="1" x14ac:dyDescent="0.3">
      <c r="B77" s="2355"/>
      <c r="C77" s="2366"/>
      <c r="D77" s="2366"/>
      <c r="E77" s="2366"/>
      <c r="F77" s="2366"/>
      <c r="G77" s="2366"/>
      <c r="H77" s="2366"/>
      <c r="I77" s="2366"/>
      <c r="J77" s="2366"/>
      <c r="K77" s="2366"/>
      <c r="L77" s="2366"/>
      <c r="M77" s="2366"/>
      <c r="N77" s="2366"/>
      <c r="O77" s="2366"/>
      <c r="P77" s="2366"/>
      <c r="Q77" s="2366"/>
      <c r="R77" s="2366"/>
      <c r="S77" s="2366"/>
      <c r="T77" s="2366"/>
      <c r="U77" s="2366"/>
      <c r="V77" s="2366"/>
      <c r="W77" s="2366"/>
      <c r="X77" s="2366"/>
      <c r="Y77" s="2366"/>
      <c r="Z77" s="2366"/>
      <c r="AA77" s="2366"/>
      <c r="AB77" s="2366"/>
      <c r="AC77" s="2366"/>
      <c r="AD77" s="2366"/>
      <c r="AE77" s="2366"/>
    </row>
    <row r="78" spans="1:32" s="1765" customFormat="1" x14ac:dyDescent="0.3">
      <c r="B78" s="2355"/>
      <c r="C78" s="2366"/>
      <c r="D78" s="2366"/>
      <c r="E78" s="2366"/>
      <c r="F78" s="2366"/>
      <c r="G78" s="2366"/>
      <c r="H78" s="2366"/>
      <c r="I78" s="2366"/>
      <c r="J78" s="2366"/>
      <c r="K78" s="2366"/>
      <c r="L78" s="2366"/>
      <c r="M78" s="2366"/>
      <c r="N78" s="2366"/>
      <c r="O78" s="2366"/>
      <c r="P78" s="2366"/>
      <c r="Q78" s="2366"/>
      <c r="R78" s="2366"/>
      <c r="S78" s="2366"/>
      <c r="T78" s="2366"/>
      <c r="U78" s="2366"/>
      <c r="V78" s="2366"/>
      <c r="W78" s="2366"/>
      <c r="X78" s="2366"/>
      <c r="Y78" s="2366"/>
      <c r="Z78" s="2366"/>
      <c r="AA78" s="2366"/>
      <c r="AB78" s="2366"/>
      <c r="AC78" s="2366"/>
      <c r="AD78" s="2366"/>
      <c r="AE78" s="2366"/>
    </row>
    <row r="79" spans="1:32" s="1765" customFormat="1" x14ac:dyDescent="0.3">
      <c r="A79" s="2071"/>
      <c r="B79" s="1844"/>
      <c r="C79" s="1844"/>
    </row>
    <row r="80" spans="1:32" s="1765" customFormat="1" x14ac:dyDescent="0.3">
      <c r="A80" s="2071"/>
      <c r="B80" s="1844"/>
      <c r="C80" s="1844"/>
    </row>
    <row r="81" spans="1:3" s="1765" customFormat="1" x14ac:dyDescent="0.3">
      <c r="A81" s="2071"/>
      <c r="B81" s="1844"/>
      <c r="C81" s="1844"/>
    </row>
  </sheetData>
  <mergeCells count="20">
    <mergeCell ref="D30:V30"/>
    <mergeCell ref="D2:V2"/>
    <mergeCell ref="D3:V3"/>
    <mergeCell ref="D4:V4"/>
    <mergeCell ref="D5:V5"/>
    <mergeCell ref="D29:V29"/>
    <mergeCell ref="U39:V39"/>
    <mergeCell ref="W39:X39"/>
    <mergeCell ref="Y39:Z39"/>
    <mergeCell ref="AA39:AB39"/>
    <mergeCell ref="D31:V31"/>
    <mergeCell ref="D32:V32"/>
    <mergeCell ref="C39:D39"/>
    <mergeCell ref="E39:F39"/>
    <mergeCell ref="G39:H39"/>
    <mergeCell ref="I39:J39"/>
    <mergeCell ref="K39:L39"/>
    <mergeCell ref="M39:N39"/>
    <mergeCell ref="O39:R39"/>
    <mergeCell ref="S39:T39"/>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2:AD51"/>
  <sheetViews>
    <sheetView showGridLines="0" view="pageBreakPreview" topLeftCell="B1" zoomScaleNormal="100" zoomScaleSheetLayoutView="100" workbookViewId="0">
      <selection activeCell="S14" sqref="S14"/>
    </sheetView>
  </sheetViews>
  <sheetFormatPr defaultColWidth="9.1796875" defaultRowHeight="14" x14ac:dyDescent="0.3"/>
  <cols>
    <col min="1" max="1" width="3.7265625" style="2070" customWidth="1"/>
    <col min="2" max="2" width="14.453125" style="1768" customWidth="1"/>
    <col min="3" max="3" width="3.7265625" style="1768" customWidth="1"/>
    <col min="4" max="4" width="21.453125" style="1764" customWidth="1"/>
    <col min="5" max="17" width="7.26953125" style="1764" customWidth="1"/>
    <col min="18" max="19" width="8" style="1764" customWidth="1"/>
    <col min="20" max="20" width="9.1796875" style="1764" customWidth="1"/>
    <col min="21" max="24" width="9.453125" style="1764" customWidth="1"/>
    <col min="25" max="261" width="9.1796875" style="1764"/>
    <col min="262" max="262" width="3.7265625" style="1764" customWidth="1"/>
    <col min="263" max="263" width="14.453125" style="1764" customWidth="1"/>
    <col min="264" max="264" width="3.7265625" style="1764" customWidth="1"/>
    <col min="265" max="265" width="21.453125" style="1764" customWidth="1"/>
    <col min="266" max="278" width="7.26953125" style="1764" customWidth="1"/>
    <col min="279" max="280" width="8" style="1764" customWidth="1"/>
    <col min="281" max="281" width="9.1796875" style="1764" customWidth="1"/>
    <col min="282" max="282" width="9.453125" style="1764" customWidth="1"/>
    <col min="283" max="517" width="9.1796875" style="1764"/>
    <col min="518" max="518" width="3.7265625" style="1764" customWidth="1"/>
    <col min="519" max="519" width="14.453125" style="1764" customWidth="1"/>
    <col min="520" max="520" width="3.7265625" style="1764" customWidth="1"/>
    <col min="521" max="521" width="21.453125" style="1764" customWidth="1"/>
    <col min="522" max="534" width="7.26953125" style="1764" customWidth="1"/>
    <col min="535" max="536" width="8" style="1764" customWidth="1"/>
    <col min="537" max="537" width="9.1796875" style="1764" customWidth="1"/>
    <col min="538" max="538" width="9.453125" style="1764" customWidth="1"/>
    <col min="539" max="773" width="9.1796875" style="1764"/>
    <col min="774" max="774" width="3.7265625" style="1764" customWidth="1"/>
    <col min="775" max="775" width="14.453125" style="1764" customWidth="1"/>
    <col min="776" max="776" width="3.7265625" style="1764" customWidth="1"/>
    <col min="777" max="777" width="21.453125" style="1764" customWidth="1"/>
    <col min="778" max="790" width="7.26953125" style="1764" customWidth="1"/>
    <col min="791" max="792" width="8" style="1764" customWidth="1"/>
    <col min="793" max="793" width="9.1796875" style="1764" customWidth="1"/>
    <col min="794" max="794" width="9.453125" style="1764" customWidth="1"/>
    <col min="795" max="1029" width="9.1796875" style="1764"/>
    <col min="1030" max="1030" width="3.7265625" style="1764" customWidth="1"/>
    <col min="1031" max="1031" width="14.453125" style="1764" customWidth="1"/>
    <col min="1032" max="1032" width="3.7265625" style="1764" customWidth="1"/>
    <col min="1033" max="1033" width="21.453125" style="1764" customWidth="1"/>
    <col min="1034" max="1046" width="7.26953125" style="1764" customWidth="1"/>
    <col min="1047" max="1048" width="8" style="1764" customWidth="1"/>
    <col min="1049" max="1049" width="9.1796875" style="1764" customWidth="1"/>
    <col min="1050" max="1050" width="9.453125" style="1764" customWidth="1"/>
    <col min="1051" max="1285" width="9.1796875" style="1764"/>
    <col min="1286" max="1286" width="3.7265625" style="1764" customWidth="1"/>
    <col min="1287" max="1287" width="14.453125" style="1764" customWidth="1"/>
    <col min="1288" max="1288" width="3.7265625" style="1764" customWidth="1"/>
    <col min="1289" max="1289" width="21.453125" style="1764" customWidth="1"/>
    <col min="1290" max="1302" width="7.26953125" style="1764" customWidth="1"/>
    <col min="1303" max="1304" width="8" style="1764" customWidth="1"/>
    <col min="1305" max="1305" width="9.1796875" style="1764" customWidth="1"/>
    <col min="1306" max="1306" width="9.453125" style="1764" customWidth="1"/>
    <col min="1307" max="1541" width="9.1796875" style="1764"/>
    <col min="1542" max="1542" width="3.7265625" style="1764" customWidth="1"/>
    <col min="1543" max="1543" width="14.453125" style="1764" customWidth="1"/>
    <col min="1544" max="1544" width="3.7265625" style="1764" customWidth="1"/>
    <col min="1545" max="1545" width="21.453125" style="1764" customWidth="1"/>
    <col min="1546" max="1558" width="7.26953125" style="1764" customWidth="1"/>
    <col min="1559" max="1560" width="8" style="1764" customWidth="1"/>
    <col min="1561" max="1561" width="9.1796875" style="1764" customWidth="1"/>
    <col min="1562" max="1562" width="9.453125" style="1764" customWidth="1"/>
    <col min="1563" max="1797" width="9.1796875" style="1764"/>
    <col min="1798" max="1798" width="3.7265625" style="1764" customWidth="1"/>
    <col min="1799" max="1799" width="14.453125" style="1764" customWidth="1"/>
    <col min="1800" max="1800" width="3.7265625" style="1764" customWidth="1"/>
    <col min="1801" max="1801" width="21.453125" style="1764" customWidth="1"/>
    <col min="1802" max="1814" width="7.26953125" style="1764" customWidth="1"/>
    <col min="1815" max="1816" width="8" style="1764" customWidth="1"/>
    <col min="1817" max="1817" width="9.1796875" style="1764" customWidth="1"/>
    <col min="1818" max="1818" width="9.453125" style="1764" customWidth="1"/>
    <col min="1819" max="2053" width="9.1796875" style="1764"/>
    <col min="2054" max="2054" width="3.7265625" style="1764" customWidth="1"/>
    <col min="2055" max="2055" width="14.453125" style="1764" customWidth="1"/>
    <col min="2056" max="2056" width="3.7265625" style="1764" customWidth="1"/>
    <col min="2057" max="2057" width="21.453125" style="1764" customWidth="1"/>
    <col min="2058" max="2070" width="7.26953125" style="1764" customWidth="1"/>
    <col min="2071" max="2072" width="8" style="1764" customWidth="1"/>
    <col min="2073" max="2073" width="9.1796875" style="1764" customWidth="1"/>
    <col min="2074" max="2074" width="9.453125" style="1764" customWidth="1"/>
    <col min="2075" max="2309" width="9.1796875" style="1764"/>
    <col min="2310" max="2310" width="3.7265625" style="1764" customWidth="1"/>
    <col min="2311" max="2311" width="14.453125" style="1764" customWidth="1"/>
    <col min="2312" max="2312" width="3.7265625" style="1764" customWidth="1"/>
    <col min="2313" max="2313" width="21.453125" style="1764" customWidth="1"/>
    <col min="2314" max="2326" width="7.26953125" style="1764" customWidth="1"/>
    <col min="2327" max="2328" width="8" style="1764" customWidth="1"/>
    <col min="2329" max="2329" width="9.1796875" style="1764" customWidth="1"/>
    <col min="2330" max="2330" width="9.453125" style="1764" customWidth="1"/>
    <col min="2331" max="2565" width="9.1796875" style="1764"/>
    <col min="2566" max="2566" width="3.7265625" style="1764" customWidth="1"/>
    <col min="2567" max="2567" width="14.453125" style="1764" customWidth="1"/>
    <col min="2568" max="2568" width="3.7265625" style="1764" customWidth="1"/>
    <col min="2569" max="2569" width="21.453125" style="1764" customWidth="1"/>
    <col min="2570" max="2582" width="7.26953125" style="1764" customWidth="1"/>
    <col min="2583" max="2584" width="8" style="1764" customWidth="1"/>
    <col min="2585" max="2585" width="9.1796875" style="1764" customWidth="1"/>
    <col min="2586" max="2586" width="9.453125" style="1764" customWidth="1"/>
    <col min="2587" max="2821" width="9.1796875" style="1764"/>
    <col min="2822" max="2822" width="3.7265625" style="1764" customWidth="1"/>
    <col min="2823" max="2823" width="14.453125" style="1764" customWidth="1"/>
    <col min="2824" max="2824" width="3.7265625" style="1764" customWidth="1"/>
    <col min="2825" max="2825" width="21.453125" style="1764" customWidth="1"/>
    <col min="2826" max="2838" width="7.26953125" style="1764" customWidth="1"/>
    <col min="2839" max="2840" width="8" style="1764" customWidth="1"/>
    <col min="2841" max="2841" width="9.1796875" style="1764" customWidth="1"/>
    <col min="2842" max="2842" width="9.453125" style="1764" customWidth="1"/>
    <col min="2843" max="3077" width="9.1796875" style="1764"/>
    <col min="3078" max="3078" width="3.7265625" style="1764" customWidth="1"/>
    <col min="3079" max="3079" width="14.453125" style="1764" customWidth="1"/>
    <col min="3080" max="3080" width="3.7265625" style="1764" customWidth="1"/>
    <col min="3081" max="3081" width="21.453125" style="1764" customWidth="1"/>
    <col min="3082" max="3094" width="7.26953125" style="1764" customWidth="1"/>
    <col min="3095" max="3096" width="8" style="1764" customWidth="1"/>
    <col min="3097" max="3097" width="9.1796875" style="1764" customWidth="1"/>
    <col min="3098" max="3098" width="9.453125" style="1764" customWidth="1"/>
    <col min="3099" max="3333" width="9.1796875" style="1764"/>
    <col min="3334" max="3334" width="3.7265625" style="1764" customWidth="1"/>
    <col min="3335" max="3335" width="14.453125" style="1764" customWidth="1"/>
    <col min="3336" max="3336" width="3.7265625" style="1764" customWidth="1"/>
    <col min="3337" max="3337" width="21.453125" style="1764" customWidth="1"/>
    <col min="3338" max="3350" width="7.26953125" style="1764" customWidth="1"/>
    <col min="3351" max="3352" width="8" style="1764" customWidth="1"/>
    <col min="3353" max="3353" width="9.1796875" style="1764" customWidth="1"/>
    <col min="3354" max="3354" width="9.453125" style="1764" customWidth="1"/>
    <col min="3355" max="3589" width="9.1796875" style="1764"/>
    <col min="3590" max="3590" width="3.7265625" style="1764" customWidth="1"/>
    <col min="3591" max="3591" width="14.453125" style="1764" customWidth="1"/>
    <col min="3592" max="3592" width="3.7265625" style="1764" customWidth="1"/>
    <col min="3593" max="3593" width="21.453125" style="1764" customWidth="1"/>
    <col min="3594" max="3606" width="7.26953125" style="1764" customWidth="1"/>
    <col min="3607" max="3608" width="8" style="1764" customWidth="1"/>
    <col min="3609" max="3609" width="9.1796875" style="1764" customWidth="1"/>
    <col min="3610" max="3610" width="9.453125" style="1764" customWidth="1"/>
    <col min="3611" max="3845" width="9.1796875" style="1764"/>
    <col min="3846" max="3846" width="3.7265625" style="1764" customWidth="1"/>
    <col min="3847" max="3847" width="14.453125" style="1764" customWidth="1"/>
    <col min="3848" max="3848" width="3.7265625" style="1764" customWidth="1"/>
    <col min="3849" max="3849" width="21.453125" style="1764" customWidth="1"/>
    <col min="3850" max="3862" width="7.26953125" style="1764" customWidth="1"/>
    <col min="3863" max="3864" width="8" style="1764" customWidth="1"/>
    <col min="3865" max="3865" width="9.1796875" style="1764" customWidth="1"/>
    <col min="3866" max="3866" width="9.453125" style="1764" customWidth="1"/>
    <col min="3867" max="4101" width="9.1796875" style="1764"/>
    <col min="4102" max="4102" width="3.7265625" style="1764" customWidth="1"/>
    <col min="4103" max="4103" width="14.453125" style="1764" customWidth="1"/>
    <col min="4104" max="4104" width="3.7265625" style="1764" customWidth="1"/>
    <col min="4105" max="4105" width="21.453125" style="1764" customWidth="1"/>
    <col min="4106" max="4118" width="7.26953125" style="1764" customWidth="1"/>
    <col min="4119" max="4120" width="8" style="1764" customWidth="1"/>
    <col min="4121" max="4121" width="9.1796875" style="1764" customWidth="1"/>
    <col min="4122" max="4122" width="9.453125" style="1764" customWidth="1"/>
    <col min="4123" max="4357" width="9.1796875" style="1764"/>
    <col min="4358" max="4358" width="3.7265625" style="1764" customWidth="1"/>
    <col min="4359" max="4359" width="14.453125" style="1764" customWidth="1"/>
    <col min="4360" max="4360" width="3.7265625" style="1764" customWidth="1"/>
    <col min="4361" max="4361" width="21.453125" style="1764" customWidth="1"/>
    <col min="4362" max="4374" width="7.26953125" style="1764" customWidth="1"/>
    <col min="4375" max="4376" width="8" style="1764" customWidth="1"/>
    <col min="4377" max="4377" width="9.1796875" style="1764" customWidth="1"/>
    <col min="4378" max="4378" width="9.453125" style="1764" customWidth="1"/>
    <col min="4379" max="4613" width="9.1796875" style="1764"/>
    <col min="4614" max="4614" width="3.7265625" style="1764" customWidth="1"/>
    <col min="4615" max="4615" width="14.453125" style="1764" customWidth="1"/>
    <col min="4616" max="4616" width="3.7265625" style="1764" customWidth="1"/>
    <col min="4617" max="4617" width="21.453125" style="1764" customWidth="1"/>
    <col min="4618" max="4630" width="7.26953125" style="1764" customWidth="1"/>
    <col min="4631" max="4632" width="8" style="1764" customWidth="1"/>
    <col min="4633" max="4633" width="9.1796875" style="1764" customWidth="1"/>
    <col min="4634" max="4634" width="9.453125" style="1764" customWidth="1"/>
    <col min="4635" max="4869" width="9.1796875" style="1764"/>
    <col min="4870" max="4870" width="3.7265625" style="1764" customWidth="1"/>
    <col min="4871" max="4871" width="14.453125" style="1764" customWidth="1"/>
    <col min="4872" max="4872" width="3.7265625" style="1764" customWidth="1"/>
    <col min="4873" max="4873" width="21.453125" style="1764" customWidth="1"/>
    <col min="4874" max="4886" width="7.26953125" style="1764" customWidth="1"/>
    <col min="4887" max="4888" width="8" style="1764" customWidth="1"/>
    <col min="4889" max="4889" width="9.1796875" style="1764" customWidth="1"/>
    <col min="4890" max="4890" width="9.453125" style="1764" customWidth="1"/>
    <col min="4891" max="5125" width="9.1796875" style="1764"/>
    <col min="5126" max="5126" width="3.7265625" style="1764" customWidth="1"/>
    <col min="5127" max="5127" width="14.453125" style="1764" customWidth="1"/>
    <col min="5128" max="5128" width="3.7265625" style="1764" customWidth="1"/>
    <col min="5129" max="5129" width="21.453125" style="1764" customWidth="1"/>
    <col min="5130" max="5142" width="7.26953125" style="1764" customWidth="1"/>
    <col min="5143" max="5144" width="8" style="1764" customWidth="1"/>
    <col min="5145" max="5145" width="9.1796875" style="1764" customWidth="1"/>
    <col min="5146" max="5146" width="9.453125" style="1764" customWidth="1"/>
    <col min="5147" max="5381" width="9.1796875" style="1764"/>
    <col min="5382" max="5382" width="3.7265625" style="1764" customWidth="1"/>
    <col min="5383" max="5383" width="14.453125" style="1764" customWidth="1"/>
    <col min="5384" max="5384" width="3.7265625" style="1764" customWidth="1"/>
    <col min="5385" max="5385" width="21.453125" style="1764" customWidth="1"/>
    <col min="5386" max="5398" width="7.26953125" style="1764" customWidth="1"/>
    <col min="5399" max="5400" width="8" style="1764" customWidth="1"/>
    <col min="5401" max="5401" width="9.1796875" style="1764" customWidth="1"/>
    <col min="5402" max="5402" width="9.453125" style="1764" customWidth="1"/>
    <col min="5403" max="5637" width="9.1796875" style="1764"/>
    <col min="5638" max="5638" width="3.7265625" style="1764" customWidth="1"/>
    <col min="5639" max="5639" width="14.453125" style="1764" customWidth="1"/>
    <col min="5640" max="5640" width="3.7265625" style="1764" customWidth="1"/>
    <col min="5641" max="5641" width="21.453125" style="1764" customWidth="1"/>
    <col min="5642" max="5654" width="7.26953125" style="1764" customWidth="1"/>
    <col min="5655" max="5656" width="8" style="1764" customWidth="1"/>
    <col min="5657" max="5657" width="9.1796875" style="1764" customWidth="1"/>
    <col min="5658" max="5658" width="9.453125" style="1764" customWidth="1"/>
    <col min="5659" max="5893" width="9.1796875" style="1764"/>
    <col min="5894" max="5894" width="3.7265625" style="1764" customWidth="1"/>
    <col min="5895" max="5895" width="14.453125" style="1764" customWidth="1"/>
    <col min="5896" max="5896" width="3.7265625" style="1764" customWidth="1"/>
    <col min="5897" max="5897" width="21.453125" style="1764" customWidth="1"/>
    <col min="5898" max="5910" width="7.26953125" style="1764" customWidth="1"/>
    <col min="5911" max="5912" width="8" style="1764" customWidth="1"/>
    <col min="5913" max="5913" width="9.1796875" style="1764" customWidth="1"/>
    <col min="5914" max="5914" width="9.453125" style="1764" customWidth="1"/>
    <col min="5915" max="6149" width="9.1796875" style="1764"/>
    <col min="6150" max="6150" width="3.7265625" style="1764" customWidth="1"/>
    <col min="6151" max="6151" width="14.453125" style="1764" customWidth="1"/>
    <col min="6152" max="6152" width="3.7265625" style="1764" customWidth="1"/>
    <col min="6153" max="6153" width="21.453125" style="1764" customWidth="1"/>
    <col min="6154" max="6166" width="7.26953125" style="1764" customWidth="1"/>
    <col min="6167" max="6168" width="8" style="1764" customWidth="1"/>
    <col min="6169" max="6169" width="9.1796875" style="1764" customWidth="1"/>
    <col min="6170" max="6170" width="9.453125" style="1764" customWidth="1"/>
    <col min="6171" max="6405" width="9.1796875" style="1764"/>
    <col min="6406" max="6406" width="3.7265625" style="1764" customWidth="1"/>
    <col min="6407" max="6407" width="14.453125" style="1764" customWidth="1"/>
    <col min="6408" max="6408" width="3.7265625" style="1764" customWidth="1"/>
    <col min="6409" max="6409" width="21.453125" style="1764" customWidth="1"/>
    <col min="6410" max="6422" width="7.26953125" style="1764" customWidth="1"/>
    <col min="6423" max="6424" width="8" style="1764" customWidth="1"/>
    <col min="6425" max="6425" width="9.1796875" style="1764" customWidth="1"/>
    <col min="6426" max="6426" width="9.453125" style="1764" customWidth="1"/>
    <col min="6427" max="6661" width="9.1796875" style="1764"/>
    <col min="6662" max="6662" width="3.7265625" style="1764" customWidth="1"/>
    <col min="6663" max="6663" width="14.453125" style="1764" customWidth="1"/>
    <col min="6664" max="6664" width="3.7265625" style="1764" customWidth="1"/>
    <col min="6665" max="6665" width="21.453125" style="1764" customWidth="1"/>
    <col min="6666" max="6678" width="7.26953125" style="1764" customWidth="1"/>
    <col min="6679" max="6680" width="8" style="1764" customWidth="1"/>
    <col min="6681" max="6681" width="9.1796875" style="1764" customWidth="1"/>
    <col min="6682" max="6682" width="9.453125" style="1764" customWidth="1"/>
    <col min="6683" max="6917" width="9.1796875" style="1764"/>
    <col min="6918" max="6918" width="3.7265625" style="1764" customWidth="1"/>
    <col min="6919" max="6919" width="14.453125" style="1764" customWidth="1"/>
    <col min="6920" max="6920" width="3.7265625" style="1764" customWidth="1"/>
    <col min="6921" max="6921" width="21.453125" style="1764" customWidth="1"/>
    <col min="6922" max="6934" width="7.26953125" style="1764" customWidth="1"/>
    <col min="6935" max="6936" width="8" style="1764" customWidth="1"/>
    <col min="6937" max="6937" width="9.1796875" style="1764" customWidth="1"/>
    <col min="6938" max="6938" width="9.453125" style="1764" customWidth="1"/>
    <col min="6939" max="7173" width="9.1796875" style="1764"/>
    <col min="7174" max="7174" width="3.7265625" style="1764" customWidth="1"/>
    <col min="7175" max="7175" width="14.453125" style="1764" customWidth="1"/>
    <col min="7176" max="7176" width="3.7265625" style="1764" customWidth="1"/>
    <col min="7177" max="7177" width="21.453125" style="1764" customWidth="1"/>
    <col min="7178" max="7190" width="7.26953125" style="1764" customWidth="1"/>
    <col min="7191" max="7192" width="8" style="1764" customWidth="1"/>
    <col min="7193" max="7193" width="9.1796875" style="1764" customWidth="1"/>
    <col min="7194" max="7194" width="9.453125" style="1764" customWidth="1"/>
    <col min="7195" max="7429" width="9.1796875" style="1764"/>
    <col min="7430" max="7430" width="3.7265625" style="1764" customWidth="1"/>
    <col min="7431" max="7431" width="14.453125" style="1764" customWidth="1"/>
    <col min="7432" max="7432" width="3.7265625" style="1764" customWidth="1"/>
    <col min="7433" max="7433" width="21.453125" style="1764" customWidth="1"/>
    <col min="7434" max="7446" width="7.26953125" style="1764" customWidth="1"/>
    <col min="7447" max="7448" width="8" style="1764" customWidth="1"/>
    <col min="7449" max="7449" width="9.1796875" style="1764" customWidth="1"/>
    <col min="7450" max="7450" width="9.453125" style="1764" customWidth="1"/>
    <col min="7451" max="7685" width="9.1796875" style="1764"/>
    <col min="7686" max="7686" width="3.7265625" style="1764" customWidth="1"/>
    <col min="7687" max="7687" width="14.453125" style="1764" customWidth="1"/>
    <col min="7688" max="7688" width="3.7265625" style="1764" customWidth="1"/>
    <col min="7689" max="7689" width="21.453125" style="1764" customWidth="1"/>
    <col min="7690" max="7702" width="7.26953125" style="1764" customWidth="1"/>
    <col min="7703" max="7704" width="8" style="1764" customWidth="1"/>
    <col min="7705" max="7705" width="9.1796875" style="1764" customWidth="1"/>
    <col min="7706" max="7706" width="9.453125" style="1764" customWidth="1"/>
    <col min="7707" max="7941" width="9.1796875" style="1764"/>
    <col min="7942" max="7942" width="3.7265625" style="1764" customWidth="1"/>
    <col min="7943" max="7943" width="14.453125" style="1764" customWidth="1"/>
    <col min="7944" max="7944" width="3.7265625" style="1764" customWidth="1"/>
    <col min="7945" max="7945" width="21.453125" style="1764" customWidth="1"/>
    <col min="7946" max="7958" width="7.26953125" style="1764" customWidth="1"/>
    <col min="7959" max="7960" width="8" style="1764" customWidth="1"/>
    <col min="7961" max="7961" width="9.1796875" style="1764" customWidth="1"/>
    <col min="7962" max="7962" width="9.453125" style="1764" customWidth="1"/>
    <col min="7963" max="8197" width="9.1796875" style="1764"/>
    <col min="8198" max="8198" width="3.7265625" style="1764" customWidth="1"/>
    <col min="8199" max="8199" width="14.453125" style="1764" customWidth="1"/>
    <col min="8200" max="8200" width="3.7265625" style="1764" customWidth="1"/>
    <col min="8201" max="8201" width="21.453125" style="1764" customWidth="1"/>
    <col min="8202" max="8214" width="7.26953125" style="1764" customWidth="1"/>
    <col min="8215" max="8216" width="8" style="1764" customWidth="1"/>
    <col min="8217" max="8217" width="9.1796875" style="1764" customWidth="1"/>
    <col min="8218" max="8218" width="9.453125" style="1764" customWidth="1"/>
    <col min="8219" max="8453" width="9.1796875" style="1764"/>
    <col min="8454" max="8454" width="3.7265625" style="1764" customWidth="1"/>
    <col min="8455" max="8455" width="14.453125" style="1764" customWidth="1"/>
    <col min="8456" max="8456" width="3.7265625" style="1764" customWidth="1"/>
    <col min="8457" max="8457" width="21.453125" style="1764" customWidth="1"/>
    <col min="8458" max="8470" width="7.26953125" style="1764" customWidth="1"/>
    <col min="8471" max="8472" width="8" style="1764" customWidth="1"/>
    <col min="8473" max="8473" width="9.1796875" style="1764" customWidth="1"/>
    <col min="8474" max="8474" width="9.453125" style="1764" customWidth="1"/>
    <col min="8475" max="8709" width="9.1796875" style="1764"/>
    <col min="8710" max="8710" width="3.7265625" style="1764" customWidth="1"/>
    <col min="8711" max="8711" width="14.453125" style="1764" customWidth="1"/>
    <col min="8712" max="8712" width="3.7265625" style="1764" customWidth="1"/>
    <col min="8713" max="8713" width="21.453125" style="1764" customWidth="1"/>
    <col min="8714" max="8726" width="7.26953125" style="1764" customWidth="1"/>
    <col min="8727" max="8728" width="8" style="1764" customWidth="1"/>
    <col min="8729" max="8729" width="9.1796875" style="1764" customWidth="1"/>
    <col min="8730" max="8730" width="9.453125" style="1764" customWidth="1"/>
    <col min="8731" max="8965" width="9.1796875" style="1764"/>
    <col min="8966" max="8966" width="3.7265625" style="1764" customWidth="1"/>
    <col min="8967" max="8967" width="14.453125" style="1764" customWidth="1"/>
    <col min="8968" max="8968" width="3.7265625" style="1764" customWidth="1"/>
    <col min="8969" max="8969" width="21.453125" style="1764" customWidth="1"/>
    <col min="8970" max="8982" width="7.26953125" style="1764" customWidth="1"/>
    <col min="8983" max="8984" width="8" style="1764" customWidth="1"/>
    <col min="8985" max="8985" width="9.1796875" style="1764" customWidth="1"/>
    <col min="8986" max="8986" width="9.453125" style="1764" customWidth="1"/>
    <col min="8987" max="9221" width="9.1796875" style="1764"/>
    <col min="9222" max="9222" width="3.7265625" style="1764" customWidth="1"/>
    <col min="9223" max="9223" width="14.453125" style="1764" customWidth="1"/>
    <col min="9224" max="9224" width="3.7265625" style="1764" customWidth="1"/>
    <col min="9225" max="9225" width="21.453125" style="1764" customWidth="1"/>
    <col min="9226" max="9238" width="7.26953125" style="1764" customWidth="1"/>
    <col min="9239" max="9240" width="8" style="1764" customWidth="1"/>
    <col min="9241" max="9241" width="9.1796875" style="1764" customWidth="1"/>
    <col min="9242" max="9242" width="9.453125" style="1764" customWidth="1"/>
    <col min="9243" max="9477" width="9.1796875" style="1764"/>
    <col min="9478" max="9478" width="3.7265625" style="1764" customWidth="1"/>
    <col min="9479" max="9479" width="14.453125" style="1764" customWidth="1"/>
    <col min="9480" max="9480" width="3.7265625" style="1764" customWidth="1"/>
    <col min="9481" max="9481" width="21.453125" style="1764" customWidth="1"/>
    <col min="9482" max="9494" width="7.26953125" style="1764" customWidth="1"/>
    <col min="9495" max="9496" width="8" style="1764" customWidth="1"/>
    <col min="9497" max="9497" width="9.1796875" style="1764" customWidth="1"/>
    <col min="9498" max="9498" width="9.453125" style="1764" customWidth="1"/>
    <col min="9499" max="9733" width="9.1796875" style="1764"/>
    <col min="9734" max="9734" width="3.7265625" style="1764" customWidth="1"/>
    <col min="9735" max="9735" width="14.453125" style="1764" customWidth="1"/>
    <col min="9736" max="9736" width="3.7265625" style="1764" customWidth="1"/>
    <col min="9737" max="9737" width="21.453125" style="1764" customWidth="1"/>
    <col min="9738" max="9750" width="7.26953125" style="1764" customWidth="1"/>
    <col min="9751" max="9752" width="8" style="1764" customWidth="1"/>
    <col min="9753" max="9753" width="9.1796875" style="1764" customWidth="1"/>
    <col min="9754" max="9754" width="9.453125" style="1764" customWidth="1"/>
    <col min="9755" max="9989" width="9.1796875" style="1764"/>
    <col min="9990" max="9990" width="3.7265625" style="1764" customWidth="1"/>
    <col min="9991" max="9991" width="14.453125" style="1764" customWidth="1"/>
    <col min="9992" max="9992" width="3.7265625" style="1764" customWidth="1"/>
    <col min="9993" max="9993" width="21.453125" style="1764" customWidth="1"/>
    <col min="9994" max="10006" width="7.26953125" style="1764" customWidth="1"/>
    <col min="10007" max="10008" width="8" style="1764" customWidth="1"/>
    <col min="10009" max="10009" width="9.1796875" style="1764" customWidth="1"/>
    <col min="10010" max="10010" width="9.453125" style="1764" customWidth="1"/>
    <col min="10011" max="10245" width="9.1796875" style="1764"/>
    <col min="10246" max="10246" width="3.7265625" style="1764" customWidth="1"/>
    <col min="10247" max="10247" width="14.453125" style="1764" customWidth="1"/>
    <col min="10248" max="10248" width="3.7265625" style="1764" customWidth="1"/>
    <col min="10249" max="10249" width="21.453125" style="1764" customWidth="1"/>
    <col min="10250" max="10262" width="7.26953125" style="1764" customWidth="1"/>
    <col min="10263" max="10264" width="8" style="1764" customWidth="1"/>
    <col min="10265" max="10265" width="9.1796875" style="1764" customWidth="1"/>
    <col min="10266" max="10266" width="9.453125" style="1764" customWidth="1"/>
    <col min="10267" max="10501" width="9.1796875" style="1764"/>
    <col min="10502" max="10502" width="3.7265625" style="1764" customWidth="1"/>
    <col min="10503" max="10503" width="14.453125" style="1764" customWidth="1"/>
    <col min="10504" max="10504" width="3.7265625" style="1764" customWidth="1"/>
    <col min="10505" max="10505" width="21.453125" style="1764" customWidth="1"/>
    <col min="10506" max="10518" width="7.26953125" style="1764" customWidth="1"/>
    <col min="10519" max="10520" width="8" style="1764" customWidth="1"/>
    <col min="10521" max="10521" width="9.1796875" style="1764" customWidth="1"/>
    <col min="10522" max="10522" width="9.453125" style="1764" customWidth="1"/>
    <col min="10523" max="10757" width="9.1796875" style="1764"/>
    <col min="10758" max="10758" width="3.7265625" style="1764" customWidth="1"/>
    <col min="10759" max="10759" width="14.453125" style="1764" customWidth="1"/>
    <col min="10760" max="10760" width="3.7265625" style="1764" customWidth="1"/>
    <col min="10761" max="10761" width="21.453125" style="1764" customWidth="1"/>
    <col min="10762" max="10774" width="7.26953125" style="1764" customWidth="1"/>
    <col min="10775" max="10776" width="8" style="1764" customWidth="1"/>
    <col min="10777" max="10777" width="9.1796875" style="1764" customWidth="1"/>
    <col min="10778" max="10778" width="9.453125" style="1764" customWidth="1"/>
    <col min="10779" max="11013" width="9.1796875" style="1764"/>
    <col min="11014" max="11014" width="3.7265625" style="1764" customWidth="1"/>
    <col min="11015" max="11015" width="14.453125" style="1764" customWidth="1"/>
    <col min="11016" max="11016" width="3.7265625" style="1764" customWidth="1"/>
    <col min="11017" max="11017" width="21.453125" style="1764" customWidth="1"/>
    <col min="11018" max="11030" width="7.26953125" style="1764" customWidth="1"/>
    <col min="11031" max="11032" width="8" style="1764" customWidth="1"/>
    <col min="11033" max="11033" width="9.1796875" style="1764" customWidth="1"/>
    <col min="11034" max="11034" width="9.453125" style="1764" customWidth="1"/>
    <col min="11035" max="11269" width="9.1796875" style="1764"/>
    <col min="11270" max="11270" width="3.7265625" style="1764" customWidth="1"/>
    <col min="11271" max="11271" width="14.453125" style="1764" customWidth="1"/>
    <col min="11272" max="11272" width="3.7265625" style="1764" customWidth="1"/>
    <col min="11273" max="11273" width="21.453125" style="1764" customWidth="1"/>
    <col min="11274" max="11286" width="7.26953125" style="1764" customWidth="1"/>
    <col min="11287" max="11288" width="8" style="1764" customWidth="1"/>
    <col min="11289" max="11289" width="9.1796875" style="1764" customWidth="1"/>
    <col min="11290" max="11290" width="9.453125" style="1764" customWidth="1"/>
    <col min="11291" max="11525" width="9.1796875" style="1764"/>
    <col min="11526" max="11526" width="3.7265625" style="1764" customWidth="1"/>
    <col min="11527" max="11527" width="14.453125" style="1764" customWidth="1"/>
    <col min="11528" max="11528" width="3.7265625" style="1764" customWidth="1"/>
    <col min="11529" max="11529" width="21.453125" style="1764" customWidth="1"/>
    <col min="11530" max="11542" width="7.26953125" style="1764" customWidth="1"/>
    <col min="11543" max="11544" width="8" style="1764" customWidth="1"/>
    <col min="11545" max="11545" width="9.1796875" style="1764" customWidth="1"/>
    <col min="11546" max="11546" width="9.453125" style="1764" customWidth="1"/>
    <col min="11547" max="11781" width="9.1796875" style="1764"/>
    <col min="11782" max="11782" width="3.7265625" style="1764" customWidth="1"/>
    <col min="11783" max="11783" width="14.453125" style="1764" customWidth="1"/>
    <col min="11784" max="11784" width="3.7265625" style="1764" customWidth="1"/>
    <col min="11785" max="11785" width="21.453125" style="1764" customWidth="1"/>
    <col min="11786" max="11798" width="7.26953125" style="1764" customWidth="1"/>
    <col min="11799" max="11800" width="8" style="1764" customWidth="1"/>
    <col min="11801" max="11801" width="9.1796875" style="1764" customWidth="1"/>
    <col min="11802" max="11802" width="9.453125" style="1764" customWidth="1"/>
    <col min="11803" max="12037" width="9.1796875" style="1764"/>
    <col min="12038" max="12038" width="3.7265625" style="1764" customWidth="1"/>
    <col min="12039" max="12039" width="14.453125" style="1764" customWidth="1"/>
    <col min="12040" max="12040" width="3.7265625" style="1764" customWidth="1"/>
    <col min="12041" max="12041" width="21.453125" style="1764" customWidth="1"/>
    <col min="12042" max="12054" width="7.26953125" style="1764" customWidth="1"/>
    <col min="12055" max="12056" width="8" style="1764" customWidth="1"/>
    <col min="12057" max="12057" width="9.1796875" style="1764" customWidth="1"/>
    <col min="12058" max="12058" width="9.453125" style="1764" customWidth="1"/>
    <col min="12059" max="12293" width="9.1796875" style="1764"/>
    <col min="12294" max="12294" width="3.7265625" style="1764" customWidth="1"/>
    <col min="12295" max="12295" width="14.453125" style="1764" customWidth="1"/>
    <col min="12296" max="12296" width="3.7265625" style="1764" customWidth="1"/>
    <col min="12297" max="12297" width="21.453125" style="1764" customWidth="1"/>
    <col min="12298" max="12310" width="7.26953125" style="1764" customWidth="1"/>
    <col min="12311" max="12312" width="8" style="1764" customWidth="1"/>
    <col min="12313" max="12313" width="9.1796875" style="1764" customWidth="1"/>
    <col min="12314" max="12314" width="9.453125" style="1764" customWidth="1"/>
    <col min="12315" max="12549" width="9.1796875" style="1764"/>
    <col min="12550" max="12550" width="3.7265625" style="1764" customWidth="1"/>
    <col min="12551" max="12551" width="14.453125" style="1764" customWidth="1"/>
    <col min="12552" max="12552" width="3.7265625" style="1764" customWidth="1"/>
    <col min="12553" max="12553" width="21.453125" style="1764" customWidth="1"/>
    <col min="12554" max="12566" width="7.26953125" style="1764" customWidth="1"/>
    <col min="12567" max="12568" width="8" style="1764" customWidth="1"/>
    <col min="12569" max="12569" width="9.1796875" style="1764" customWidth="1"/>
    <col min="12570" max="12570" width="9.453125" style="1764" customWidth="1"/>
    <col min="12571" max="12805" width="9.1796875" style="1764"/>
    <col min="12806" max="12806" width="3.7265625" style="1764" customWidth="1"/>
    <col min="12807" max="12807" width="14.453125" style="1764" customWidth="1"/>
    <col min="12808" max="12808" width="3.7265625" style="1764" customWidth="1"/>
    <col min="12809" max="12809" width="21.453125" style="1764" customWidth="1"/>
    <col min="12810" max="12822" width="7.26953125" style="1764" customWidth="1"/>
    <col min="12823" max="12824" width="8" style="1764" customWidth="1"/>
    <col min="12825" max="12825" width="9.1796875" style="1764" customWidth="1"/>
    <col min="12826" max="12826" width="9.453125" style="1764" customWidth="1"/>
    <col min="12827" max="13061" width="9.1796875" style="1764"/>
    <col min="13062" max="13062" width="3.7265625" style="1764" customWidth="1"/>
    <col min="13063" max="13063" width="14.453125" style="1764" customWidth="1"/>
    <col min="13064" max="13064" width="3.7265625" style="1764" customWidth="1"/>
    <col min="13065" max="13065" width="21.453125" style="1764" customWidth="1"/>
    <col min="13066" max="13078" width="7.26953125" style="1764" customWidth="1"/>
    <col min="13079" max="13080" width="8" style="1764" customWidth="1"/>
    <col min="13081" max="13081" width="9.1796875" style="1764" customWidth="1"/>
    <col min="13082" max="13082" width="9.453125" style="1764" customWidth="1"/>
    <col min="13083" max="13317" width="9.1796875" style="1764"/>
    <col min="13318" max="13318" width="3.7265625" style="1764" customWidth="1"/>
    <col min="13319" max="13319" width="14.453125" style="1764" customWidth="1"/>
    <col min="13320" max="13320" width="3.7265625" style="1764" customWidth="1"/>
    <col min="13321" max="13321" width="21.453125" style="1764" customWidth="1"/>
    <col min="13322" max="13334" width="7.26953125" style="1764" customWidth="1"/>
    <col min="13335" max="13336" width="8" style="1764" customWidth="1"/>
    <col min="13337" max="13337" width="9.1796875" style="1764" customWidth="1"/>
    <col min="13338" max="13338" width="9.453125" style="1764" customWidth="1"/>
    <col min="13339" max="13573" width="9.1796875" style="1764"/>
    <col min="13574" max="13574" width="3.7265625" style="1764" customWidth="1"/>
    <col min="13575" max="13575" width="14.453125" style="1764" customWidth="1"/>
    <col min="13576" max="13576" width="3.7265625" style="1764" customWidth="1"/>
    <col min="13577" max="13577" width="21.453125" style="1764" customWidth="1"/>
    <col min="13578" max="13590" width="7.26953125" style="1764" customWidth="1"/>
    <col min="13591" max="13592" width="8" style="1764" customWidth="1"/>
    <col min="13593" max="13593" width="9.1796875" style="1764" customWidth="1"/>
    <col min="13594" max="13594" width="9.453125" style="1764" customWidth="1"/>
    <col min="13595" max="13829" width="9.1796875" style="1764"/>
    <col min="13830" max="13830" width="3.7265625" style="1764" customWidth="1"/>
    <col min="13831" max="13831" width="14.453125" style="1764" customWidth="1"/>
    <col min="13832" max="13832" width="3.7265625" style="1764" customWidth="1"/>
    <col min="13833" max="13833" width="21.453125" style="1764" customWidth="1"/>
    <col min="13834" max="13846" width="7.26953125" style="1764" customWidth="1"/>
    <col min="13847" max="13848" width="8" style="1764" customWidth="1"/>
    <col min="13849" max="13849" width="9.1796875" style="1764" customWidth="1"/>
    <col min="13850" max="13850" width="9.453125" style="1764" customWidth="1"/>
    <col min="13851" max="14085" width="9.1796875" style="1764"/>
    <col min="14086" max="14086" width="3.7265625" style="1764" customWidth="1"/>
    <col min="14087" max="14087" width="14.453125" style="1764" customWidth="1"/>
    <col min="14088" max="14088" width="3.7265625" style="1764" customWidth="1"/>
    <col min="14089" max="14089" width="21.453125" style="1764" customWidth="1"/>
    <col min="14090" max="14102" width="7.26953125" style="1764" customWidth="1"/>
    <col min="14103" max="14104" width="8" style="1764" customWidth="1"/>
    <col min="14105" max="14105" width="9.1796875" style="1764" customWidth="1"/>
    <col min="14106" max="14106" width="9.453125" style="1764" customWidth="1"/>
    <col min="14107" max="14341" width="9.1796875" style="1764"/>
    <col min="14342" max="14342" width="3.7265625" style="1764" customWidth="1"/>
    <col min="14343" max="14343" width="14.453125" style="1764" customWidth="1"/>
    <col min="14344" max="14344" width="3.7265625" style="1764" customWidth="1"/>
    <col min="14345" max="14345" width="21.453125" style="1764" customWidth="1"/>
    <col min="14346" max="14358" width="7.26953125" style="1764" customWidth="1"/>
    <col min="14359" max="14360" width="8" style="1764" customWidth="1"/>
    <col min="14361" max="14361" width="9.1796875" style="1764" customWidth="1"/>
    <col min="14362" max="14362" width="9.453125" style="1764" customWidth="1"/>
    <col min="14363" max="14597" width="9.1796875" style="1764"/>
    <col min="14598" max="14598" width="3.7265625" style="1764" customWidth="1"/>
    <col min="14599" max="14599" width="14.453125" style="1764" customWidth="1"/>
    <col min="14600" max="14600" width="3.7265625" style="1764" customWidth="1"/>
    <col min="14601" max="14601" width="21.453125" style="1764" customWidth="1"/>
    <col min="14602" max="14614" width="7.26953125" style="1764" customWidth="1"/>
    <col min="14615" max="14616" width="8" style="1764" customWidth="1"/>
    <col min="14617" max="14617" width="9.1796875" style="1764" customWidth="1"/>
    <col min="14618" max="14618" width="9.453125" style="1764" customWidth="1"/>
    <col min="14619" max="14853" width="9.1796875" style="1764"/>
    <col min="14854" max="14854" width="3.7265625" style="1764" customWidth="1"/>
    <col min="14855" max="14855" width="14.453125" style="1764" customWidth="1"/>
    <col min="14856" max="14856" width="3.7265625" style="1764" customWidth="1"/>
    <col min="14857" max="14857" width="21.453125" style="1764" customWidth="1"/>
    <col min="14858" max="14870" width="7.26953125" style="1764" customWidth="1"/>
    <col min="14871" max="14872" width="8" style="1764" customWidth="1"/>
    <col min="14873" max="14873" width="9.1796875" style="1764" customWidth="1"/>
    <col min="14874" max="14874" width="9.453125" style="1764" customWidth="1"/>
    <col min="14875" max="15109" width="9.1796875" style="1764"/>
    <col min="15110" max="15110" width="3.7265625" style="1764" customWidth="1"/>
    <col min="15111" max="15111" width="14.453125" style="1764" customWidth="1"/>
    <col min="15112" max="15112" width="3.7265625" style="1764" customWidth="1"/>
    <col min="15113" max="15113" width="21.453125" style="1764" customWidth="1"/>
    <col min="15114" max="15126" width="7.26953125" style="1764" customWidth="1"/>
    <col min="15127" max="15128" width="8" style="1764" customWidth="1"/>
    <col min="15129" max="15129" width="9.1796875" style="1764" customWidth="1"/>
    <col min="15130" max="15130" width="9.453125" style="1764" customWidth="1"/>
    <col min="15131" max="15365" width="9.1796875" style="1764"/>
    <col min="15366" max="15366" width="3.7265625" style="1764" customWidth="1"/>
    <col min="15367" max="15367" width="14.453125" style="1764" customWidth="1"/>
    <col min="15368" max="15368" width="3.7265625" style="1764" customWidth="1"/>
    <col min="15369" max="15369" width="21.453125" style="1764" customWidth="1"/>
    <col min="15370" max="15382" width="7.26953125" style="1764" customWidth="1"/>
    <col min="15383" max="15384" width="8" style="1764" customWidth="1"/>
    <col min="15385" max="15385" width="9.1796875" style="1764" customWidth="1"/>
    <col min="15386" max="15386" width="9.453125" style="1764" customWidth="1"/>
    <col min="15387" max="15621" width="9.1796875" style="1764"/>
    <col min="15622" max="15622" width="3.7265625" style="1764" customWidth="1"/>
    <col min="15623" max="15623" width="14.453125" style="1764" customWidth="1"/>
    <col min="15624" max="15624" width="3.7265625" style="1764" customWidth="1"/>
    <col min="15625" max="15625" width="21.453125" style="1764" customWidth="1"/>
    <col min="15626" max="15638" width="7.26953125" style="1764" customWidth="1"/>
    <col min="15639" max="15640" width="8" style="1764" customWidth="1"/>
    <col min="15641" max="15641" width="9.1796875" style="1764" customWidth="1"/>
    <col min="15642" max="15642" width="9.453125" style="1764" customWidth="1"/>
    <col min="15643" max="15877" width="9.1796875" style="1764"/>
    <col min="15878" max="15878" width="3.7265625" style="1764" customWidth="1"/>
    <col min="15879" max="15879" width="14.453125" style="1764" customWidth="1"/>
    <col min="15880" max="15880" width="3.7265625" style="1764" customWidth="1"/>
    <col min="15881" max="15881" width="21.453125" style="1764" customWidth="1"/>
    <col min="15882" max="15894" width="7.26953125" style="1764" customWidth="1"/>
    <col min="15895" max="15896" width="8" style="1764" customWidth="1"/>
    <col min="15897" max="15897" width="9.1796875" style="1764" customWidth="1"/>
    <col min="15898" max="15898" width="9.453125" style="1764" customWidth="1"/>
    <col min="15899" max="16133" width="9.1796875" style="1764"/>
    <col min="16134" max="16134" width="3.7265625" style="1764" customWidth="1"/>
    <col min="16135" max="16135" width="14.453125" style="1764" customWidth="1"/>
    <col min="16136" max="16136" width="3.7265625" style="1764" customWidth="1"/>
    <col min="16137" max="16137" width="21.453125" style="1764" customWidth="1"/>
    <col min="16138" max="16150" width="7.26953125" style="1764" customWidth="1"/>
    <col min="16151" max="16152" width="8" style="1764" customWidth="1"/>
    <col min="16153" max="16153" width="9.1796875" style="1764" customWidth="1"/>
    <col min="16154" max="16154" width="9.453125" style="1764" customWidth="1"/>
    <col min="16155" max="16384" width="9.1796875" style="1764"/>
  </cols>
  <sheetData>
    <row r="2" spans="1:30" ht="12" customHeight="1" x14ac:dyDescent="0.3">
      <c r="A2" s="1255">
        <v>1</v>
      </c>
      <c r="B2" s="1255" t="s">
        <v>0</v>
      </c>
      <c r="C2" s="1255">
        <f>1+'ART new TROA'!C2</f>
        <v>39</v>
      </c>
      <c r="D2" s="4715" t="s">
        <v>896</v>
      </c>
      <c r="E2" s="4716"/>
      <c r="F2" s="4716"/>
      <c r="G2" s="4716"/>
      <c r="H2" s="4716"/>
      <c r="I2" s="4716"/>
      <c r="J2" s="4716"/>
      <c r="K2" s="4716"/>
      <c r="L2" s="4716"/>
      <c r="M2" s="4716"/>
      <c r="N2" s="4716"/>
      <c r="O2" s="4716"/>
      <c r="P2" s="4716"/>
      <c r="Q2" s="4716"/>
      <c r="R2" s="4716"/>
      <c r="S2" s="4716"/>
      <c r="T2" s="4716"/>
      <c r="U2" s="4716"/>
      <c r="V2" s="4716"/>
      <c r="W2" s="4716"/>
      <c r="X2" s="4716"/>
      <c r="Y2" s="4716"/>
      <c r="Z2" s="4716"/>
      <c r="AA2" s="4716"/>
      <c r="AB2" s="4716"/>
      <c r="AC2" s="4717"/>
    </row>
    <row r="3" spans="1:30" ht="14.15" customHeight="1" x14ac:dyDescent="0.3">
      <c r="A3" s="1255">
        <v>2</v>
      </c>
      <c r="B3" s="1255" t="s">
        <v>2</v>
      </c>
      <c r="C3" s="1255"/>
      <c r="D3" s="4715" t="s">
        <v>761</v>
      </c>
      <c r="E3" s="4716"/>
      <c r="F3" s="4716"/>
      <c r="G3" s="4716"/>
      <c r="H3" s="4716"/>
      <c r="I3" s="4716"/>
      <c r="J3" s="4716"/>
      <c r="K3" s="4716"/>
      <c r="L3" s="4716"/>
      <c r="M3" s="4716"/>
      <c r="N3" s="4716"/>
      <c r="O3" s="4716"/>
      <c r="P3" s="4716"/>
      <c r="Q3" s="4716"/>
      <c r="R3" s="4716"/>
      <c r="S3" s="4716"/>
      <c r="T3" s="4716"/>
      <c r="U3" s="4716"/>
      <c r="V3" s="4716"/>
      <c r="W3" s="4716"/>
      <c r="X3" s="4716"/>
      <c r="Y3" s="4716"/>
      <c r="Z3" s="4716"/>
      <c r="AA3" s="4716"/>
      <c r="AB3" s="4716"/>
      <c r="AC3" s="4717"/>
    </row>
    <row r="4" spans="1:30" ht="14.15" customHeight="1" x14ac:dyDescent="0.3">
      <c r="A4" s="1255">
        <v>3</v>
      </c>
      <c r="B4" s="1255" t="s">
        <v>4</v>
      </c>
      <c r="C4" s="1255"/>
      <c r="D4" s="4715" t="s">
        <v>762</v>
      </c>
      <c r="E4" s="4716"/>
      <c r="F4" s="4716"/>
      <c r="G4" s="4716"/>
      <c r="H4" s="4716"/>
      <c r="I4" s="4716"/>
      <c r="J4" s="4716"/>
      <c r="K4" s="4716"/>
      <c r="L4" s="4716"/>
      <c r="M4" s="4716"/>
      <c r="N4" s="4716"/>
      <c r="O4" s="4716"/>
      <c r="P4" s="4716"/>
      <c r="Q4" s="4716"/>
      <c r="R4" s="4716"/>
      <c r="S4" s="4716"/>
      <c r="T4" s="4716"/>
      <c r="U4" s="4716"/>
      <c r="V4" s="4716"/>
      <c r="W4" s="4716"/>
      <c r="X4" s="4716"/>
      <c r="Y4" s="4716"/>
      <c r="Z4" s="4716"/>
      <c r="AA4" s="4716"/>
      <c r="AB4" s="4716"/>
      <c r="AC4" s="4717"/>
    </row>
    <row r="5" spans="1:30" ht="14.15" customHeight="1" x14ac:dyDescent="0.3">
      <c r="A5" s="1255">
        <v>4</v>
      </c>
      <c r="B5" s="1255" t="s">
        <v>763</v>
      </c>
      <c r="C5" s="1255"/>
      <c r="D5" s="4715" t="s">
        <v>897</v>
      </c>
      <c r="E5" s="4716"/>
      <c r="F5" s="4716"/>
      <c r="G5" s="4716"/>
      <c r="H5" s="4716"/>
      <c r="I5" s="4716"/>
      <c r="J5" s="4716"/>
      <c r="K5" s="4716"/>
      <c r="L5" s="4716"/>
      <c r="M5" s="4716"/>
      <c r="N5" s="4716"/>
      <c r="O5" s="4716"/>
      <c r="P5" s="4716"/>
      <c r="Q5" s="4716"/>
      <c r="R5" s="4716"/>
      <c r="S5" s="4716"/>
      <c r="T5" s="4716"/>
      <c r="U5" s="4716"/>
      <c r="V5" s="4716"/>
      <c r="W5" s="4716"/>
      <c r="X5" s="4716"/>
      <c r="Y5" s="4716"/>
      <c r="Z5" s="4716"/>
      <c r="AA5" s="4716"/>
      <c r="AB5" s="4716"/>
      <c r="AC5" s="4717"/>
    </row>
    <row r="6" spans="1:30" ht="24.75" customHeight="1" x14ac:dyDescent="0.3">
      <c r="A6" s="1255"/>
      <c r="B6" s="1255"/>
      <c r="D6" s="1768"/>
      <c r="E6" s="1768"/>
      <c r="F6" s="1768"/>
      <c r="G6" s="1768"/>
      <c r="H6" s="1768"/>
      <c r="I6" s="1768"/>
      <c r="J6" s="1768"/>
      <c r="K6" s="1768"/>
      <c r="L6" s="1768"/>
      <c r="M6" s="1768"/>
      <c r="N6" s="1768"/>
      <c r="O6" s="1768"/>
      <c r="P6" s="1768"/>
      <c r="Q6" s="1768"/>
      <c r="R6" s="1768"/>
      <c r="S6" s="1768"/>
      <c r="T6" s="1768"/>
      <c r="U6" s="1768"/>
      <c r="V6" s="1768"/>
      <c r="W6" s="1768"/>
      <c r="X6" s="1768"/>
      <c r="Y6" s="1768"/>
      <c r="Z6" s="955"/>
      <c r="AA6" s="955"/>
    </row>
    <row r="7" spans="1:30" ht="24.75" customHeight="1" x14ac:dyDescent="0.3">
      <c r="A7" s="1255">
        <v>5</v>
      </c>
      <c r="B7" s="728" t="s">
        <v>6</v>
      </c>
      <c r="C7" s="2070"/>
      <c r="D7" s="1629" t="s">
        <v>74</v>
      </c>
      <c r="E7" s="1629" t="s">
        <v>898</v>
      </c>
      <c r="F7" s="1629"/>
      <c r="G7" s="1629"/>
      <c r="H7" s="1629"/>
      <c r="I7" s="1629"/>
      <c r="J7" s="1629"/>
      <c r="K7" s="1629"/>
      <c r="L7" s="1629"/>
      <c r="M7" s="1270"/>
      <c r="N7" s="1270"/>
      <c r="O7" s="2367"/>
      <c r="P7" s="1270"/>
      <c r="Q7" s="1270"/>
    </row>
    <row r="8" spans="1:30" x14ac:dyDescent="0.3">
      <c r="B8" s="2070"/>
      <c r="C8" s="2070"/>
      <c r="D8" s="2368"/>
      <c r="E8" s="2369">
        <v>1994</v>
      </c>
      <c r="F8" s="2177">
        <v>1995</v>
      </c>
      <c r="G8" s="2177">
        <v>1996</v>
      </c>
      <c r="H8" s="2177">
        <v>1997</v>
      </c>
      <c r="I8" s="2177">
        <v>1998</v>
      </c>
      <c r="J8" s="2177">
        <v>1999</v>
      </c>
      <c r="K8" s="2177">
        <v>2000</v>
      </c>
      <c r="L8" s="2177">
        <v>2001</v>
      </c>
      <c r="M8" s="2177">
        <v>2002</v>
      </c>
      <c r="N8" s="2177">
        <v>2003</v>
      </c>
      <c r="O8" s="2177">
        <v>2004</v>
      </c>
      <c r="P8" s="2177">
        <v>2005</v>
      </c>
      <c r="Q8" s="2177">
        <v>2006</v>
      </c>
      <c r="R8" s="2177">
        <v>2007</v>
      </c>
      <c r="S8" s="2177">
        <v>2008</v>
      </c>
      <c r="T8" s="2177">
        <v>2009</v>
      </c>
      <c r="U8" s="2177">
        <v>2010</v>
      </c>
      <c r="V8" s="2177">
        <v>2011</v>
      </c>
      <c r="W8" s="2177">
        <v>2012</v>
      </c>
      <c r="X8" s="2177" t="s">
        <v>899</v>
      </c>
      <c r="Y8" s="2253" t="s">
        <v>900</v>
      </c>
      <c r="Z8" s="1489">
        <v>2015</v>
      </c>
      <c r="AA8" s="1489">
        <v>2016</v>
      </c>
      <c r="AB8" s="1489">
        <v>2017</v>
      </c>
      <c r="AC8" s="1489">
        <v>2018</v>
      </c>
      <c r="AD8" s="1489">
        <v>2019</v>
      </c>
    </row>
    <row r="9" spans="1:30" s="2245" customFormat="1" ht="24.75" customHeight="1" x14ac:dyDescent="0.25">
      <c r="A9" s="2370"/>
      <c r="B9" s="2370"/>
      <c r="C9" s="2371">
        <v>1</v>
      </c>
      <c r="D9" s="1642" t="s">
        <v>901</v>
      </c>
      <c r="E9" s="2372">
        <v>90292</v>
      </c>
      <c r="F9" s="2373">
        <v>73917</v>
      </c>
      <c r="G9" s="2373">
        <v>109328</v>
      </c>
      <c r="H9" s="2373">
        <v>125913</v>
      </c>
      <c r="I9" s="2373">
        <v>142281</v>
      </c>
      <c r="J9" s="2373">
        <v>148164</v>
      </c>
      <c r="K9" s="2373">
        <v>151239</v>
      </c>
      <c r="L9" s="2373">
        <v>188695</v>
      </c>
      <c r="M9" s="2373">
        <v>224420</v>
      </c>
      <c r="N9" s="2373">
        <v>255422</v>
      </c>
      <c r="O9" s="2373">
        <v>279260</v>
      </c>
      <c r="P9" s="2373">
        <v>302467</v>
      </c>
      <c r="Q9" s="2373">
        <v>341165</v>
      </c>
      <c r="R9" s="2373">
        <v>353879</v>
      </c>
      <c r="S9" s="2373">
        <v>388882</v>
      </c>
      <c r="T9" s="2373">
        <v>406082</v>
      </c>
      <c r="U9" s="2373">
        <v>401048</v>
      </c>
      <c r="V9" s="2373">
        <v>389974</v>
      </c>
      <c r="W9" s="2373">
        <v>349582</v>
      </c>
      <c r="X9" s="2373">
        <v>328896</v>
      </c>
      <c r="Y9" s="2373">
        <v>318193</v>
      </c>
      <c r="Z9" s="1816">
        <v>235778</v>
      </c>
      <c r="AA9" s="1816">
        <v>266105</v>
      </c>
      <c r="AB9" s="2374">
        <v>227224</v>
      </c>
      <c r="AC9" s="2375">
        <v>235652</v>
      </c>
      <c r="AD9" s="2375">
        <v>168157</v>
      </c>
    </row>
    <row r="10" spans="1:30" x14ac:dyDescent="0.3">
      <c r="C10" s="2376">
        <v>2</v>
      </c>
      <c r="D10" s="2377" t="s">
        <v>902</v>
      </c>
      <c r="E10" s="2378">
        <v>73</v>
      </c>
      <c r="F10" s="2379">
        <v>73</v>
      </c>
      <c r="G10" s="2379">
        <v>73</v>
      </c>
      <c r="H10" s="2379">
        <v>73</v>
      </c>
      <c r="I10" s="2379">
        <v>73</v>
      </c>
      <c r="J10" s="2379">
        <v>72</v>
      </c>
      <c r="K10" s="2379">
        <v>63</v>
      </c>
      <c r="L10" s="2379">
        <v>61</v>
      </c>
      <c r="M10" s="2379">
        <v>63</v>
      </c>
      <c r="N10" s="2379">
        <v>63</v>
      </c>
      <c r="O10" s="2379">
        <v>66</v>
      </c>
      <c r="P10" s="2379">
        <v>71</v>
      </c>
      <c r="Q10" s="2379">
        <v>74</v>
      </c>
      <c r="R10" s="2379">
        <v>74</v>
      </c>
      <c r="S10" s="2379">
        <v>76</v>
      </c>
      <c r="T10" s="2379">
        <v>77</v>
      </c>
      <c r="U10" s="2379">
        <v>79</v>
      </c>
      <c r="V10" s="2379">
        <v>80</v>
      </c>
      <c r="W10" s="2379">
        <v>81</v>
      </c>
      <c r="X10" s="2379">
        <v>82</v>
      </c>
      <c r="Y10" s="2379">
        <v>77.900000000000006</v>
      </c>
      <c r="Z10" s="2380">
        <v>77.5</v>
      </c>
      <c r="AA10" s="2380">
        <v>82.2</v>
      </c>
      <c r="AB10" s="2381">
        <v>81.7</v>
      </c>
      <c r="AC10" s="2381">
        <v>76</v>
      </c>
      <c r="AD10" s="2381">
        <v>79.400000000000006</v>
      </c>
    </row>
    <row r="11" spans="1:30" x14ac:dyDescent="0.3">
      <c r="C11" s="2376">
        <v>3</v>
      </c>
      <c r="D11" s="1642" t="s">
        <v>903</v>
      </c>
      <c r="E11" s="2378">
        <v>18</v>
      </c>
      <c r="F11" s="2379">
        <v>19</v>
      </c>
      <c r="G11" s="2379">
        <v>18</v>
      </c>
      <c r="H11" s="2379">
        <v>19</v>
      </c>
      <c r="I11" s="2379">
        <v>19</v>
      </c>
      <c r="J11" s="2379">
        <v>17</v>
      </c>
      <c r="K11" s="2379">
        <v>13</v>
      </c>
      <c r="L11" s="2379">
        <v>11</v>
      </c>
      <c r="M11" s="2379">
        <v>12</v>
      </c>
      <c r="N11" s="2379">
        <v>11</v>
      </c>
      <c r="O11" s="2379">
        <v>10</v>
      </c>
      <c r="P11" s="2379">
        <v>10</v>
      </c>
      <c r="Q11" s="2379">
        <v>9</v>
      </c>
      <c r="R11" s="2379">
        <v>9</v>
      </c>
      <c r="S11" s="2379">
        <v>8</v>
      </c>
      <c r="T11" s="2379">
        <v>7</v>
      </c>
      <c r="U11" s="2379">
        <v>7</v>
      </c>
      <c r="V11" s="2379">
        <v>6</v>
      </c>
      <c r="W11" s="2379">
        <v>6</v>
      </c>
      <c r="X11" s="2379">
        <v>5.8</v>
      </c>
      <c r="Y11" s="2379">
        <v>6.3</v>
      </c>
      <c r="Z11" s="2380">
        <v>6</v>
      </c>
      <c r="AA11" s="2380">
        <v>6.5</v>
      </c>
      <c r="AB11" s="2381">
        <v>6.9</v>
      </c>
      <c r="AC11" s="2381">
        <v>8</v>
      </c>
      <c r="AD11" s="2381">
        <v>10.3</v>
      </c>
    </row>
    <row r="12" spans="1:30" s="1265" customFormat="1" ht="13.5" customHeight="1" x14ac:dyDescent="0.25">
      <c r="A12" s="1260"/>
      <c r="B12" s="1260"/>
      <c r="C12" s="2376">
        <v>4</v>
      </c>
      <c r="D12" s="1642" t="s">
        <v>904</v>
      </c>
      <c r="E12" s="2382"/>
      <c r="F12" s="2383"/>
      <c r="G12" s="2383"/>
      <c r="H12" s="2383"/>
      <c r="I12" s="2383"/>
      <c r="J12" s="2383"/>
      <c r="K12" s="2383"/>
      <c r="L12" s="2383"/>
      <c r="M12" s="2383"/>
      <c r="N12" s="2383"/>
      <c r="O12" s="2383"/>
      <c r="P12" s="2383"/>
      <c r="Q12" s="2383"/>
      <c r="R12" s="2383"/>
      <c r="S12" s="2383"/>
      <c r="T12" s="2383"/>
      <c r="U12" s="2383"/>
      <c r="V12" s="2383"/>
      <c r="W12" s="2383"/>
      <c r="X12" s="2383"/>
      <c r="Y12" s="2383">
        <v>7.4</v>
      </c>
      <c r="Z12" s="2384">
        <v>6.7</v>
      </c>
      <c r="AA12" s="2384">
        <v>6.7</v>
      </c>
      <c r="AB12" s="2385">
        <v>6.6</v>
      </c>
      <c r="AC12" s="2381">
        <v>7</v>
      </c>
      <c r="AD12" s="2381">
        <v>7</v>
      </c>
    </row>
    <row r="13" spans="1:30" s="1265" customFormat="1" ht="13.5" customHeight="1" x14ac:dyDescent="0.25">
      <c r="A13" s="1260"/>
      <c r="B13" s="1260"/>
      <c r="C13" s="2376"/>
      <c r="D13" s="1642"/>
      <c r="E13" s="2089"/>
      <c r="F13" s="2089"/>
      <c r="G13" s="2089"/>
      <c r="H13" s="2089"/>
      <c r="I13" s="2089"/>
      <c r="J13" s="2089"/>
      <c r="K13" s="2089"/>
      <c r="L13" s="2089"/>
      <c r="M13" s="2089"/>
      <c r="N13" s="2089"/>
      <c r="O13" s="2089"/>
      <c r="P13" s="2089"/>
      <c r="Q13" s="2089"/>
      <c r="R13" s="2089"/>
      <c r="S13" s="2089"/>
      <c r="T13" s="2089"/>
      <c r="U13" s="2089"/>
      <c r="V13" s="2089"/>
      <c r="W13" s="2089"/>
      <c r="X13" s="2089"/>
      <c r="Y13" s="2089"/>
      <c r="Z13" s="2089"/>
      <c r="AA13" s="2089"/>
      <c r="AB13" s="2089"/>
      <c r="AC13" s="2089"/>
    </row>
    <row r="14" spans="1:30" s="1265" customFormat="1" ht="13.5" customHeight="1" x14ac:dyDescent="0.25">
      <c r="A14" s="1260"/>
      <c r="B14" s="1260"/>
      <c r="C14" s="2376"/>
      <c r="D14" s="1642"/>
      <c r="E14" s="2089"/>
      <c r="F14" s="2089"/>
      <c r="G14" s="2089"/>
      <c r="H14" s="2089"/>
      <c r="I14" s="2089"/>
      <c r="J14" s="2089"/>
      <c r="K14" s="2089"/>
      <c r="L14" s="2089"/>
      <c r="M14" s="2089"/>
      <c r="N14" s="2089"/>
      <c r="O14" s="2089"/>
      <c r="P14" s="2089"/>
      <c r="Q14" s="2089"/>
      <c r="R14" s="2089"/>
      <c r="S14" s="2089"/>
      <c r="T14" s="2089"/>
      <c r="U14" s="2089"/>
      <c r="V14" s="2089"/>
      <c r="W14" s="2089"/>
      <c r="X14" s="2089"/>
      <c r="Y14" s="2089"/>
      <c r="Z14" s="2089"/>
      <c r="AA14" s="2089"/>
      <c r="AB14" s="2089"/>
      <c r="AC14" s="2089"/>
    </row>
    <row r="15" spans="1:30" s="1265" customFormat="1" ht="13.5" customHeight="1" x14ac:dyDescent="0.25">
      <c r="A15" s="1260"/>
      <c r="B15" s="1260"/>
      <c r="C15" s="2376"/>
      <c r="D15" s="1642"/>
      <c r="E15" s="1592"/>
      <c r="F15" s="1592"/>
      <c r="G15" s="1592"/>
      <c r="H15" s="1592"/>
      <c r="I15" s="1592"/>
      <c r="J15" s="1592"/>
      <c r="K15" s="1592"/>
      <c r="L15" s="1592"/>
      <c r="M15" s="1592"/>
      <c r="N15" s="1592"/>
      <c r="O15" s="1592"/>
      <c r="P15" s="1592"/>
      <c r="Q15" s="1592"/>
      <c r="R15" s="1592"/>
      <c r="S15" s="1592"/>
      <c r="T15" s="2386"/>
      <c r="U15" s="2386"/>
      <c r="V15" s="2386"/>
      <c r="W15" s="2386"/>
      <c r="X15" s="2386"/>
      <c r="Y15" s="2386"/>
      <c r="Z15" s="2386"/>
      <c r="AA15" s="2386"/>
    </row>
    <row r="17" spans="1:3" x14ac:dyDescent="0.3">
      <c r="A17" s="1255">
        <v>6</v>
      </c>
      <c r="B17" s="1255" t="s">
        <v>56</v>
      </c>
      <c r="C17" s="1255"/>
    </row>
    <row r="35" spans="1:29" ht="15" customHeight="1" x14ac:dyDescent="0.3">
      <c r="A35" s="1255">
        <v>7</v>
      </c>
      <c r="B35" s="1255" t="s">
        <v>58</v>
      </c>
      <c r="C35" s="1255"/>
      <c r="D35" s="4715" t="s">
        <v>905</v>
      </c>
      <c r="E35" s="4716"/>
      <c r="F35" s="4716"/>
      <c r="G35" s="4716"/>
      <c r="H35" s="4716"/>
      <c r="I35" s="4716"/>
      <c r="J35" s="4716"/>
      <c r="K35" s="4716"/>
      <c r="L35" s="4716"/>
      <c r="M35" s="4716"/>
      <c r="N35" s="4716"/>
      <c r="O35" s="4716"/>
      <c r="P35" s="4716"/>
      <c r="Q35" s="4716"/>
      <c r="R35" s="4716"/>
      <c r="S35" s="4716"/>
      <c r="T35" s="4716"/>
      <c r="U35" s="4716"/>
      <c r="V35" s="4716"/>
      <c r="W35" s="4716"/>
      <c r="X35" s="4716"/>
      <c r="Y35" s="4716"/>
      <c r="Z35" s="4716"/>
      <c r="AA35" s="4716"/>
      <c r="AB35" s="4716"/>
      <c r="AC35" s="4717"/>
    </row>
    <row r="36" spans="1:29" ht="60.75" customHeight="1" x14ac:dyDescent="0.3">
      <c r="A36" s="1306">
        <v>8</v>
      </c>
      <c r="B36" s="1306" t="s">
        <v>60</v>
      </c>
      <c r="C36" s="1255"/>
      <c r="D36" s="4715" t="s">
        <v>906</v>
      </c>
      <c r="E36" s="4716"/>
      <c r="F36" s="4716"/>
      <c r="G36" s="4716"/>
      <c r="H36" s="4716"/>
      <c r="I36" s="4716"/>
      <c r="J36" s="4716"/>
      <c r="K36" s="4716"/>
      <c r="L36" s="4716"/>
      <c r="M36" s="4716"/>
      <c r="N36" s="4716"/>
      <c r="O36" s="4716"/>
      <c r="P36" s="4716"/>
      <c r="Q36" s="4716"/>
      <c r="R36" s="4716"/>
      <c r="S36" s="4716"/>
      <c r="T36" s="4716"/>
      <c r="U36" s="4716"/>
      <c r="V36" s="4716"/>
      <c r="W36" s="4716"/>
      <c r="X36" s="4716"/>
      <c r="Y36" s="4716"/>
      <c r="Z36" s="4716"/>
      <c r="AA36" s="4716"/>
      <c r="AB36" s="4716"/>
      <c r="AC36" s="4717"/>
    </row>
    <row r="37" spans="1:29" ht="14.15" customHeight="1" x14ac:dyDescent="0.3">
      <c r="A37" s="1255">
        <v>9</v>
      </c>
      <c r="B37" s="1255" t="s">
        <v>62</v>
      </c>
      <c r="C37" s="1255"/>
      <c r="D37" s="4715" t="s">
        <v>907</v>
      </c>
      <c r="E37" s="4716"/>
      <c r="F37" s="4716"/>
      <c r="G37" s="4716"/>
      <c r="H37" s="4716"/>
      <c r="I37" s="4716"/>
      <c r="J37" s="4716"/>
      <c r="K37" s="4716"/>
      <c r="L37" s="4716"/>
      <c r="M37" s="4716"/>
      <c r="N37" s="4716"/>
      <c r="O37" s="4716"/>
      <c r="P37" s="4716"/>
      <c r="Q37" s="4716"/>
      <c r="R37" s="4716"/>
      <c r="S37" s="4716"/>
      <c r="T37" s="4716"/>
      <c r="U37" s="4716"/>
      <c r="V37" s="4716"/>
      <c r="W37" s="4716"/>
      <c r="X37" s="4716"/>
      <c r="Y37" s="4716"/>
      <c r="Z37" s="4716"/>
      <c r="AA37" s="4716"/>
      <c r="AB37" s="4716"/>
      <c r="AC37" s="4717"/>
    </row>
    <row r="38" spans="1:29" x14ac:dyDescent="0.3">
      <c r="D38" s="4856"/>
      <c r="E38" s="4856"/>
      <c r="F38" s="4856"/>
      <c r="G38" s="4856"/>
      <c r="H38" s="4856"/>
      <c r="I38" s="4856"/>
      <c r="J38" s="4856"/>
      <c r="K38" s="4856"/>
      <c r="L38" s="4856"/>
      <c r="M38" s="4856"/>
      <c r="N38" s="4856"/>
      <c r="O38" s="4856"/>
      <c r="P38" s="4856"/>
      <c r="Q38" s="1765"/>
    </row>
    <row r="39" spans="1:29" x14ac:dyDescent="0.3">
      <c r="D39" s="4856"/>
      <c r="E39" s="4856"/>
      <c r="F39" s="4856"/>
      <c r="G39" s="4856"/>
      <c r="H39" s="4856"/>
      <c r="I39" s="4856"/>
      <c r="J39" s="4856"/>
      <c r="K39" s="4856"/>
      <c r="L39" s="4856"/>
      <c r="M39" s="4856"/>
      <c r="N39" s="4856"/>
      <c r="O39" s="4856"/>
      <c r="P39" s="4856"/>
      <c r="Q39" s="1765"/>
    </row>
    <row r="40" spans="1:29" x14ac:dyDescent="0.3">
      <c r="D40" s="1765"/>
      <c r="E40" s="1765"/>
      <c r="F40" s="1765"/>
      <c r="G40" s="1765"/>
      <c r="H40" s="1765"/>
      <c r="I40" s="1765"/>
      <c r="J40" s="1765"/>
      <c r="K40" s="1765"/>
      <c r="L40" s="1765"/>
      <c r="M40" s="1765"/>
      <c r="N40" s="1765"/>
      <c r="O40" s="1765"/>
      <c r="P40" s="1765"/>
      <c r="Q40" s="1765"/>
    </row>
    <row r="41" spans="1:29" x14ac:dyDescent="0.3">
      <c r="C41" s="1844"/>
      <c r="D41" s="2387" t="s">
        <v>234</v>
      </c>
      <c r="E41" s="2388" t="s">
        <v>908</v>
      </c>
      <c r="F41" s="2389"/>
      <c r="G41" s="2389"/>
      <c r="H41" s="1592"/>
      <c r="I41" s="1592"/>
      <c r="J41" s="1592"/>
      <c r="K41" s="1592"/>
      <c r="L41" s="1592"/>
      <c r="M41" s="1592"/>
      <c r="N41" s="1592"/>
      <c r="O41" s="1592"/>
      <c r="P41" s="1592"/>
      <c r="Q41" s="1592"/>
      <c r="R41" s="1592"/>
      <c r="S41" s="1592"/>
      <c r="T41" s="2386"/>
      <c r="U41" s="2386"/>
      <c r="V41" s="2386"/>
      <c r="W41" s="2386"/>
      <c r="X41" s="2386"/>
    </row>
    <row r="42" spans="1:29" x14ac:dyDescent="0.3">
      <c r="C42" s="1844"/>
      <c r="D42" s="2390" t="s">
        <v>909</v>
      </c>
      <c r="E42" s="2391"/>
      <c r="F42" s="2391"/>
      <c r="G42" s="2391"/>
      <c r="H42" s="2391"/>
      <c r="I42" s="2391"/>
      <c r="J42" s="2391"/>
      <c r="K42" s="2391"/>
      <c r="L42" s="2391"/>
      <c r="M42" s="2391"/>
      <c r="N42" s="2391"/>
      <c r="O42" s="2391"/>
      <c r="P42" s="2391">
        <v>10312</v>
      </c>
      <c r="Q42" s="2391">
        <v>10553</v>
      </c>
      <c r="R42" s="2391">
        <v>10708</v>
      </c>
      <c r="S42" s="2391">
        <v>10035</v>
      </c>
      <c r="T42" s="2391">
        <v>10537</v>
      </c>
      <c r="U42" s="2391">
        <v>10106</v>
      </c>
      <c r="V42" s="2391"/>
      <c r="W42" s="2391"/>
      <c r="X42" s="2391"/>
      <c r="Y42" s="2190"/>
      <c r="Z42" s="2190"/>
      <c r="AA42" s="2190"/>
      <c r="AB42" s="2190"/>
      <c r="AC42" s="2190"/>
    </row>
    <row r="43" spans="1:29" x14ac:dyDescent="0.3">
      <c r="C43" s="1844"/>
      <c r="D43" s="1642" t="s">
        <v>910</v>
      </c>
      <c r="E43" s="1592"/>
      <c r="F43" s="1592"/>
      <c r="G43" s="1592"/>
      <c r="H43" s="1592"/>
      <c r="I43" s="1592"/>
      <c r="J43" s="1592"/>
      <c r="K43" s="1592"/>
      <c r="L43" s="1592"/>
      <c r="M43" s="1592"/>
      <c r="N43" s="1592"/>
      <c r="O43" s="1592"/>
      <c r="P43" s="1592">
        <v>2000</v>
      </c>
      <c r="Q43" s="1592">
        <v>6716</v>
      </c>
      <c r="R43" s="1592">
        <v>7350</v>
      </c>
      <c r="S43" s="1592">
        <v>8198</v>
      </c>
      <c r="T43" s="2392">
        <v>9070</v>
      </c>
      <c r="U43" s="2392">
        <v>7386</v>
      </c>
      <c r="V43" s="2392"/>
      <c r="W43" s="2392"/>
      <c r="X43" s="2392"/>
      <c r="Y43" s="1765"/>
      <c r="Z43" s="1765"/>
      <c r="AA43" s="1765"/>
      <c r="AB43" s="1765"/>
      <c r="AC43" s="1765"/>
    </row>
    <row r="44" spans="1:29" x14ac:dyDescent="0.3">
      <c r="C44" s="1844"/>
      <c r="D44" s="2393" t="s">
        <v>97</v>
      </c>
      <c r="E44" s="1826"/>
      <c r="F44" s="1826"/>
      <c r="G44" s="1826"/>
      <c r="H44" s="1826"/>
      <c r="I44" s="1826"/>
      <c r="J44" s="1826"/>
      <c r="K44" s="1826"/>
      <c r="L44" s="1826"/>
      <c r="M44" s="1826"/>
      <c r="N44" s="1826"/>
      <c r="O44" s="1826"/>
      <c r="P44" s="1826">
        <v>19</v>
      </c>
      <c r="Q44" s="1826">
        <v>64</v>
      </c>
      <c r="R44" s="1826">
        <v>69</v>
      </c>
      <c r="S44" s="1826">
        <v>82</v>
      </c>
      <c r="T44" s="2394">
        <v>86</v>
      </c>
      <c r="U44" s="2394">
        <v>73</v>
      </c>
      <c r="V44" s="2394"/>
      <c r="W44" s="2394"/>
      <c r="X44" s="2394"/>
      <c r="Y44" s="1765"/>
      <c r="Z44" s="1765"/>
      <c r="AA44" s="1765"/>
      <c r="AB44" s="1765"/>
      <c r="AC44" s="1765"/>
    </row>
    <row r="45" spans="1:29" x14ac:dyDescent="0.3">
      <c r="C45" s="1844"/>
      <c r="D45" s="1642" t="s">
        <v>911</v>
      </c>
      <c r="E45" s="1592"/>
      <c r="F45" s="1592"/>
      <c r="G45" s="1592"/>
      <c r="H45" s="1592"/>
      <c r="I45" s="1592"/>
      <c r="J45" s="1592"/>
      <c r="K45" s="1592"/>
      <c r="L45" s="1592"/>
      <c r="M45" s="1592"/>
      <c r="N45" s="1592"/>
      <c r="O45" s="1592"/>
      <c r="P45" s="2395" t="s">
        <v>912</v>
      </c>
      <c r="Q45" s="2395" t="s">
        <v>913</v>
      </c>
      <c r="R45" s="2395" t="s">
        <v>913</v>
      </c>
      <c r="S45" s="2396" t="s">
        <v>914</v>
      </c>
      <c r="T45" s="2396" t="s">
        <v>915</v>
      </c>
      <c r="U45" s="2396" t="s">
        <v>916</v>
      </c>
      <c r="V45" s="2396"/>
      <c r="W45" s="2396"/>
      <c r="X45" s="2396"/>
      <c r="Y45" s="1765"/>
      <c r="Z45" s="1765"/>
      <c r="AA45" s="1765"/>
      <c r="AB45" s="1765"/>
      <c r="AC45" s="1765"/>
    </row>
    <row r="46" spans="1:29" x14ac:dyDescent="0.3">
      <c r="C46" s="1844"/>
      <c r="D46" s="1948" t="s">
        <v>917</v>
      </c>
      <c r="E46" s="1592"/>
      <c r="F46" s="1592"/>
      <c r="G46" s="1592"/>
      <c r="H46" s="1592"/>
      <c r="I46" s="1592"/>
      <c r="J46" s="1592"/>
      <c r="K46" s="1592"/>
      <c r="L46" s="1592"/>
      <c r="M46" s="1592"/>
      <c r="N46" s="2202"/>
      <c r="O46" s="1592"/>
      <c r="P46" s="2397">
        <v>0</v>
      </c>
      <c r="Q46" s="2397">
        <v>0</v>
      </c>
      <c r="R46" s="2397">
        <v>0</v>
      </c>
      <c r="S46" s="2397">
        <v>0</v>
      </c>
      <c r="T46" s="2392">
        <v>0</v>
      </c>
      <c r="U46" s="2392">
        <v>0</v>
      </c>
      <c r="V46" s="2392"/>
      <c r="W46" s="2392"/>
      <c r="X46" s="2392"/>
      <c r="Y46" s="1765"/>
      <c r="Z46" s="1765"/>
      <c r="AA46" s="1765"/>
      <c r="AB46" s="1765"/>
      <c r="AC46" s="1765"/>
    </row>
    <row r="47" spans="1:29" x14ac:dyDescent="0.3">
      <c r="C47" s="1844"/>
      <c r="D47" s="2398" t="s">
        <v>918</v>
      </c>
      <c r="E47" s="1832"/>
      <c r="F47" s="1832"/>
      <c r="G47" s="1832"/>
      <c r="H47" s="1832"/>
      <c r="I47" s="1832"/>
      <c r="J47" s="1832"/>
      <c r="K47" s="1832"/>
      <c r="L47" s="1832"/>
      <c r="M47" s="1832"/>
      <c r="N47" s="1832"/>
      <c r="O47" s="1832"/>
      <c r="P47" s="2399">
        <v>0</v>
      </c>
      <c r="Q47" s="2399">
        <v>0</v>
      </c>
      <c r="R47" s="2399">
        <v>0</v>
      </c>
      <c r="S47" s="2400" t="s">
        <v>914</v>
      </c>
      <c r="T47" s="2400" t="s">
        <v>915</v>
      </c>
      <c r="U47" s="2400" t="s">
        <v>916</v>
      </c>
      <c r="V47" s="2400"/>
      <c r="W47" s="2400"/>
      <c r="X47" s="2400"/>
      <c r="Y47" s="2401"/>
      <c r="Z47" s="2401"/>
      <c r="AA47" s="2401"/>
      <c r="AB47" s="2401"/>
      <c r="AC47" s="2401"/>
    </row>
    <row r="48" spans="1:29" x14ac:dyDescent="0.3">
      <c r="C48" s="1844"/>
      <c r="D48" s="1765"/>
      <c r="E48" s="1765"/>
      <c r="F48" s="1765"/>
      <c r="G48" s="1765"/>
      <c r="H48" s="1765"/>
      <c r="I48" s="1765"/>
      <c r="J48" s="1765"/>
      <c r="K48" s="1765"/>
      <c r="L48" s="1765"/>
      <c r="M48" s="1765"/>
      <c r="N48" s="1765"/>
      <c r="O48" s="1765"/>
      <c r="P48" s="1765"/>
      <c r="Q48" s="1765"/>
      <c r="R48" s="1765"/>
      <c r="S48" s="1765"/>
      <c r="T48" s="1765"/>
      <c r="U48" s="1765"/>
      <c r="V48" s="1765"/>
      <c r="W48" s="1765"/>
      <c r="X48" s="1765"/>
    </row>
    <row r="51" spans="18:18" x14ac:dyDescent="0.3">
      <c r="R51" s="2146"/>
    </row>
  </sheetData>
  <mergeCells count="9">
    <mergeCell ref="D37:AC37"/>
    <mergeCell ref="D38:P38"/>
    <mergeCell ref="D39:P39"/>
    <mergeCell ref="D2:AC2"/>
    <mergeCell ref="D3:AC3"/>
    <mergeCell ref="D4:AC4"/>
    <mergeCell ref="D5:AC5"/>
    <mergeCell ref="D35:AC35"/>
    <mergeCell ref="D36:AC36"/>
  </mergeCells>
  <pageMargins left="0.74803149606299202" right="0.74803149606299202" top="0.98425196850393704" bottom="0.98425196850393704" header="0.511811023622047" footer="0.511811023622047"/>
  <pageSetup paperSize="9" scale="4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CX117"/>
  <sheetViews>
    <sheetView showGridLines="0" view="pageBreakPreview" zoomScaleNormal="100" zoomScaleSheetLayoutView="100" workbookViewId="0">
      <selection activeCell="B19" sqref="B19"/>
    </sheetView>
  </sheetViews>
  <sheetFormatPr defaultColWidth="9.1796875" defaultRowHeight="14.5" x14ac:dyDescent="0.35"/>
  <cols>
    <col min="1" max="1" width="3.81640625" style="86" customWidth="1"/>
    <col min="2" max="2" width="12.81640625" style="83" customWidth="1"/>
    <col min="3" max="3" width="3.81640625" style="84" customWidth="1"/>
    <col min="4" max="4" width="8.1796875" style="4" customWidth="1"/>
    <col min="5" max="5" width="5.81640625" style="4" customWidth="1"/>
    <col min="6" max="6" width="4.1796875" style="4" customWidth="1"/>
    <col min="7" max="28" width="5.453125" style="4" bestFit="1" customWidth="1"/>
    <col min="29" max="29" width="6.1796875" style="4" customWidth="1"/>
    <col min="30" max="30" width="5.6328125" style="4" customWidth="1"/>
    <col min="31" max="31" width="9.81640625" style="4" bestFit="1" customWidth="1"/>
    <col min="32" max="33" width="10" style="4" bestFit="1" customWidth="1"/>
    <col min="34" max="35" width="9.81640625" style="4" bestFit="1" customWidth="1"/>
    <col min="36" max="37" width="10" style="4" bestFit="1" customWidth="1"/>
    <col min="38" max="39" width="9.81640625" style="4" bestFit="1" customWidth="1"/>
    <col min="40" max="41" width="10" style="4" bestFit="1" customWidth="1"/>
    <col min="42" max="43" width="9.81640625" style="4" bestFit="1" customWidth="1"/>
    <col min="44" max="45" width="10" style="4" bestFit="1" customWidth="1"/>
    <col min="46" max="47" width="9.81640625" style="4" bestFit="1" customWidth="1"/>
    <col min="48" max="49" width="10" style="4" bestFit="1" customWidth="1"/>
    <col min="50" max="51" width="9.81640625" style="4" bestFit="1" customWidth="1"/>
    <col min="52" max="52" width="10" style="4" bestFit="1" customWidth="1"/>
    <col min="53" max="53" width="10" style="4" customWidth="1"/>
    <col min="54" max="55" width="9.81640625" style="4" customWidth="1"/>
    <col min="56" max="57" width="10" style="4" bestFit="1" customWidth="1"/>
    <col min="58" max="58" width="9.81640625" style="4" bestFit="1" customWidth="1"/>
    <col min="59" max="59" width="9.81640625" style="4" customWidth="1"/>
    <col min="60" max="61" width="10" style="4" bestFit="1" customWidth="1"/>
    <col min="62" max="63" width="9.81640625" style="4" bestFit="1" customWidth="1"/>
    <col min="64" max="65" width="10" style="4" customWidth="1"/>
    <col min="66" max="67" width="9.81640625" style="4" bestFit="1" customWidth="1"/>
    <col min="68" max="69" width="10" style="4" bestFit="1" customWidth="1"/>
    <col min="70" max="16384" width="9.1796875" style="4"/>
  </cols>
  <sheetData>
    <row r="1" spans="1:45" x14ac:dyDescent="0.35">
      <c r="A1" s="82"/>
      <c r="D1" s="85"/>
      <c r="E1" s="85"/>
      <c r="F1" s="85"/>
      <c r="G1" s="85"/>
      <c r="H1" s="85"/>
      <c r="I1" s="85"/>
      <c r="J1" s="85"/>
      <c r="K1" s="85"/>
      <c r="L1" s="85"/>
      <c r="M1" s="85"/>
      <c r="N1" s="85"/>
      <c r="O1" s="85"/>
      <c r="P1" s="85"/>
      <c r="Q1" s="85"/>
      <c r="R1" s="85"/>
      <c r="S1" s="85"/>
      <c r="T1" s="85"/>
      <c r="U1" s="85"/>
      <c r="V1" s="85"/>
      <c r="W1" s="85"/>
    </row>
    <row r="2" spans="1:45" ht="15" customHeight="1" x14ac:dyDescent="0.35">
      <c r="A2" s="86">
        <v>1</v>
      </c>
      <c r="B2" s="87" t="s">
        <v>0</v>
      </c>
      <c r="C2" s="86">
        <f>[1]NFDI!C2+1</f>
        <v>4</v>
      </c>
      <c r="D2" s="4651" t="s">
        <v>374</v>
      </c>
      <c r="E2" s="4652"/>
      <c r="F2" s="4652"/>
      <c r="G2" s="4652"/>
      <c r="H2" s="4652"/>
      <c r="I2" s="4652"/>
      <c r="J2" s="4652"/>
      <c r="K2" s="4652"/>
      <c r="L2" s="4652"/>
      <c r="M2" s="4652"/>
      <c r="N2" s="4652"/>
      <c r="O2" s="4652"/>
      <c r="P2" s="4652"/>
      <c r="Q2" s="4652"/>
      <c r="R2" s="4652"/>
      <c r="S2" s="4652"/>
      <c r="T2" s="4652"/>
      <c r="U2" s="4652"/>
      <c r="V2" s="4652"/>
      <c r="W2" s="4652"/>
      <c r="X2" s="4652"/>
      <c r="Y2" s="4652"/>
      <c r="Z2" s="4652"/>
      <c r="AA2" s="4652"/>
      <c r="AB2" s="4652"/>
      <c r="AC2" s="4653"/>
      <c r="AD2" s="150"/>
      <c r="AE2" s="150"/>
      <c r="AF2" s="150"/>
      <c r="AG2" s="150"/>
      <c r="AH2" s="150"/>
      <c r="AI2" s="150"/>
      <c r="AJ2" s="150"/>
      <c r="AK2" s="150"/>
      <c r="AL2" s="150"/>
      <c r="AM2" s="150"/>
      <c r="AN2" s="150"/>
      <c r="AO2" s="150"/>
      <c r="AP2" s="150"/>
      <c r="AQ2" s="150"/>
      <c r="AR2" s="150"/>
      <c r="AS2" s="150"/>
    </row>
    <row r="3" spans="1:45" ht="15" customHeight="1" x14ac:dyDescent="0.35">
      <c r="A3" s="86">
        <v>2</v>
      </c>
      <c r="B3" s="87" t="s">
        <v>2</v>
      </c>
      <c r="C3" s="86"/>
      <c r="D3" s="4651" t="s">
        <v>83</v>
      </c>
      <c r="E3" s="4652"/>
      <c r="F3" s="4652"/>
      <c r="G3" s="4652"/>
      <c r="H3" s="4652"/>
      <c r="I3" s="4652"/>
      <c r="J3" s="4652"/>
      <c r="K3" s="4652"/>
      <c r="L3" s="4652"/>
      <c r="M3" s="4652"/>
      <c r="N3" s="4652"/>
      <c r="O3" s="4652"/>
      <c r="P3" s="4652"/>
      <c r="Q3" s="4652"/>
      <c r="R3" s="4652"/>
      <c r="S3" s="4652"/>
      <c r="T3" s="4652"/>
      <c r="U3" s="4652"/>
      <c r="V3" s="4652"/>
      <c r="W3" s="4652"/>
      <c r="X3" s="4652"/>
      <c r="Y3" s="4652"/>
      <c r="Z3" s="4652"/>
      <c r="AA3" s="4652"/>
      <c r="AB3" s="4652"/>
      <c r="AC3" s="4653"/>
      <c r="AD3" s="151"/>
      <c r="AE3" s="151"/>
      <c r="AF3" s="151"/>
      <c r="AG3" s="151"/>
      <c r="AH3" s="151"/>
      <c r="AI3" s="151"/>
      <c r="AJ3" s="151"/>
      <c r="AK3" s="151"/>
      <c r="AL3" s="151"/>
      <c r="AM3" s="151"/>
      <c r="AN3" s="151"/>
      <c r="AO3" s="151"/>
      <c r="AP3" s="151"/>
      <c r="AQ3" s="151"/>
      <c r="AR3" s="151"/>
      <c r="AS3" s="151"/>
    </row>
    <row r="4" spans="1:45" ht="15" customHeight="1" x14ac:dyDescent="0.35">
      <c r="A4" s="86">
        <v>3</v>
      </c>
      <c r="B4" s="87" t="s">
        <v>4</v>
      </c>
      <c r="C4" s="86"/>
      <c r="D4" s="4651" t="s">
        <v>92</v>
      </c>
      <c r="E4" s="4652"/>
      <c r="F4" s="4652"/>
      <c r="G4" s="4652"/>
      <c r="H4" s="4652"/>
      <c r="I4" s="4652"/>
      <c r="J4" s="4652"/>
      <c r="K4" s="4652"/>
      <c r="L4" s="4652"/>
      <c r="M4" s="4652"/>
      <c r="N4" s="4652"/>
      <c r="O4" s="4652"/>
      <c r="P4" s="4652"/>
      <c r="Q4" s="4652"/>
      <c r="R4" s="4652"/>
      <c r="S4" s="4652"/>
      <c r="T4" s="4652"/>
      <c r="U4" s="4652"/>
      <c r="V4" s="4652"/>
      <c r="W4" s="4652"/>
      <c r="X4" s="4652"/>
      <c r="Y4" s="4652"/>
      <c r="Z4" s="4652"/>
      <c r="AA4" s="4652"/>
      <c r="AB4" s="4652"/>
      <c r="AC4" s="4653"/>
      <c r="AD4" s="151"/>
      <c r="AE4" s="151"/>
      <c r="AF4" s="151"/>
      <c r="AG4" s="151"/>
      <c r="AH4" s="151"/>
      <c r="AI4" s="151"/>
      <c r="AJ4" s="151"/>
      <c r="AK4" s="151"/>
      <c r="AL4" s="151"/>
      <c r="AM4" s="151"/>
      <c r="AN4" s="151"/>
      <c r="AO4" s="151"/>
      <c r="AP4" s="151"/>
      <c r="AQ4" s="151"/>
      <c r="AR4" s="151"/>
      <c r="AS4" s="152"/>
    </row>
    <row r="5" spans="1:45" ht="15" customHeight="1" x14ac:dyDescent="0.35">
      <c r="B5" s="87"/>
      <c r="C5" s="86"/>
      <c r="AD5" s="153"/>
      <c r="AE5" s="153"/>
      <c r="AF5" s="153"/>
      <c r="AG5" s="153"/>
      <c r="AH5" s="153"/>
      <c r="AI5" s="153"/>
      <c r="AJ5" s="153"/>
      <c r="AK5" s="153"/>
      <c r="AL5" s="153"/>
      <c r="AM5" s="153"/>
      <c r="AN5" s="153"/>
      <c r="AO5" s="153"/>
      <c r="AP5" s="153"/>
      <c r="AQ5" s="153"/>
      <c r="AR5" s="153"/>
      <c r="AS5" s="153"/>
    </row>
    <row r="6" spans="1:45" x14ac:dyDescent="0.35">
      <c r="A6" s="86">
        <v>4</v>
      </c>
      <c r="B6" s="88" t="s">
        <v>6</v>
      </c>
      <c r="C6" s="154"/>
      <c r="D6" s="155" t="s">
        <v>85</v>
      </c>
      <c r="E6" s="155"/>
      <c r="F6" s="155" t="s">
        <v>375</v>
      </c>
      <c r="G6" s="156"/>
      <c r="H6" s="156"/>
      <c r="I6" s="156"/>
      <c r="J6" s="156"/>
      <c r="K6" s="156"/>
      <c r="L6" s="156"/>
      <c r="M6" s="156"/>
      <c r="N6" s="156"/>
      <c r="O6" s="156"/>
      <c r="P6" s="156"/>
      <c r="Q6" s="156"/>
      <c r="R6" s="156"/>
      <c r="S6" s="157"/>
      <c r="T6" s="85"/>
      <c r="U6" s="85"/>
      <c r="V6" s="85"/>
      <c r="W6" s="85"/>
    </row>
    <row r="7" spans="1:45" x14ac:dyDescent="0.35">
      <c r="D7" s="158"/>
      <c r="E7" s="159">
        <v>1994</v>
      </c>
      <c r="F7" s="159">
        <v>1995</v>
      </c>
      <c r="G7" s="159">
        <v>1996</v>
      </c>
      <c r="H7" s="159">
        <v>1997</v>
      </c>
      <c r="I7" s="159">
        <v>1998</v>
      </c>
      <c r="J7" s="159">
        <v>1999</v>
      </c>
      <c r="K7" s="159">
        <v>2000</v>
      </c>
      <c r="L7" s="159">
        <v>2001</v>
      </c>
      <c r="M7" s="159">
        <v>2002</v>
      </c>
      <c r="N7" s="159">
        <v>2003</v>
      </c>
      <c r="O7" s="159">
        <v>2004</v>
      </c>
      <c r="P7" s="159">
        <v>2005</v>
      </c>
      <c r="Q7" s="159">
        <v>2006</v>
      </c>
      <c r="R7" s="159">
        <v>2007</v>
      </c>
      <c r="S7" s="159">
        <v>2008</v>
      </c>
      <c r="T7" s="159">
        <v>2009</v>
      </c>
      <c r="U7" s="159">
        <v>2010</v>
      </c>
      <c r="V7" s="159">
        <v>2011</v>
      </c>
      <c r="W7" s="159">
        <v>2012</v>
      </c>
      <c r="X7" s="159">
        <v>2013</v>
      </c>
      <c r="Y7" s="159">
        <v>2014</v>
      </c>
      <c r="Z7" s="159">
        <v>2015</v>
      </c>
      <c r="AA7" s="159">
        <v>2016</v>
      </c>
      <c r="AB7" s="159">
        <v>2017</v>
      </c>
      <c r="AC7" s="159">
        <v>2018</v>
      </c>
      <c r="AD7" s="160">
        <v>2019</v>
      </c>
    </row>
    <row r="8" spans="1:45" x14ac:dyDescent="0.35">
      <c r="D8" s="161" t="s">
        <v>93</v>
      </c>
      <c r="E8" s="162">
        <v>16.100000000000001</v>
      </c>
      <c r="F8" s="162">
        <v>17</v>
      </c>
      <c r="G8" s="162">
        <v>17.2</v>
      </c>
      <c r="H8" s="162">
        <v>17.600000000000001</v>
      </c>
      <c r="I8" s="162">
        <v>18.100000000000001</v>
      </c>
      <c r="J8" s="162">
        <v>16.100000000000001</v>
      </c>
      <c r="K8" s="162">
        <v>15.6</v>
      </c>
      <c r="L8" s="162">
        <v>15.5</v>
      </c>
      <c r="M8" s="162">
        <v>15.2</v>
      </c>
      <c r="N8" s="162">
        <v>16</v>
      </c>
      <c r="O8" s="162">
        <v>16.5</v>
      </c>
      <c r="P8" s="162">
        <v>17.2</v>
      </c>
      <c r="Q8" s="162">
        <v>18.899999999999999</v>
      </c>
      <c r="R8" s="162">
        <v>20.6</v>
      </c>
      <c r="S8" s="162">
        <v>23.5</v>
      </c>
      <c r="T8" s="162">
        <v>21.5</v>
      </c>
      <c r="U8" s="162">
        <v>19.3</v>
      </c>
      <c r="V8" s="162">
        <v>19.100000000000001</v>
      </c>
      <c r="W8" s="162">
        <v>19.2</v>
      </c>
      <c r="X8" s="162">
        <v>20.399999999999999</v>
      </c>
      <c r="Y8" s="162">
        <v>20.399999999999999</v>
      </c>
      <c r="Z8" s="162">
        <v>20.3</v>
      </c>
      <c r="AA8" s="162">
        <v>19.399999999999999</v>
      </c>
      <c r="AB8" s="163">
        <v>18.8</v>
      </c>
      <c r="AC8" s="163">
        <v>18.2</v>
      </c>
      <c r="AD8" s="891">
        <v>17.899999999999999</v>
      </c>
    </row>
    <row r="9" spans="1:45" x14ac:dyDescent="0.35">
      <c r="D9" s="164"/>
      <c r="E9" s="165"/>
      <c r="F9" s="166"/>
      <c r="G9" s="166"/>
      <c r="H9" s="166"/>
      <c r="I9" s="166"/>
      <c r="J9" s="166"/>
      <c r="K9" s="166"/>
      <c r="L9" s="166"/>
      <c r="M9" s="166"/>
      <c r="N9" s="166"/>
      <c r="O9" s="166"/>
      <c r="P9" s="166"/>
      <c r="Q9" s="166"/>
      <c r="R9" s="166"/>
      <c r="S9" s="166"/>
      <c r="T9" s="166"/>
      <c r="U9" s="166"/>
      <c r="V9" s="166"/>
      <c r="W9" s="166"/>
      <c r="X9" s="166"/>
      <c r="Y9" s="166"/>
      <c r="Z9" s="67"/>
      <c r="AA9" s="167"/>
      <c r="AB9" s="167"/>
    </row>
    <row r="10" spans="1:45" x14ac:dyDescent="0.35">
      <c r="D10" s="164"/>
      <c r="E10" s="168"/>
      <c r="F10" s="166"/>
      <c r="G10" s="166"/>
      <c r="H10" s="166"/>
      <c r="I10" s="166"/>
      <c r="J10" s="166"/>
      <c r="K10" s="166"/>
      <c r="L10" s="166"/>
      <c r="M10" s="166"/>
      <c r="N10" s="166"/>
      <c r="O10" s="166"/>
      <c r="P10" s="166"/>
      <c r="Q10" s="166"/>
      <c r="R10" s="166"/>
      <c r="S10" s="166"/>
      <c r="T10" s="166"/>
      <c r="U10" s="166"/>
      <c r="V10" s="166"/>
      <c r="W10" s="166"/>
      <c r="X10" s="166"/>
      <c r="Y10" s="166"/>
      <c r="Z10" s="67"/>
      <c r="AA10" s="167"/>
      <c r="AB10" s="167"/>
    </row>
    <row r="11" spans="1:45" x14ac:dyDescent="0.35">
      <c r="D11" s="107"/>
      <c r="E11" s="107"/>
      <c r="F11" s="108"/>
      <c r="G11" s="108"/>
      <c r="H11" s="108"/>
      <c r="I11" s="108"/>
      <c r="J11" s="108"/>
      <c r="K11" s="108"/>
      <c r="L11" s="108"/>
      <c r="M11" s="108"/>
      <c r="N11" s="169"/>
      <c r="O11" s="108"/>
      <c r="P11" s="108"/>
      <c r="Q11" s="108"/>
      <c r="R11" s="108"/>
      <c r="S11" s="108"/>
      <c r="T11" s="108"/>
      <c r="U11" s="108"/>
      <c r="V11" s="108"/>
      <c r="W11" s="108"/>
      <c r="AA11" s="167"/>
      <c r="AB11" s="167"/>
    </row>
    <row r="12" spans="1:45" ht="25.5" customHeight="1" x14ac:dyDescent="0.35">
      <c r="A12" s="86">
        <v>5</v>
      </c>
      <c r="B12" s="87" t="s">
        <v>56</v>
      </c>
      <c r="D12" s="107"/>
      <c r="E12" s="107"/>
      <c r="F12" s="108"/>
      <c r="G12" s="108"/>
      <c r="H12" s="108"/>
      <c r="I12" s="108"/>
      <c r="J12" s="108"/>
      <c r="K12" s="108"/>
      <c r="L12" s="108"/>
      <c r="M12" s="108"/>
      <c r="N12" s="108"/>
      <c r="O12" s="108"/>
      <c r="P12" s="108"/>
      <c r="Q12" s="108"/>
      <c r="R12" s="108"/>
      <c r="S12" s="108"/>
      <c r="T12" s="85"/>
      <c r="U12" s="85"/>
      <c r="V12" s="85"/>
      <c r="W12" s="85"/>
      <c r="AA12" s="170"/>
      <c r="AB12" s="170"/>
    </row>
    <row r="13" spans="1:45" x14ac:dyDescent="0.35">
      <c r="D13" s="85"/>
      <c r="E13" s="85"/>
      <c r="F13" s="109"/>
      <c r="G13" s="109"/>
      <c r="H13" s="109"/>
      <c r="I13" s="109"/>
      <c r="J13" s="109"/>
      <c r="K13" s="109"/>
      <c r="L13" s="109"/>
      <c r="M13" s="109"/>
      <c r="N13" s="109"/>
      <c r="O13" s="109"/>
      <c r="P13" s="109"/>
      <c r="Q13" s="109"/>
      <c r="R13" s="109"/>
      <c r="S13" s="109"/>
      <c r="T13" s="85"/>
      <c r="U13" s="85"/>
      <c r="V13" s="85"/>
      <c r="W13" s="85"/>
      <c r="AA13" s="170"/>
      <c r="AB13" s="170"/>
    </row>
    <row r="14" spans="1:45" x14ac:dyDescent="0.35">
      <c r="C14" s="86"/>
      <c r="D14" s="85"/>
      <c r="E14" s="85"/>
      <c r="F14" s="109"/>
      <c r="G14" s="109"/>
      <c r="H14" s="109"/>
      <c r="I14" s="109"/>
      <c r="J14" s="109"/>
      <c r="K14" s="109"/>
      <c r="L14" s="109"/>
      <c r="M14" s="109"/>
      <c r="N14" s="109"/>
      <c r="O14" s="109"/>
      <c r="P14" s="109"/>
      <c r="Q14" s="109"/>
      <c r="R14" s="109"/>
      <c r="S14" s="109"/>
      <c r="T14" s="85"/>
      <c r="U14" s="85"/>
      <c r="V14" s="85"/>
      <c r="W14" s="85"/>
      <c r="AA14" s="170"/>
      <c r="AB14" s="170"/>
    </row>
    <row r="15" spans="1:45" x14ac:dyDescent="0.35">
      <c r="D15" s="85"/>
      <c r="E15" s="85"/>
      <c r="F15" s="109"/>
      <c r="G15" s="109"/>
      <c r="H15" s="109"/>
      <c r="I15" s="109"/>
      <c r="J15" s="109"/>
      <c r="K15" s="109"/>
      <c r="L15" s="109"/>
      <c r="M15" s="109"/>
      <c r="N15" s="109"/>
      <c r="O15" s="109"/>
      <c r="P15" s="109"/>
      <c r="Q15" s="109"/>
      <c r="R15" s="109"/>
      <c r="S15" s="109"/>
      <c r="T15" s="85"/>
      <c r="U15" s="85"/>
      <c r="V15" s="85"/>
      <c r="W15" s="85"/>
      <c r="AA15" s="170"/>
      <c r="AB15" s="170"/>
    </row>
    <row r="16" spans="1:45" x14ac:dyDescent="0.35">
      <c r="D16" s="85"/>
      <c r="E16" s="85"/>
      <c r="F16" s="109"/>
      <c r="G16" s="109"/>
      <c r="H16" s="109"/>
      <c r="I16" s="109"/>
      <c r="J16" s="109"/>
      <c r="K16" s="109"/>
      <c r="L16" s="109"/>
      <c r="M16" s="109"/>
      <c r="N16" s="109"/>
      <c r="O16" s="109"/>
      <c r="P16" s="109"/>
      <c r="Q16" s="109"/>
      <c r="R16" s="109"/>
      <c r="S16" s="109"/>
      <c r="T16" s="85"/>
      <c r="U16" s="85"/>
      <c r="V16" s="85"/>
      <c r="W16" s="85"/>
      <c r="AA16" s="170"/>
      <c r="AB16" s="170"/>
    </row>
    <row r="17" spans="1:29" x14ac:dyDescent="0.35">
      <c r="D17" s="85"/>
      <c r="E17" s="85"/>
      <c r="F17" s="109"/>
      <c r="G17" s="109"/>
      <c r="H17" s="109"/>
      <c r="I17" s="109"/>
      <c r="J17" s="109"/>
      <c r="K17" s="109"/>
      <c r="L17" s="109"/>
      <c r="M17" s="109"/>
      <c r="N17" s="109"/>
      <c r="O17" s="85"/>
      <c r="P17" s="109"/>
      <c r="Q17" s="85"/>
      <c r="R17" s="85"/>
      <c r="S17" s="85"/>
      <c r="T17" s="112"/>
      <c r="U17" s="112"/>
      <c r="V17" s="112"/>
      <c r="W17" s="112"/>
      <c r="X17" s="171"/>
      <c r="Y17" s="171"/>
      <c r="AA17" s="170"/>
      <c r="AB17" s="170"/>
    </row>
    <row r="18" spans="1:29" x14ac:dyDescent="0.35">
      <c r="D18" s="85"/>
      <c r="E18" s="85"/>
      <c r="F18" s="109"/>
      <c r="G18" s="109"/>
      <c r="H18" s="109"/>
      <c r="I18" s="109"/>
      <c r="J18" s="109"/>
      <c r="K18" s="109"/>
      <c r="L18" s="109"/>
      <c r="M18" s="109"/>
      <c r="N18" s="109"/>
      <c r="O18" s="85"/>
      <c r="P18" s="109"/>
      <c r="Q18" s="85"/>
      <c r="R18" s="85"/>
      <c r="S18" s="85"/>
      <c r="T18" s="112"/>
      <c r="U18" s="112"/>
      <c r="V18" s="112"/>
      <c r="W18" s="112"/>
      <c r="AA18" s="170"/>
      <c r="AB18" s="170"/>
    </row>
    <row r="19" spans="1:29" x14ac:dyDescent="0.35">
      <c r="D19" s="85"/>
      <c r="E19" s="85"/>
      <c r="F19" s="109"/>
      <c r="G19" s="109"/>
      <c r="H19" s="109"/>
      <c r="I19" s="109"/>
      <c r="J19" s="109"/>
      <c r="K19" s="109"/>
      <c r="L19" s="109"/>
      <c r="M19" s="109"/>
      <c r="N19" s="109"/>
      <c r="O19" s="109"/>
      <c r="P19" s="109"/>
      <c r="Q19" s="109"/>
      <c r="R19" s="109"/>
      <c r="S19" s="109"/>
      <c r="T19" s="85"/>
      <c r="U19" s="85"/>
      <c r="V19" s="85"/>
      <c r="W19" s="85"/>
      <c r="AA19" s="170"/>
      <c r="AB19" s="170"/>
    </row>
    <row r="20" spans="1:29" x14ac:dyDescent="0.35">
      <c r="D20" s="85"/>
      <c r="E20" s="85"/>
      <c r="F20" s="109"/>
      <c r="G20" s="109"/>
      <c r="H20" s="109"/>
      <c r="I20" s="109"/>
      <c r="J20" s="109"/>
      <c r="K20" s="109"/>
      <c r="L20" s="109"/>
      <c r="M20" s="109"/>
      <c r="N20" s="109"/>
      <c r="O20" s="109"/>
      <c r="P20" s="109"/>
      <c r="Q20" s="109"/>
      <c r="R20" s="109"/>
      <c r="S20" s="109"/>
      <c r="T20" s="85"/>
      <c r="U20" s="85"/>
      <c r="V20" s="85"/>
      <c r="W20" s="85"/>
      <c r="AA20" s="170"/>
      <c r="AB20" s="170"/>
    </row>
    <row r="21" spans="1:29" x14ac:dyDescent="0.35">
      <c r="D21" s="85"/>
      <c r="E21" s="85"/>
      <c r="F21" s="109"/>
      <c r="G21" s="109"/>
      <c r="H21" s="109"/>
      <c r="I21" s="109"/>
      <c r="J21" s="109"/>
      <c r="K21" s="109"/>
      <c r="L21" s="109"/>
      <c r="M21" s="109"/>
      <c r="N21" s="109"/>
      <c r="O21" s="109"/>
      <c r="P21" s="109"/>
      <c r="Q21" s="109"/>
      <c r="R21" s="109"/>
      <c r="S21" s="109"/>
      <c r="T21" s="85"/>
      <c r="U21" s="85"/>
      <c r="V21" s="85"/>
      <c r="W21" s="85"/>
      <c r="AA21" s="170"/>
      <c r="AB21" s="170"/>
    </row>
    <row r="22" spans="1:29" x14ac:dyDescent="0.35">
      <c r="D22" s="85"/>
      <c r="E22" s="85"/>
      <c r="F22" s="109"/>
      <c r="G22" s="109"/>
      <c r="H22" s="109"/>
      <c r="I22" s="109"/>
      <c r="J22" s="109"/>
      <c r="K22" s="109"/>
      <c r="L22" s="109"/>
      <c r="M22" s="109"/>
      <c r="N22" s="109"/>
      <c r="O22" s="109"/>
      <c r="P22" s="109"/>
      <c r="Q22" s="109"/>
      <c r="R22" s="109"/>
      <c r="S22" s="109"/>
      <c r="T22" s="85"/>
      <c r="U22" s="85"/>
      <c r="V22" s="85"/>
      <c r="W22" s="85"/>
      <c r="AA22" s="170"/>
      <c r="AB22" s="170"/>
    </row>
    <row r="23" spans="1:29" x14ac:dyDescent="0.35">
      <c r="D23" s="85"/>
      <c r="E23" s="85"/>
      <c r="F23" s="109"/>
      <c r="G23" s="109"/>
      <c r="H23" s="109"/>
      <c r="I23" s="109"/>
      <c r="J23" s="109"/>
      <c r="K23" s="109"/>
      <c r="L23" s="109"/>
      <c r="M23" s="109"/>
      <c r="N23" s="109"/>
      <c r="O23" s="109"/>
      <c r="P23" s="109"/>
      <c r="Q23" s="109"/>
      <c r="R23" s="109"/>
      <c r="S23" s="109"/>
      <c r="T23" s="85"/>
      <c r="U23" s="85"/>
      <c r="V23" s="85"/>
      <c r="W23" s="85"/>
      <c r="AA23" s="170"/>
      <c r="AB23" s="170"/>
    </row>
    <row r="24" spans="1:29" x14ac:dyDescent="0.35">
      <c r="D24" s="85"/>
      <c r="E24" s="85"/>
      <c r="F24" s="85"/>
      <c r="G24" s="85"/>
      <c r="H24" s="85"/>
      <c r="I24" s="85"/>
      <c r="J24" s="85"/>
      <c r="K24" s="85"/>
      <c r="L24" s="85"/>
      <c r="M24" s="85"/>
      <c r="N24" s="85"/>
      <c r="O24" s="85"/>
      <c r="P24" s="85"/>
      <c r="Q24" s="85"/>
      <c r="R24" s="85"/>
      <c r="S24" s="85"/>
      <c r="T24" s="85"/>
      <c r="U24" s="85"/>
      <c r="V24" s="85"/>
      <c r="W24" s="85"/>
      <c r="AA24" s="170"/>
      <c r="AB24" s="170"/>
    </row>
    <row r="25" spans="1:29" x14ac:dyDescent="0.35">
      <c r="D25" s="85"/>
      <c r="E25" s="85"/>
      <c r="F25" s="85"/>
      <c r="G25" s="85"/>
      <c r="H25" s="85"/>
      <c r="I25" s="85"/>
      <c r="J25" s="85"/>
      <c r="K25" s="85"/>
      <c r="L25" s="85"/>
      <c r="M25" s="85"/>
      <c r="N25" s="85"/>
      <c r="O25" s="85"/>
      <c r="P25" s="85"/>
      <c r="Q25" s="85"/>
      <c r="R25" s="85"/>
      <c r="S25" s="85"/>
      <c r="T25" s="85"/>
      <c r="U25" s="85"/>
      <c r="V25" s="85"/>
      <c r="W25" s="85"/>
      <c r="AA25" s="170"/>
      <c r="AB25" s="170"/>
    </row>
    <row r="26" spans="1:29" x14ac:dyDescent="0.35">
      <c r="D26" s="85"/>
      <c r="E26" s="85"/>
      <c r="F26" s="85"/>
      <c r="G26" s="85"/>
      <c r="H26" s="85"/>
      <c r="I26" s="85"/>
      <c r="J26" s="85"/>
      <c r="K26" s="85"/>
      <c r="L26" s="85"/>
      <c r="M26" s="85"/>
      <c r="N26" s="85"/>
      <c r="O26" s="85"/>
      <c r="P26" s="85"/>
      <c r="Q26" s="85"/>
      <c r="R26" s="85"/>
      <c r="S26" s="85"/>
      <c r="T26" s="85"/>
      <c r="U26" s="85"/>
      <c r="V26" s="85"/>
      <c r="W26" s="85"/>
      <c r="AA26" s="170"/>
      <c r="AB26" s="170"/>
    </row>
    <row r="27" spans="1:29" x14ac:dyDescent="0.35">
      <c r="D27" s="85"/>
      <c r="E27" s="85"/>
      <c r="F27" s="85"/>
      <c r="G27" s="85"/>
      <c r="H27" s="85"/>
      <c r="I27" s="85"/>
      <c r="J27" s="85"/>
      <c r="K27" s="85"/>
      <c r="L27" s="85"/>
      <c r="M27" s="85"/>
      <c r="N27" s="85"/>
      <c r="O27" s="85"/>
      <c r="P27" s="85"/>
      <c r="Q27" s="85"/>
      <c r="R27" s="85"/>
      <c r="S27" s="85"/>
      <c r="T27" s="85"/>
      <c r="U27" s="85"/>
      <c r="V27" s="85"/>
      <c r="W27" s="85"/>
      <c r="AA27" s="170"/>
      <c r="AB27" s="170"/>
    </row>
    <row r="28" spans="1:29" x14ac:dyDescent="0.35">
      <c r="D28" s="85"/>
      <c r="E28" s="85"/>
      <c r="F28" s="85"/>
      <c r="G28" s="85"/>
      <c r="H28" s="85"/>
      <c r="I28" s="85"/>
      <c r="J28" s="85"/>
      <c r="K28" s="85"/>
      <c r="L28" s="85"/>
      <c r="M28" s="85"/>
      <c r="N28" s="85"/>
      <c r="O28" s="85"/>
      <c r="P28" s="85"/>
      <c r="Q28" s="85"/>
      <c r="R28" s="85"/>
      <c r="S28" s="85"/>
      <c r="T28" s="85"/>
      <c r="U28" s="85"/>
      <c r="V28" s="85"/>
      <c r="W28" s="85"/>
      <c r="AA28" s="170"/>
      <c r="AB28" s="170"/>
    </row>
    <row r="29" spans="1:29" ht="12.75" customHeight="1" x14ac:dyDescent="0.35">
      <c r="A29" s="86">
        <v>6</v>
      </c>
      <c r="B29" s="87" t="s">
        <v>58</v>
      </c>
      <c r="C29" s="86"/>
      <c r="D29" s="4651" t="s">
        <v>94</v>
      </c>
      <c r="E29" s="4652"/>
      <c r="F29" s="4652"/>
      <c r="G29" s="4652"/>
      <c r="H29" s="4652"/>
      <c r="I29" s="4652"/>
      <c r="J29" s="4652"/>
      <c r="K29" s="4652"/>
      <c r="L29" s="4652"/>
      <c r="M29" s="4652"/>
      <c r="N29" s="4652"/>
      <c r="O29" s="4652"/>
      <c r="P29" s="4652"/>
      <c r="Q29" s="4652"/>
      <c r="R29" s="4652"/>
      <c r="S29" s="4652"/>
      <c r="T29" s="4652"/>
      <c r="U29" s="4652"/>
      <c r="V29" s="4652"/>
      <c r="W29" s="4652"/>
      <c r="X29" s="4652"/>
      <c r="Y29" s="4652"/>
      <c r="Z29" s="4652"/>
      <c r="AA29" s="4652"/>
      <c r="AB29" s="4652"/>
      <c r="AC29" s="4653"/>
    </row>
    <row r="30" spans="1:29" ht="12.75" customHeight="1" x14ac:dyDescent="0.35">
      <c r="A30" s="113">
        <v>7</v>
      </c>
      <c r="B30" s="114" t="s">
        <v>60</v>
      </c>
      <c r="C30" s="113"/>
      <c r="D30" s="4651" t="s">
        <v>95</v>
      </c>
      <c r="E30" s="4652"/>
      <c r="F30" s="4652"/>
      <c r="G30" s="4652"/>
      <c r="H30" s="4652"/>
      <c r="I30" s="4652"/>
      <c r="J30" s="4652"/>
      <c r="K30" s="4652"/>
      <c r="L30" s="4652"/>
      <c r="M30" s="4652"/>
      <c r="N30" s="4652"/>
      <c r="O30" s="4652"/>
      <c r="P30" s="4652"/>
      <c r="Q30" s="4652"/>
      <c r="R30" s="4652"/>
      <c r="S30" s="4652"/>
      <c r="T30" s="4652"/>
      <c r="U30" s="4652"/>
      <c r="V30" s="4652"/>
      <c r="W30" s="4652"/>
      <c r="X30" s="4652"/>
      <c r="Y30" s="4652"/>
      <c r="Z30" s="4652"/>
      <c r="AA30" s="4652"/>
      <c r="AB30" s="4652"/>
      <c r="AC30" s="4653"/>
    </row>
    <row r="31" spans="1:29" ht="12.75" customHeight="1" x14ac:dyDescent="0.35">
      <c r="A31" s="86">
        <v>8</v>
      </c>
      <c r="B31" s="87" t="s">
        <v>62</v>
      </c>
      <c r="C31" s="86"/>
      <c r="D31" s="4651" t="s">
        <v>96</v>
      </c>
      <c r="E31" s="4652"/>
      <c r="F31" s="4652"/>
      <c r="G31" s="4652"/>
      <c r="H31" s="4652"/>
      <c r="I31" s="4652"/>
      <c r="J31" s="4652"/>
      <c r="K31" s="4652"/>
      <c r="L31" s="4652"/>
      <c r="M31" s="4652"/>
      <c r="N31" s="4652"/>
      <c r="O31" s="4652"/>
      <c r="P31" s="4652"/>
      <c r="Q31" s="4652"/>
      <c r="R31" s="4652"/>
      <c r="S31" s="4652"/>
      <c r="T31" s="4652"/>
      <c r="U31" s="4652"/>
      <c r="V31" s="4652"/>
      <c r="W31" s="4652"/>
      <c r="X31" s="4652"/>
      <c r="Y31" s="4652"/>
      <c r="Z31" s="4652"/>
      <c r="AA31" s="4652"/>
      <c r="AB31" s="4652"/>
      <c r="AC31" s="4653"/>
    </row>
    <row r="32" spans="1:29" x14ac:dyDescent="0.35">
      <c r="B32" s="172"/>
      <c r="C32" s="173"/>
    </row>
    <row r="33" spans="1:102" ht="18" customHeight="1" x14ac:dyDescent="0.35">
      <c r="B33" s="174" t="s">
        <v>85</v>
      </c>
      <c r="C33" s="175"/>
      <c r="D33" s="176" t="str">
        <f>D2</f>
        <v>Gross Fixed Capital Formation (GFCF)</v>
      </c>
      <c r="E33" s="176"/>
      <c r="F33" s="176"/>
      <c r="G33" s="176"/>
      <c r="H33" s="176"/>
      <c r="I33" s="176"/>
      <c r="J33" s="176"/>
      <c r="K33" s="176"/>
      <c r="L33" s="176"/>
      <c r="M33" s="177"/>
      <c r="N33" s="177"/>
      <c r="O33" s="177"/>
      <c r="P33" s="177"/>
      <c r="Q33" s="177"/>
      <c r="R33" s="178"/>
      <c r="S33" s="178"/>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2"/>
      <c r="AY33" s="12"/>
      <c r="AZ33" s="12"/>
      <c r="BA33" s="12"/>
      <c r="BB33" s="12"/>
      <c r="BC33" s="12"/>
      <c r="BD33" s="12"/>
      <c r="BE33" s="12"/>
      <c r="BF33" s="12"/>
      <c r="BG33" s="12"/>
      <c r="BH33" s="12"/>
    </row>
    <row r="34" spans="1:102" ht="18" customHeight="1" x14ac:dyDescent="0.35">
      <c r="B34" s="179"/>
      <c r="C34" s="180"/>
      <c r="D34" s="4657">
        <v>1994</v>
      </c>
      <c r="E34" s="4657"/>
      <c r="F34" s="4657"/>
      <c r="G34" s="4657"/>
      <c r="H34" s="4657">
        <v>1995</v>
      </c>
      <c r="I34" s="4657"/>
      <c r="J34" s="4657"/>
      <c r="K34" s="4657"/>
      <c r="L34" s="4657">
        <v>1996</v>
      </c>
      <c r="M34" s="4657"/>
      <c r="N34" s="4657"/>
      <c r="O34" s="4657"/>
      <c r="P34" s="4657">
        <v>1997</v>
      </c>
      <c r="Q34" s="4657"/>
      <c r="R34" s="4657"/>
      <c r="S34" s="4657"/>
      <c r="T34" s="4657">
        <v>1998</v>
      </c>
      <c r="U34" s="4657"/>
      <c r="V34" s="4657"/>
      <c r="W34" s="4657"/>
      <c r="X34" s="4657">
        <v>1999</v>
      </c>
      <c r="Y34" s="4657"/>
      <c r="Z34" s="4657"/>
      <c r="AA34" s="4657"/>
      <c r="AB34" s="4659">
        <v>2000</v>
      </c>
      <c r="AC34" s="4657"/>
      <c r="AD34" s="4657"/>
      <c r="AE34" s="4657"/>
      <c r="AF34" s="4657">
        <v>2001</v>
      </c>
      <c r="AG34" s="4657"/>
      <c r="AH34" s="4657"/>
      <c r="AI34" s="4657"/>
      <c r="AJ34" s="4657">
        <v>2002</v>
      </c>
      <c r="AK34" s="4657"/>
      <c r="AL34" s="4657"/>
      <c r="AM34" s="4657"/>
      <c r="AN34" s="4657">
        <v>2003</v>
      </c>
      <c r="AO34" s="4657"/>
      <c r="AP34" s="4657"/>
      <c r="AQ34" s="4657"/>
      <c r="AR34" s="4657">
        <v>2004</v>
      </c>
      <c r="AS34" s="4657"/>
      <c r="AT34" s="4657"/>
      <c r="AU34" s="4657"/>
      <c r="AV34" s="4657">
        <v>2005</v>
      </c>
      <c r="AW34" s="4657"/>
      <c r="AX34" s="4657"/>
      <c r="AY34" s="4657"/>
      <c r="AZ34" s="4657">
        <v>2006</v>
      </c>
      <c r="BA34" s="4657"/>
      <c r="BB34" s="4657"/>
      <c r="BC34" s="4657"/>
      <c r="BD34" s="4657">
        <v>2007</v>
      </c>
      <c r="BE34" s="4657"/>
      <c r="BF34" s="4657"/>
      <c r="BG34" s="4657"/>
      <c r="BH34" s="4657">
        <v>2008</v>
      </c>
      <c r="BI34" s="4657"/>
      <c r="BJ34" s="4657"/>
      <c r="BK34" s="4657"/>
      <c r="BL34" s="4657">
        <v>2009</v>
      </c>
      <c r="BM34" s="4657"/>
      <c r="BN34" s="4657"/>
      <c r="BO34" s="4657"/>
      <c r="BP34" s="4657">
        <v>2010</v>
      </c>
      <c r="BQ34" s="4657"/>
      <c r="BR34" s="4657"/>
      <c r="BS34" s="4657"/>
      <c r="BT34" s="4657">
        <v>2011</v>
      </c>
      <c r="BU34" s="4657"/>
      <c r="BV34" s="4657"/>
      <c r="BW34" s="4657"/>
      <c r="BX34" s="4657">
        <v>2012</v>
      </c>
      <c r="BY34" s="4657"/>
      <c r="BZ34" s="4657"/>
      <c r="CA34" s="4657"/>
      <c r="CB34" s="4657">
        <v>2013</v>
      </c>
      <c r="CC34" s="4657"/>
      <c r="CD34" s="4657"/>
      <c r="CE34" s="4657"/>
      <c r="CF34" s="4657">
        <v>2014</v>
      </c>
      <c r="CG34" s="4657"/>
      <c r="CH34" s="4657"/>
      <c r="CI34" s="4657"/>
      <c r="CJ34" s="4658">
        <v>2015</v>
      </c>
      <c r="CK34" s="4658"/>
      <c r="CL34" s="4658"/>
      <c r="CM34" s="4658"/>
    </row>
    <row r="35" spans="1:102" s="171" customFormat="1" x14ac:dyDescent="0.25">
      <c r="A35" s="181"/>
      <c r="B35" s="83"/>
      <c r="C35" s="173"/>
      <c r="D35" s="182" t="s">
        <v>66</v>
      </c>
      <c r="E35" s="182"/>
      <c r="F35" s="182" t="s">
        <v>68</v>
      </c>
      <c r="G35" s="183" t="s">
        <v>69</v>
      </c>
      <c r="H35" s="182" t="s">
        <v>66</v>
      </c>
      <c r="I35" s="182" t="s">
        <v>67</v>
      </c>
      <c r="J35" s="182" t="s">
        <v>68</v>
      </c>
      <c r="K35" s="183" t="s">
        <v>69</v>
      </c>
      <c r="L35" s="182" t="s">
        <v>66</v>
      </c>
      <c r="M35" s="182" t="s">
        <v>67</v>
      </c>
      <c r="N35" s="182" t="s">
        <v>68</v>
      </c>
      <c r="O35" s="183" t="s">
        <v>69</v>
      </c>
      <c r="P35" s="182" t="s">
        <v>66</v>
      </c>
      <c r="Q35" s="182" t="s">
        <v>67</v>
      </c>
      <c r="R35" s="182" t="s">
        <v>68</v>
      </c>
      <c r="S35" s="183" t="s">
        <v>69</v>
      </c>
      <c r="T35" s="182" t="s">
        <v>66</v>
      </c>
      <c r="U35" s="182" t="s">
        <v>67</v>
      </c>
      <c r="V35" s="182" t="s">
        <v>68</v>
      </c>
      <c r="W35" s="183" t="s">
        <v>69</v>
      </c>
      <c r="X35" s="182" t="s">
        <v>66</v>
      </c>
      <c r="Y35" s="182" t="s">
        <v>67</v>
      </c>
      <c r="Z35" s="182" t="s">
        <v>68</v>
      </c>
      <c r="AA35" s="183" t="s">
        <v>69</v>
      </c>
      <c r="AB35" s="182" t="s">
        <v>66</v>
      </c>
      <c r="AC35" s="182" t="s">
        <v>67</v>
      </c>
      <c r="AD35" s="182" t="s">
        <v>68</v>
      </c>
      <c r="AE35" s="183" t="s">
        <v>69</v>
      </c>
      <c r="AF35" s="182" t="s">
        <v>66</v>
      </c>
      <c r="AG35" s="182" t="s">
        <v>67</v>
      </c>
      <c r="AH35" s="182" t="s">
        <v>68</v>
      </c>
      <c r="AI35" s="183" t="s">
        <v>69</v>
      </c>
      <c r="AJ35" s="182" t="s">
        <v>66</v>
      </c>
      <c r="AK35" s="182" t="s">
        <v>67</v>
      </c>
      <c r="AL35" s="182" t="s">
        <v>68</v>
      </c>
      <c r="AM35" s="183" t="s">
        <v>69</v>
      </c>
      <c r="AN35" s="182" t="s">
        <v>66</v>
      </c>
      <c r="AO35" s="182" t="s">
        <v>67</v>
      </c>
      <c r="AP35" s="182" t="s">
        <v>68</v>
      </c>
      <c r="AQ35" s="183" t="s">
        <v>69</v>
      </c>
      <c r="AR35" s="182" t="s">
        <v>66</v>
      </c>
      <c r="AS35" s="182" t="s">
        <v>67</v>
      </c>
      <c r="AT35" s="182" t="s">
        <v>68</v>
      </c>
      <c r="AU35" s="183" t="s">
        <v>69</v>
      </c>
      <c r="AV35" s="182" t="s">
        <v>66</v>
      </c>
      <c r="AW35" s="182" t="s">
        <v>67</v>
      </c>
      <c r="AX35" s="182" t="s">
        <v>68</v>
      </c>
      <c r="AY35" s="183" t="s">
        <v>69</v>
      </c>
      <c r="AZ35" s="182" t="s">
        <v>66</v>
      </c>
      <c r="BA35" s="182" t="s">
        <v>67</v>
      </c>
      <c r="BB35" s="182" t="s">
        <v>68</v>
      </c>
      <c r="BC35" s="183" t="s">
        <v>69</v>
      </c>
      <c r="BD35" s="182" t="s">
        <v>66</v>
      </c>
      <c r="BE35" s="182" t="s">
        <v>67</v>
      </c>
      <c r="BF35" s="182" t="s">
        <v>68</v>
      </c>
      <c r="BG35" s="183" t="s">
        <v>69</v>
      </c>
      <c r="BH35" s="182" t="s">
        <v>66</v>
      </c>
      <c r="BI35" s="182" t="s">
        <v>67</v>
      </c>
      <c r="BJ35" s="182" t="s">
        <v>68</v>
      </c>
      <c r="BK35" s="183" t="s">
        <v>69</v>
      </c>
      <c r="BL35" s="182" t="s">
        <v>66</v>
      </c>
      <c r="BM35" s="182" t="s">
        <v>67</v>
      </c>
      <c r="BN35" s="182" t="s">
        <v>68</v>
      </c>
      <c r="BO35" s="183" t="s">
        <v>69</v>
      </c>
      <c r="BP35" s="182" t="s">
        <v>66</v>
      </c>
      <c r="BQ35" s="182" t="s">
        <v>67</v>
      </c>
      <c r="BR35" s="182" t="s">
        <v>68</v>
      </c>
      <c r="BS35" s="183" t="s">
        <v>69</v>
      </c>
      <c r="BT35" s="182" t="s">
        <v>66</v>
      </c>
      <c r="BU35" s="182" t="s">
        <v>67</v>
      </c>
      <c r="BV35" s="182" t="s">
        <v>68</v>
      </c>
      <c r="BW35" s="183" t="s">
        <v>69</v>
      </c>
      <c r="BX35" s="182" t="s">
        <v>66</v>
      </c>
      <c r="BY35" s="182" t="s">
        <v>67</v>
      </c>
      <c r="BZ35" s="182" t="s">
        <v>68</v>
      </c>
      <c r="CA35" s="183" t="s">
        <v>69</v>
      </c>
      <c r="CB35" s="182" t="s">
        <v>66</v>
      </c>
      <c r="CC35" s="182" t="s">
        <v>67</v>
      </c>
      <c r="CD35" s="182" t="s">
        <v>68</v>
      </c>
      <c r="CE35" s="183" t="s">
        <v>69</v>
      </c>
      <c r="CF35" s="182" t="s">
        <v>66</v>
      </c>
      <c r="CG35" s="182" t="s">
        <v>67</v>
      </c>
      <c r="CH35" s="182" t="s">
        <v>68</v>
      </c>
      <c r="CI35" s="183" t="s">
        <v>69</v>
      </c>
      <c r="CJ35" s="184" t="s">
        <v>66</v>
      </c>
      <c r="CK35" s="184" t="s">
        <v>67</v>
      </c>
      <c r="CL35" s="184" t="s">
        <v>68</v>
      </c>
      <c r="CM35" s="185" t="s">
        <v>69</v>
      </c>
    </row>
    <row r="36" spans="1:102" x14ac:dyDescent="0.35">
      <c r="B36" s="186" t="s">
        <v>97</v>
      </c>
      <c r="D36" s="187">
        <v>15.7</v>
      </c>
      <c r="E36" s="187"/>
      <c r="F36" s="187">
        <v>16.399999999999999</v>
      </c>
      <c r="G36" s="187">
        <v>16.2</v>
      </c>
      <c r="H36" s="187">
        <v>16.8</v>
      </c>
      <c r="I36" s="187">
        <v>17.399999999999999</v>
      </c>
      <c r="J36" s="187">
        <v>17</v>
      </c>
      <c r="K36" s="187">
        <v>16.7</v>
      </c>
      <c r="L36" s="187">
        <v>17.100000000000001</v>
      </c>
      <c r="M36" s="187">
        <v>17.2</v>
      </c>
      <c r="N36" s="187">
        <v>17.3</v>
      </c>
      <c r="O36" s="187">
        <v>17.2</v>
      </c>
      <c r="P36" s="187">
        <v>17.7</v>
      </c>
      <c r="Q36" s="187">
        <v>17.600000000000001</v>
      </c>
      <c r="R36" s="187">
        <v>17.5</v>
      </c>
      <c r="S36" s="187">
        <v>17.399999999999999</v>
      </c>
      <c r="T36" s="187">
        <v>17.8</v>
      </c>
      <c r="U36" s="187">
        <v>17.7</v>
      </c>
      <c r="V36" s="187">
        <v>18.3</v>
      </c>
      <c r="W36" s="187">
        <v>18.5</v>
      </c>
      <c r="X36" s="187">
        <v>16.899999999999999</v>
      </c>
      <c r="Y36" s="187">
        <v>16.3</v>
      </c>
      <c r="Z36" s="187">
        <v>15.8</v>
      </c>
      <c r="AA36" s="187">
        <v>15.6</v>
      </c>
      <c r="AB36" s="187">
        <v>15.8</v>
      </c>
      <c r="AC36" s="187">
        <v>15.7</v>
      </c>
      <c r="AD36" s="187">
        <v>15.4</v>
      </c>
      <c r="AE36" s="187">
        <v>15.6</v>
      </c>
      <c r="AF36" s="187">
        <v>15.6</v>
      </c>
      <c r="AG36" s="187">
        <v>15.5</v>
      </c>
      <c r="AH36" s="187">
        <v>15.6</v>
      </c>
      <c r="AI36" s="187">
        <v>15.3</v>
      </c>
      <c r="AJ36" s="187">
        <v>15.1</v>
      </c>
      <c r="AK36" s="187">
        <v>15</v>
      </c>
      <c r="AL36" s="187">
        <v>15.1</v>
      </c>
      <c r="AM36" s="187">
        <v>15.4</v>
      </c>
      <c r="AN36" s="187">
        <v>15.5</v>
      </c>
      <c r="AO36" s="187">
        <v>15.9</v>
      </c>
      <c r="AP36" s="187">
        <v>16</v>
      </c>
      <c r="AQ36" s="187">
        <v>16.399999999999999</v>
      </c>
      <c r="AR36" s="187">
        <v>16.2</v>
      </c>
      <c r="AS36" s="187">
        <v>16.2</v>
      </c>
      <c r="AT36" s="187">
        <v>16.600000000000001</v>
      </c>
      <c r="AU36" s="187">
        <v>16.7</v>
      </c>
      <c r="AV36" s="187">
        <v>16.8</v>
      </c>
      <c r="AW36" s="187">
        <v>16.899999999999999</v>
      </c>
      <c r="AX36" s="187">
        <v>17.399999999999999</v>
      </c>
      <c r="AY36" s="187">
        <v>17.8</v>
      </c>
      <c r="AZ36" s="187">
        <v>18.399999999999999</v>
      </c>
      <c r="BA36" s="187">
        <v>18.600000000000001</v>
      </c>
      <c r="BB36" s="187">
        <v>19</v>
      </c>
      <c r="BC36" s="187">
        <v>19.600000000000001</v>
      </c>
      <c r="BD36" s="187">
        <v>20.3</v>
      </c>
      <c r="BE36" s="187">
        <v>20.8</v>
      </c>
      <c r="BF36" s="187">
        <v>20.9</v>
      </c>
      <c r="BG36" s="187">
        <v>20.6</v>
      </c>
      <c r="BH36" s="187">
        <v>21.5</v>
      </c>
      <c r="BI36" s="187">
        <v>22.8</v>
      </c>
      <c r="BJ36" s="187">
        <v>24.4</v>
      </c>
      <c r="BK36" s="187">
        <v>25.1</v>
      </c>
      <c r="BL36" s="187">
        <v>23.1</v>
      </c>
      <c r="BM36" s="187">
        <v>21.9</v>
      </c>
      <c r="BN36" s="187">
        <v>20.8</v>
      </c>
      <c r="BO36" s="187">
        <v>20.3</v>
      </c>
      <c r="BP36" s="187">
        <v>20</v>
      </c>
      <c r="BQ36" s="187">
        <v>19.399999999999999</v>
      </c>
      <c r="BR36" s="187">
        <v>19.100000000000001</v>
      </c>
      <c r="BS36" s="187">
        <v>18.7</v>
      </c>
      <c r="BT36" s="187">
        <v>18.600000000000001</v>
      </c>
      <c r="BU36" s="187">
        <v>18.7</v>
      </c>
      <c r="BV36" s="187">
        <v>18.7</v>
      </c>
      <c r="BW36" s="187">
        <v>18.899999999999999</v>
      </c>
      <c r="BX36" s="187">
        <v>18.8</v>
      </c>
      <c r="BY36" s="188">
        <v>18.7</v>
      </c>
      <c r="BZ36" s="189">
        <v>18.899999999999999</v>
      </c>
      <c r="CA36" s="188">
        <v>18.8</v>
      </c>
      <c r="CB36" s="188">
        <v>19.2</v>
      </c>
      <c r="CC36" s="188">
        <v>19.8</v>
      </c>
      <c r="CD36" s="188">
        <v>20.399999999999999</v>
      </c>
      <c r="CE36" s="188">
        <v>20.7</v>
      </c>
      <c r="CF36" s="188">
        <v>20.2</v>
      </c>
      <c r="CG36" s="188">
        <v>20.399999999999999</v>
      </c>
      <c r="CH36" s="188">
        <v>20.3</v>
      </c>
      <c r="CI36" s="4">
        <v>20.100000000000001</v>
      </c>
      <c r="CJ36" s="190"/>
      <c r="CK36" s="190"/>
      <c r="CL36" s="190"/>
      <c r="CM36" s="80"/>
    </row>
    <row r="38" spans="1:102" x14ac:dyDescent="0.35">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row>
    <row r="39" spans="1:102" x14ac:dyDescent="0.35">
      <c r="D39" s="191"/>
      <c r="E39" s="191"/>
      <c r="H39" s="33"/>
      <c r="I39" s="33"/>
      <c r="J39" s="33"/>
      <c r="K39" s="33"/>
      <c r="L39" s="33"/>
      <c r="M39" s="33"/>
      <c r="N39" s="33"/>
      <c r="O39" s="33"/>
      <c r="P39" s="33"/>
      <c r="Q39" s="33"/>
      <c r="R39" s="33"/>
      <c r="S39" s="33"/>
      <c r="T39" s="33"/>
      <c r="U39" s="33"/>
      <c r="V39" s="33"/>
      <c r="W39" s="33"/>
      <c r="BV39" s="191"/>
    </row>
    <row r="40" spans="1:102" x14ac:dyDescent="0.35">
      <c r="D40" s="191"/>
      <c r="E40" s="191"/>
      <c r="H40" s="33"/>
      <c r="I40" s="33"/>
      <c r="J40" s="33"/>
      <c r="K40" s="33"/>
      <c r="L40" s="33"/>
      <c r="M40" s="33"/>
      <c r="N40" s="33"/>
      <c r="O40" s="33"/>
      <c r="P40" s="33"/>
      <c r="Q40" s="33"/>
      <c r="R40" s="33"/>
      <c r="S40" s="33"/>
      <c r="T40" s="33"/>
      <c r="U40" s="33"/>
      <c r="V40" s="33"/>
      <c r="W40" s="33"/>
      <c r="BV40" s="191"/>
    </row>
    <row r="41" spans="1:102" x14ac:dyDescent="0.35">
      <c r="D41" s="191"/>
      <c r="E41" s="192"/>
      <c r="F41" s="192"/>
      <c r="G41" s="192"/>
      <c r="H41" s="192"/>
      <c r="I41" s="192"/>
      <c r="J41" s="192"/>
      <c r="K41" s="192"/>
      <c r="L41" s="192"/>
      <c r="M41" s="192"/>
      <c r="N41" s="192"/>
      <c r="O41" s="192"/>
      <c r="P41" s="192"/>
      <c r="Q41" s="192"/>
      <c r="R41" s="192"/>
      <c r="S41" s="192"/>
      <c r="T41" s="170"/>
      <c r="U41" s="192"/>
      <c r="V41" s="192"/>
      <c r="W41" s="192"/>
      <c r="X41" s="192"/>
      <c r="Y41" s="171"/>
      <c r="BV41" s="191"/>
    </row>
    <row r="42" spans="1:102" x14ac:dyDescent="0.35">
      <c r="D42" s="191"/>
      <c r="E42" s="191"/>
      <c r="H42" s="33"/>
      <c r="I42" s="33"/>
      <c r="J42" s="33"/>
      <c r="K42" s="33"/>
      <c r="L42" s="33"/>
      <c r="M42" s="33"/>
      <c r="N42" s="33"/>
      <c r="O42" s="33"/>
      <c r="P42" s="46"/>
      <c r="Q42" s="33"/>
      <c r="R42" s="33"/>
      <c r="S42" s="33"/>
      <c r="T42" s="33"/>
      <c r="U42" s="33"/>
      <c r="V42" s="33"/>
      <c r="W42" s="33"/>
      <c r="BV42" s="191"/>
    </row>
    <row r="43" spans="1:102" x14ac:dyDescent="0.35">
      <c r="D43" s="191"/>
      <c r="E43" s="191"/>
      <c r="H43" s="33"/>
      <c r="I43" s="33"/>
      <c r="J43" s="33"/>
      <c r="K43" s="33"/>
      <c r="L43" s="33"/>
      <c r="M43" s="33"/>
      <c r="N43" s="33"/>
      <c r="O43" s="33"/>
      <c r="P43" s="33"/>
      <c r="Q43" s="33"/>
      <c r="R43" s="33"/>
      <c r="S43" s="33"/>
      <c r="T43" s="33"/>
      <c r="U43" s="33"/>
      <c r="V43" s="33"/>
      <c r="W43" s="33"/>
      <c r="BV43" s="189"/>
    </row>
    <row r="44" spans="1:102" x14ac:dyDescent="0.35">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c r="CL44" s="187"/>
      <c r="CM44" s="187"/>
      <c r="CN44" s="187"/>
      <c r="CO44" s="188"/>
      <c r="CP44" s="189"/>
      <c r="CQ44" s="188"/>
      <c r="CR44" s="188"/>
      <c r="CS44" s="188"/>
      <c r="CT44" s="188"/>
      <c r="CU44" s="188"/>
      <c r="CV44" s="188"/>
      <c r="CW44" s="188"/>
      <c r="CX44" s="188"/>
    </row>
    <row r="45" spans="1:102" x14ac:dyDescent="0.35">
      <c r="D45" s="191"/>
      <c r="E45" s="191"/>
      <c r="H45" s="33"/>
      <c r="I45" s="33"/>
      <c r="J45" s="33"/>
      <c r="K45" s="33"/>
      <c r="L45" s="33"/>
      <c r="M45" s="33"/>
      <c r="N45" s="33"/>
      <c r="O45" s="33"/>
      <c r="P45" s="33"/>
      <c r="Q45" s="33"/>
      <c r="R45" s="33"/>
      <c r="S45" s="33"/>
      <c r="T45" s="33"/>
      <c r="U45" s="33"/>
      <c r="V45" s="33"/>
      <c r="W45" s="33"/>
      <c r="BV45" s="189"/>
    </row>
    <row r="46" spans="1:102" x14ac:dyDescent="0.35">
      <c r="D46" s="191"/>
      <c r="E46" s="191"/>
      <c r="H46" s="33"/>
      <c r="I46" s="33"/>
      <c r="J46" s="33"/>
      <c r="K46" s="33"/>
      <c r="L46" s="33"/>
      <c r="M46" s="33"/>
      <c r="N46" s="33"/>
      <c r="O46" s="33"/>
      <c r="P46" s="33"/>
      <c r="Q46" s="33"/>
      <c r="R46" s="33"/>
      <c r="S46" s="33"/>
      <c r="T46" s="33"/>
      <c r="U46" s="33"/>
      <c r="V46" s="33"/>
      <c r="W46" s="33"/>
    </row>
    <row r="47" spans="1:102" x14ac:dyDescent="0.35">
      <c r="D47" s="191"/>
      <c r="E47" s="191"/>
      <c r="H47" s="33"/>
      <c r="I47" s="33"/>
      <c r="J47" s="33"/>
      <c r="K47" s="33"/>
      <c r="L47" s="33"/>
      <c r="M47" s="33"/>
      <c r="N47" s="33"/>
      <c r="O47" s="33"/>
      <c r="P47" s="33"/>
      <c r="Q47" s="33"/>
      <c r="R47" s="33"/>
      <c r="S47" s="33"/>
      <c r="T47" s="33"/>
      <c r="U47" s="33"/>
      <c r="V47" s="33"/>
      <c r="W47" s="33"/>
    </row>
    <row r="48" spans="1:102" x14ac:dyDescent="0.35">
      <c r="D48" s="191"/>
      <c r="E48" s="191"/>
    </row>
    <row r="49" spans="4:29" x14ac:dyDescent="0.35">
      <c r="D49" s="191"/>
      <c r="E49" s="191"/>
    </row>
    <row r="50" spans="4:29" x14ac:dyDescent="0.35">
      <c r="D50" s="191"/>
      <c r="E50" s="191"/>
    </row>
    <row r="51" spans="4:29" x14ac:dyDescent="0.35">
      <c r="D51" s="191"/>
      <c r="E51" s="191"/>
    </row>
    <row r="52" spans="4:29" x14ac:dyDescent="0.35">
      <c r="D52" s="191"/>
      <c r="E52" s="191"/>
    </row>
    <row r="53" spans="4:29" x14ac:dyDescent="0.35">
      <c r="D53" s="191"/>
      <c r="E53" s="191"/>
    </row>
    <row r="54" spans="4:29" x14ac:dyDescent="0.35">
      <c r="D54" s="191"/>
      <c r="E54" s="191"/>
    </row>
    <row r="55" spans="4:29" x14ac:dyDescent="0.35">
      <c r="D55" s="191"/>
      <c r="E55" s="191"/>
    </row>
    <row r="56" spans="4:29" x14ac:dyDescent="0.35">
      <c r="D56" s="191"/>
      <c r="E56" s="191"/>
    </row>
    <row r="57" spans="4:29" x14ac:dyDescent="0.35">
      <c r="D57" s="191"/>
      <c r="E57" s="191"/>
    </row>
    <row r="58" spans="4:29" x14ac:dyDescent="0.35">
      <c r="D58" s="191"/>
      <c r="E58" s="191"/>
    </row>
    <row r="59" spans="4:29" x14ac:dyDescent="0.35">
      <c r="D59" s="191"/>
      <c r="E59" s="191"/>
    </row>
    <row r="60" spans="4:29" x14ac:dyDescent="0.35">
      <c r="D60" s="191"/>
      <c r="E60" s="191"/>
      <c r="AC60" s="4" t="s">
        <v>67</v>
      </c>
    </row>
    <row r="61" spans="4:29" x14ac:dyDescent="0.35">
      <c r="D61" s="191"/>
      <c r="E61" s="191"/>
    </row>
    <row r="62" spans="4:29" x14ac:dyDescent="0.35">
      <c r="D62" s="191"/>
      <c r="E62" s="191"/>
    </row>
    <row r="63" spans="4:29" x14ac:dyDescent="0.35">
      <c r="D63" s="191"/>
      <c r="E63" s="191"/>
    </row>
    <row r="64" spans="4:29" x14ac:dyDescent="0.35">
      <c r="D64" s="191"/>
      <c r="E64" s="191"/>
    </row>
    <row r="65" spans="4:5" x14ac:dyDescent="0.35">
      <c r="D65" s="191"/>
      <c r="E65" s="191"/>
    </row>
    <row r="66" spans="4:5" x14ac:dyDescent="0.35">
      <c r="D66" s="191"/>
      <c r="E66" s="191"/>
    </row>
    <row r="67" spans="4:5" x14ac:dyDescent="0.35">
      <c r="D67" s="191"/>
      <c r="E67" s="191"/>
    </row>
    <row r="68" spans="4:5" x14ac:dyDescent="0.35">
      <c r="D68" s="191"/>
      <c r="E68" s="191"/>
    </row>
    <row r="69" spans="4:5" x14ac:dyDescent="0.35">
      <c r="D69" s="191"/>
      <c r="E69" s="191"/>
    </row>
    <row r="70" spans="4:5" x14ac:dyDescent="0.35">
      <c r="D70" s="191"/>
      <c r="E70" s="191"/>
    </row>
    <row r="71" spans="4:5" x14ac:dyDescent="0.35">
      <c r="D71" s="191"/>
      <c r="E71" s="191"/>
    </row>
    <row r="72" spans="4:5" x14ac:dyDescent="0.35">
      <c r="D72" s="191"/>
      <c r="E72" s="191"/>
    </row>
    <row r="73" spans="4:5" x14ac:dyDescent="0.35">
      <c r="D73" s="191"/>
      <c r="E73" s="191"/>
    </row>
    <row r="74" spans="4:5" x14ac:dyDescent="0.35">
      <c r="D74" s="191"/>
      <c r="E74" s="191"/>
    </row>
    <row r="75" spans="4:5" x14ac:dyDescent="0.35">
      <c r="D75" s="191"/>
      <c r="E75" s="191"/>
    </row>
    <row r="76" spans="4:5" x14ac:dyDescent="0.35">
      <c r="D76" s="191"/>
      <c r="E76" s="191"/>
    </row>
    <row r="77" spans="4:5" x14ac:dyDescent="0.35">
      <c r="D77" s="191"/>
      <c r="E77" s="191"/>
    </row>
    <row r="78" spans="4:5" x14ac:dyDescent="0.35">
      <c r="D78" s="191"/>
      <c r="E78" s="191"/>
    </row>
    <row r="79" spans="4:5" x14ac:dyDescent="0.35">
      <c r="D79" s="191"/>
      <c r="E79" s="191"/>
    </row>
    <row r="80" spans="4:5" x14ac:dyDescent="0.35">
      <c r="D80" s="191"/>
      <c r="E80" s="191"/>
    </row>
    <row r="81" spans="4:5" x14ac:dyDescent="0.35">
      <c r="D81" s="191"/>
      <c r="E81" s="191"/>
    </row>
    <row r="82" spans="4:5" x14ac:dyDescent="0.35">
      <c r="D82" s="191"/>
      <c r="E82" s="191"/>
    </row>
    <row r="83" spans="4:5" x14ac:dyDescent="0.35">
      <c r="D83" s="191"/>
      <c r="E83" s="191"/>
    </row>
    <row r="84" spans="4:5" x14ac:dyDescent="0.35">
      <c r="D84" s="191"/>
      <c r="E84" s="191"/>
    </row>
    <row r="85" spans="4:5" x14ac:dyDescent="0.35">
      <c r="D85" s="191"/>
      <c r="E85" s="191"/>
    </row>
    <row r="86" spans="4:5" x14ac:dyDescent="0.35">
      <c r="D86" s="191"/>
      <c r="E86" s="191"/>
    </row>
    <row r="87" spans="4:5" x14ac:dyDescent="0.35">
      <c r="D87" s="191"/>
      <c r="E87" s="191"/>
    </row>
    <row r="88" spans="4:5" x14ac:dyDescent="0.35">
      <c r="D88" s="191"/>
      <c r="E88" s="191"/>
    </row>
    <row r="89" spans="4:5" x14ac:dyDescent="0.35">
      <c r="D89" s="191"/>
      <c r="E89" s="191"/>
    </row>
    <row r="90" spans="4:5" x14ac:dyDescent="0.35">
      <c r="D90" s="191"/>
      <c r="E90" s="191"/>
    </row>
    <row r="91" spans="4:5" x14ac:dyDescent="0.35">
      <c r="D91" s="191"/>
      <c r="E91" s="191"/>
    </row>
    <row r="92" spans="4:5" x14ac:dyDescent="0.35">
      <c r="D92" s="191"/>
      <c r="E92" s="191"/>
    </row>
    <row r="93" spans="4:5" x14ac:dyDescent="0.35">
      <c r="D93" s="191"/>
      <c r="E93" s="191"/>
    </row>
    <row r="94" spans="4:5" x14ac:dyDescent="0.35">
      <c r="D94" s="191"/>
      <c r="E94" s="191"/>
    </row>
    <row r="95" spans="4:5" x14ac:dyDescent="0.35">
      <c r="D95" s="191"/>
      <c r="E95" s="191"/>
    </row>
    <row r="96" spans="4:5" x14ac:dyDescent="0.35">
      <c r="D96" s="191"/>
      <c r="E96" s="191"/>
    </row>
    <row r="97" spans="4:5" x14ac:dyDescent="0.35">
      <c r="D97" s="191"/>
      <c r="E97" s="191"/>
    </row>
    <row r="98" spans="4:5" x14ac:dyDescent="0.35">
      <c r="D98" s="191"/>
      <c r="E98" s="191"/>
    </row>
    <row r="99" spans="4:5" x14ac:dyDescent="0.35">
      <c r="D99" s="191"/>
      <c r="E99" s="191"/>
    </row>
    <row r="100" spans="4:5" x14ac:dyDescent="0.35">
      <c r="D100" s="191"/>
      <c r="E100" s="191"/>
    </row>
    <row r="101" spans="4:5" x14ac:dyDescent="0.35">
      <c r="D101" s="191"/>
      <c r="E101" s="191"/>
    </row>
    <row r="102" spans="4:5" x14ac:dyDescent="0.35">
      <c r="D102" s="191"/>
      <c r="E102" s="191"/>
    </row>
    <row r="103" spans="4:5" x14ac:dyDescent="0.35">
      <c r="D103" s="191"/>
      <c r="E103" s="191"/>
    </row>
    <row r="104" spans="4:5" x14ac:dyDescent="0.35">
      <c r="D104" s="191"/>
      <c r="E104" s="191"/>
    </row>
    <row r="105" spans="4:5" x14ac:dyDescent="0.35">
      <c r="D105" s="191"/>
      <c r="E105" s="191"/>
    </row>
    <row r="106" spans="4:5" x14ac:dyDescent="0.35">
      <c r="D106" s="191"/>
      <c r="E106" s="191"/>
    </row>
    <row r="107" spans="4:5" x14ac:dyDescent="0.35">
      <c r="D107" s="191"/>
      <c r="E107" s="191"/>
    </row>
    <row r="108" spans="4:5" x14ac:dyDescent="0.35">
      <c r="D108" s="191"/>
      <c r="E108" s="191"/>
    </row>
    <row r="109" spans="4:5" x14ac:dyDescent="0.35">
      <c r="D109" s="191"/>
      <c r="E109" s="191"/>
    </row>
    <row r="110" spans="4:5" x14ac:dyDescent="0.35">
      <c r="D110" s="189"/>
      <c r="E110" s="191"/>
    </row>
    <row r="111" spans="4:5" x14ac:dyDescent="0.35">
      <c r="D111" s="189"/>
      <c r="E111" s="189"/>
    </row>
    <row r="112" spans="4:5" x14ac:dyDescent="0.35">
      <c r="D112" s="189"/>
      <c r="E112" s="189"/>
    </row>
    <row r="113" spans="4:5" x14ac:dyDescent="0.35">
      <c r="D113" s="189"/>
      <c r="E113" s="189"/>
    </row>
    <row r="114" spans="4:5" x14ac:dyDescent="0.35">
      <c r="D114" s="189"/>
    </row>
    <row r="115" spans="4:5" x14ac:dyDescent="0.35">
      <c r="D115" s="189"/>
    </row>
    <row r="116" spans="4:5" x14ac:dyDescent="0.35">
      <c r="D116" s="189"/>
    </row>
    <row r="117" spans="4:5" x14ac:dyDescent="0.35">
      <c r="D117" s="189"/>
    </row>
  </sheetData>
  <mergeCells count="28">
    <mergeCell ref="D31:AC31"/>
    <mergeCell ref="D2:AC2"/>
    <mergeCell ref="D3:AC3"/>
    <mergeCell ref="D4:AC4"/>
    <mergeCell ref="D29:AC29"/>
    <mergeCell ref="D30:AC30"/>
    <mergeCell ref="AV34:AY34"/>
    <mergeCell ref="D34:G34"/>
    <mergeCell ref="H34:K34"/>
    <mergeCell ref="L34:O34"/>
    <mergeCell ref="P34:S34"/>
    <mergeCell ref="T34:W34"/>
    <mergeCell ref="X34:AA34"/>
    <mergeCell ref="AB34:AE34"/>
    <mergeCell ref="AF34:AI34"/>
    <mergeCell ref="AJ34:AM34"/>
    <mergeCell ref="AN34:AQ34"/>
    <mergeCell ref="AR34:AU34"/>
    <mergeCell ref="BX34:CA34"/>
    <mergeCell ref="CB34:CE34"/>
    <mergeCell ref="CF34:CI34"/>
    <mergeCell ref="CJ34:CM34"/>
    <mergeCell ref="AZ34:BC34"/>
    <mergeCell ref="BD34:BG34"/>
    <mergeCell ref="BH34:BK34"/>
    <mergeCell ref="BL34:BO34"/>
    <mergeCell ref="BP34:BS34"/>
    <mergeCell ref="BT34:BW34"/>
  </mergeCells>
  <pageMargins left="0.74803149606299202" right="0.74803149606299202" top="0.98425196850393704" bottom="0.98425196850393704" header="0.511811023622047" footer="0.511811023622047"/>
  <pageSetup paperSize="9" scale="7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2:AF107"/>
  <sheetViews>
    <sheetView showGridLines="0" view="pageBreakPreview" zoomScaleNormal="100" zoomScaleSheetLayoutView="100" workbookViewId="0">
      <selection activeCell="AD24" sqref="AD24"/>
    </sheetView>
  </sheetViews>
  <sheetFormatPr defaultColWidth="9.1796875" defaultRowHeight="14" x14ac:dyDescent="0.3"/>
  <cols>
    <col min="1" max="1" width="3.7265625" style="2070" customWidth="1"/>
    <col min="2" max="2" width="14.453125" style="1768" customWidth="1"/>
    <col min="3" max="3" width="6.453125" style="1768" customWidth="1"/>
    <col min="4" max="4" width="14.1796875" style="1764" customWidth="1"/>
    <col min="5" max="23" width="6.81640625" style="1764" customWidth="1"/>
    <col min="24" max="259" width="9.1796875" style="1764"/>
    <col min="260" max="260" width="3.7265625" style="1764" customWidth="1"/>
    <col min="261" max="261" width="14.453125" style="1764" customWidth="1"/>
    <col min="262" max="262" width="3.7265625" style="1764" customWidth="1"/>
    <col min="263" max="263" width="14.1796875" style="1764" customWidth="1"/>
    <col min="264" max="278" width="6.81640625" style="1764" customWidth="1"/>
    <col min="279" max="515" width="9.1796875" style="1764"/>
    <col min="516" max="516" width="3.7265625" style="1764" customWidth="1"/>
    <col min="517" max="517" width="14.453125" style="1764" customWidth="1"/>
    <col min="518" max="518" width="3.7265625" style="1764" customWidth="1"/>
    <col min="519" max="519" width="14.1796875" style="1764" customWidth="1"/>
    <col min="520" max="534" width="6.81640625" style="1764" customWidth="1"/>
    <col min="535" max="771" width="9.1796875" style="1764"/>
    <col min="772" max="772" width="3.7265625" style="1764" customWidth="1"/>
    <col min="773" max="773" width="14.453125" style="1764" customWidth="1"/>
    <col min="774" max="774" width="3.7265625" style="1764" customWidth="1"/>
    <col min="775" max="775" width="14.1796875" style="1764" customWidth="1"/>
    <col min="776" max="790" width="6.81640625" style="1764" customWidth="1"/>
    <col min="791" max="1027" width="9.1796875" style="1764"/>
    <col min="1028" max="1028" width="3.7265625" style="1764" customWidth="1"/>
    <col min="1029" max="1029" width="14.453125" style="1764" customWidth="1"/>
    <col min="1030" max="1030" width="3.7265625" style="1764" customWidth="1"/>
    <col min="1031" max="1031" width="14.1796875" style="1764" customWidth="1"/>
    <col min="1032" max="1046" width="6.81640625" style="1764" customWidth="1"/>
    <col min="1047" max="1283" width="9.1796875" style="1764"/>
    <col min="1284" max="1284" width="3.7265625" style="1764" customWidth="1"/>
    <col min="1285" max="1285" width="14.453125" style="1764" customWidth="1"/>
    <col min="1286" max="1286" width="3.7265625" style="1764" customWidth="1"/>
    <col min="1287" max="1287" width="14.1796875" style="1764" customWidth="1"/>
    <col min="1288" max="1302" width="6.81640625" style="1764" customWidth="1"/>
    <col min="1303" max="1539" width="9.1796875" style="1764"/>
    <col min="1540" max="1540" width="3.7265625" style="1764" customWidth="1"/>
    <col min="1541" max="1541" width="14.453125" style="1764" customWidth="1"/>
    <col min="1542" max="1542" width="3.7265625" style="1764" customWidth="1"/>
    <col min="1543" max="1543" width="14.1796875" style="1764" customWidth="1"/>
    <col min="1544" max="1558" width="6.81640625" style="1764" customWidth="1"/>
    <col min="1559" max="1795" width="9.1796875" style="1764"/>
    <col min="1796" max="1796" width="3.7265625" style="1764" customWidth="1"/>
    <col min="1797" max="1797" width="14.453125" style="1764" customWidth="1"/>
    <col min="1798" max="1798" width="3.7265625" style="1764" customWidth="1"/>
    <col min="1799" max="1799" width="14.1796875" style="1764" customWidth="1"/>
    <col min="1800" max="1814" width="6.81640625" style="1764" customWidth="1"/>
    <col min="1815" max="2051" width="9.1796875" style="1764"/>
    <col min="2052" max="2052" width="3.7265625" style="1764" customWidth="1"/>
    <col min="2053" max="2053" width="14.453125" style="1764" customWidth="1"/>
    <col min="2054" max="2054" width="3.7265625" style="1764" customWidth="1"/>
    <col min="2055" max="2055" width="14.1796875" style="1764" customWidth="1"/>
    <col min="2056" max="2070" width="6.81640625" style="1764" customWidth="1"/>
    <col min="2071" max="2307" width="9.1796875" style="1764"/>
    <col min="2308" max="2308" width="3.7265625" style="1764" customWidth="1"/>
    <col min="2309" max="2309" width="14.453125" style="1764" customWidth="1"/>
    <col min="2310" max="2310" width="3.7265625" style="1764" customWidth="1"/>
    <col min="2311" max="2311" width="14.1796875" style="1764" customWidth="1"/>
    <col min="2312" max="2326" width="6.81640625" style="1764" customWidth="1"/>
    <col min="2327" max="2563" width="9.1796875" style="1764"/>
    <col min="2564" max="2564" width="3.7265625" style="1764" customWidth="1"/>
    <col min="2565" max="2565" width="14.453125" style="1764" customWidth="1"/>
    <col min="2566" max="2566" width="3.7265625" style="1764" customWidth="1"/>
    <col min="2567" max="2567" width="14.1796875" style="1764" customWidth="1"/>
    <col min="2568" max="2582" width="6.81640625" style="1764" customWidth="1"/>
    <col min="2583" max="2819" width="9.1796875" style="1764"/>
    <col min="2820" max="2820" width="3.7265625" style="1764" customWidth="1"/>
    <col min="2821" max="2821" width="14.453125" style="1764" customWidth="1"/>
    <col min="2822" max="2822" width="3.7265625" style="1764" customWidth="1"/>
    <col min="2823" max="2823" width="14.1796875" style="1764" customWidth="1"/>
    <col min="2824" max="2838" width="6.81640625" style="1764" customWidth="1"/>
    <col min="2839" max="3075" width="9.1796875" style="1764"/>
    <col min="3076" max="3076" width="3.7265625" style="1764" customWidth="1"/>
    <col min="3077" max="3077" width="14.453125" style="1764" customWidth="1"/>
    <col min="3078" max="3078" width="3.7265625" style="1764" customWidth="1"/>
    <col min="3079" max="3079" width="14.1796875" style="1764" customWidth="1"/>
    <col min="3080" max="3094" width="6.81640625" style="1764" customWidth="1"/>
    <col min="3095" max="3331" width="9.1796875" style="1764"/>
    <col min="3332" max="3332" width="3.7265625" style="1764" customWidth="1"/>
    <col min="3333" max="3333" width="14.453125" style="1764" customWidth="1"/>
    <col min="3334" max="3334" width="3.7265625" style="1764" customWidth="1"/>
    <col min="3335" max="3335" width="14.1796875" style="1764" customWidth="1"/>
    <col min="3336" max="3350" width="6.81640625" style="1764" customWidth="1"/>
    <col min="3351" max="3587" width="9.1796875" style="1764"/>
    <col min="3588" max="3588" width="3.7265625" style="1764" customWidth="1"/>
    <col min="3589" max="3589" width="14.453125" style="1764" customWidth="1"/>
    <col min="3590" max="3590" width="3.7265625" style="1764" customWidth="1"/>
    <col min="3591" max="3591" width="14.1796875" style="1764" customWidth="1"/>
    <col min="3592" max="3606" width="6.81640625" style="1764" customWidth="1"/>
    <col min="3607" max="3843" width="9.1796875" style="1764"/>
    <col min="3844" max="3844" width="3.7265625" style="1764" customWidth="1"/>
    <col min="3845" max="3845" width="14.453125" style="1764" customWidth="1"/>
    <col min="3846" max="3846" width="3.7265625" style="1764" customWidth="1"/>
    <col min="3847" max="3847" width="14.1796875" style="1764" customWidth="1"/>
    <col min="3848" max="3862" width="6.81640625" style="1764" customWidth="1"/>
    <col min="3863" max="4099" width="9.1796875" style="1764"/>
    <col min="4100" max="4100" width="3.7265625" style="1764" customWidth="1"/>
    <col min="4101" max="4101" width="14.453125" style="1764" customWidth="1"/>
    <col min="4102" max="4102" width="3.7265625" style="1764" customWidth="1"/>
    <col min="4103" max="4103" width="14.1796875" style="1764" customWidth="1"/>
    <col min="4104" max="4118" width="6.81640625" style="1764" customWidth="1"/>
    <col min="4119" max="4355" width="9.1796875" style="1764"/>
    <col min="4356" max="4356" width="3.7265625" style="1764" customWidth="1"/>
    <col min="4357" max="4357" width="14.453125" style="1764" customWidth="1"/>
    <col min="4358" max="4358" width="3.7265625" style="1764" customWidth="1"/>
    <col min="4359" max="4359" width="14.1796875" style="1764" customWidth="1"/>
    <col min="4360" max="4374" width="6.81640625" style="1764" customWidth="1"/>
    <col min="4375" max="4611" width="9.1796875" style="1764"/>
    <col min="4612" max="4612" width="3.7265625" style="1764" customWidth="1"/>
    <col min="4613" max="4613" width="14.453125" style="1764" customWidth="1"/>
    <col min="4614" max="4614" width="3.7265625" style="1764" customWidth="1"/>
    <col min="4615" max="4615" width="14.1796875" style="1764" customWidth="1"/>
    <col min="4616" max="4630" width="6.81640625" style="1764" customWidth="1"/>
    <col min="4631" max="4867" width="9.1796875" style="1764"/>
    <col min="4868" max="4868" width="3.7265625" style="1764" customWidth="1"/>
    <col min="4869" max="4869" width="14.453125" style="1764" customWidth="1"/>
    <col min="4870" max="4870" width="3.7265625" style="1764" customWidth="1"/>
    <col min="4871" max="4871" width="14.1796875" style="1764" customWidth="1"/>
    <col min="4872" max="4886" width="6.81640625" style="1764" customWidth="1"/>
    <col min="4887" max="5123" width="9.1796875" style="1764"/>
    <col min="5124" max="5124" width="3.7265625" style="1764" customWidth="1"/>
    <col min="5125" max="5125" width="14.453125" style="1764" customWidth="1"/>
    <col min="5126" max="5126" width="3.7265625" style="1764" customWidth="1"/>
    <col min="5127" max="5127" width="14.1796875" style="1764" customWidth="1"/>
    <col min="5128" max="5142" width="6.81640625" style="1764" customWidth="1"/>
    <col min="5143" max="5379" width="9.1796875" style="1764"/>
    <col min="5380" max="5380" width="3.7265625" style="1764" customWidth="1"/>
    <col min="5381" max="5381" width="14.453125" style="1764" customWidth="1"/>
    <col min="5382" max="5382" width="3.7265625" style="1764" customWidth="1"/>
    <col min="5383" max="5383" width="14.1796875" style="1764" customWidth="1"/>
    <col min="5384" max="5398" width="6.81640625" style="1764" customWidth="1"/>
    <col min="5399" max="5635" width="9.1796875" style="1764"/>
    <col min="5636" max="5636" width="3.7265625" style="1764" customWidth="1"/>
    <col min="5637" max="5637" width="14.453125" style="1764" customWidth="1"/>
    <col min="5638" max="5638" width="3.7265625" style="1764" customWidth="1"/>
    <col min="5639" max="5639" width="14.1796875" style="1764" customWidth="1"/>
    <col min="5640" max="5654" width="6.81640625" style="1764" customWidth="1"/>
    <col min="5655" max="5891" width="9.1796875" style="1764"/>
    <col min="5892" max="5892" width="3.7265625" style="1764" customWidth="1"/>
    <col min="5893" max="5893" width="14.453125" style="1764" customWidth="1"/>
    <col min="5894" max="5894" width="3.7265625" style="1764" customWidth="1"/>
    <col min="5895" max="5895" width="14.1796875" style="1764" customWidth="1"/>
    <col min="5896" max="5910" width="6.81640625" style="1764" customWidth="1"/>
    <col min="5911" max="6147" width="9.1796875" style="1764"/>
    <col min="6148" max="6148" width="3.7265625" style="1764" customWidth="1"/>
    <col min="6149" max="6149" width="14.453125" style="1764" customWidth="1"/>
    <col min="6150" max="6150" width="3.7265625" style="1764" customWidth="1"/>
    <col min="6151" max="6151" width="14.1796875" style="1764" customWidth="1"/>
    <col min="6152" max="6166" width="6.81640625" style="1764" customWidth="1"/>
    <col min="6167" max="6403" width="9.1796875" style="1764"/>
    <col min="6404" max="6404" width="3.7265625" style="1764" customWidth="1"/>
    <col min="6405" max="6405" width="14.453125" style="1764" customWidth="1"/>
    <col min="6406" max="6406" width="3.7265625" style="1764" customWidth="1"/>
    <col min="6407" max="6407" width="14.1796875" style="1764" customWidth="1"/>
    <col min="6408" max="6422" width="6.81640625" style="1764" customWidth="1"/>
    <col min="6423" max="6659" width="9.1796875" style="1764"/>
    <col min="6660" max="6660" width="3.7265625" style="1764" customWidth="1"/>
    <col min="6661" max="6661" width="14.453125" style="1764" customWidth="1"/>
    <col min="6662" max="6662" width="3.7265625" style="1764" customWidth="1"/>
    <col min="6663" max="6663" width="14.1796875" style="1764" customWidth="1"/>
    <col min="6664" max="6678" width="6.81640625" style="1764" customWidth="1"/>
    <col min="6679" max="6915" width="9.1796875" style="1764"/>
    <col min="6916" max="6916" width="3.7265625" style="1764" customWidth="1"/>
    <col min="6917" max="6917" width="14.453125" style="1764" customWidth="1"/>
    <col min="6918" max="6918" width="3.7265625" style="1764" customWidth="1"/>
    <col min="6919" max="6919" width="14.1796875" style="1764" customWidth="1"/>
    <col min="6920" max="6934" width="6.81640625" style="1764" customWidth="1"/>
    <col min="6935" max="7171" width="9.1796875" style="1764"/>
    <col min="7172" max="7172" width="3.7265625" style="1764" customWidth="1"/>
    <col min="7173" max="7173" width="14.453125" style="1764" customWidth="1"/>
    <col min="7174" max="7174" width="3.7265625" style="1764" customWidth="1"/>
    <col min="7175" max="7175" width="14.1796875" style="1764" customWidth="1"/>
    <col min="7176" max="7190" width="6.81640625" style="1764" customWidth="1"/>
    <col min="7191" max="7427" width="9.1796875" style="1764"/>
    <col min="7428" max="7428" width="3.7265625" style="1764" customWidth="1"/>
    <col min="7429" max="7429" width="14.453125" style="1764" customWidth="1"/>
    <col min="7430" max="7430" width="3.7265625" style="1764" customWidth="1"/>
    <col min="7431" max="7431" width="14.1796875" style="1764" customWidth="1"/>
    <col min="7432" max="7446" width="6.81640625" style="1764" customWidth="1"/>
    <col min="7447" max="7683" width="9.1796875" style="1764"/>
    <col min="7684" max="7684" width="3.7265625" style="1764" customWidth="1"/>
    <col min="7685" max="7685" width="14.453125" style="1764" customWidth="1"/>
    <col min="7686" max="7686" width="3.7265625" style="1764" customWidth="1"/>
    <col min="7687" max="7687" width="14.1796875" style="1764" customWidth="1"/>
    <col min="7688" max="7702" width="6.81640625" style="1764" customWidth="1"/>
    <col min="7703" max="7939" width="9.1796875" style="1764"/>
    <col min="7940" max="7940" width="3.7265625" style="1764" customWidth="1"/>
    <col min="7941" max="7941" width="14.453125" style="1764" customWidth="1"/>
    <col min="7942" max="7942" width="3.7265625" style="1764" customWidth="1"/>
    <col min="7943" max="7943" width="14.1796875" style="1764" customWidth="1"/>
    <col min="7944" max="7958" width="6.81640625" style="1764" customWidth="1"/>
    <col min="7959" max="8195" width="9.1796875" style="1764"/>
    <col min="8196" max="8196" width="3.7265625" style="1764" customWidth="1"/>
    <col min="8197" max="8197" width="14.453125" style="1764" customWidth="1"/>
    <col min="8198" max="8198" width="3.7265625" style="1764" customWidth="1"/>
    <col min="8199" max="8199" width="14.1796875" style="1764" customWidth="1"/>
    <col min="8200" max="8214" width="6.81640625" style="1764" customWidth="1"/>
    <col min="8215" max="8451" width="9.1796875" style="1764"/>
    <col min="8452" max="8452" width="3.7265625" style="1764" customWidth="1"/>
    <col min="8453" max="8453" width="14.453125" style="1764" customWidth="1"/>
    <col min="8454" max="8454" width="3.7265625" style="1764" customWidth="1"/>
    <col min="8455" max="8455" width="14.1796875" style="1764" customWidth="1"/>
    <col min="8456" max="8470" width="6.81640625" style="1764" customWidth="1"/>
    <col min="8471" max="8707" width="9.1796875" style="1764"/>
    <col min="8708" max="8708" width="3.7265625" style="1764" customWidth="1"/>
    <col min="8709" max="8709" width="14.453125" style="1764" customWidth="1"/>
    <col min="8710" max="8710" width="3.7265625" style="1764" customWidth="1"/>
    <col min="8711" max="8711" width="14.1796875" style="1764" customWidth="1"/>
    <col min="8712" max="8726" width="6.81640625" style="1764" customWidth="1"/>
    <col min="8727" max="8963" width="9.1796875" style="1764"/>
    <col min="8964" max="8964" width="3.7265625" style="1764" customWidth="1"/>
    <col min="8965" max="8965" width="14.453125" style="1764" customWidth="1"/>
    <col min="8966" max="8966" width="3.7265625" style="1764" customWidth="1"/>
    <col min="8967" max="8967" width="14.1796875" style="1764" customWidth="1"/>
    <col min="8968" max="8982" width="6.81640625" style="1764" customWidth="1"/>
    <col min="8983" max="9219" width="9.1796875" style="1764"/>
    <col min="9220" max="9220" width="3.7265625" style="1764" customWidth="1"/>
    <col min="9221" max="9221" width="14.453125" style="1764" customWidth="1"/>
    <col min="9222" max="9222" width="3.7265625" style="1764" customWidth="1"/>
    <col min="9223" max="9223" width="14.1796875" style="1764" customWidth="1"/>
    <col min="9224" max="9238" width="6.81640625" style="1764" customWidth="1"/>
    <col min="9239" max="9475" width="9.1796875" style="1764"/>
    <col min="9476" max="9476" width="3.7265625" style="1764" customWidth="1"/>
    <col min="9477" max="9477" width="14.453125" style="1764" customWidth="1"/>
    <col min="9478" max="9478" width="3.7265625" style="1764" customWidth="1"/>
    <col min="9479" max="9479" width="14.1796875" style="1764" customWidth="1"/>
    <col min="9480" max="9494" width="6.81640625" style="1764" customWidth="1"/>
    <col min="9495" max="9731" width="9.1796875" style="1764"/>
    <col min="9732" max="9732" width="3.7265625" style="1764" customWidth="1"/>
    <col min="9733" max="9733" width="14.453125" style="1764" customWidth="1"/>
    <col min="9734" max="9734" width="3.7265625" style="1764" customWidth="1"/>
    <col min="9735" max="9735" width="14.1796875" style="1764" customWidth="1"/>
    <col min="9736" max="9750" width="6.81640625" style="1764" customWidth="1"/>
    <col min="9751" max="9987" width="9.1796875" style="1764"/>
    <col min="9988" max="9988" width="3.7265625" style="1764" customWidth="1"/>
    <col min="9989" max="9989" width="14.453125" style="1764" customWidth="1"/>
    <col min="9990" max="9990" width="3.7265625" style="1764" customWidth="1"/>
    <col min="9991" max="9991" width="14.1796875" style="1764" customWidth="1"/>
    <col min="9992" max="10006" width="6.81640625" style="1764" customWidth="1"/>
    <col min="10007" max="10243" width="9.1796875" style="1764"/>
    <col min="10244" max="10244" width="3.7265625" style="1764" customWidth="1"/>
    <col min="10245" max="10245" width="14.453125" style="1764" customWidth="1"/>
    <col min="10246" max="10246" width="3.7265625" style="1764" customWidth="1"/>
    <col min="10247" max="10247" width="14.1796875" style="1764" customWidth="1"/>
    <col min="10248" max="10262" width="6.81640625" style="1764" customWidth="1"/>
    <col min="10263" max="10499" width="9.1796875" style="1764"/>
    <col min="10500" max="10500" width="3.7265625" style="1764" customWidth="1"/>
    <col min="10501" max="10501" width="14.453125" style="1764" customWidth="1"/>
    <col min="10502" max="10502" width="3.7265625" style="1764" customWidth="1"/>
    <col min="10503" max="10503" width="14.1796875" style="1764" customWidth="1"/>
    <col min="10504" max="10518" width="6.81640625" style="1764" customWidth="1"/>
    <col min="10519" max="10755" width="9.1796875" style="1764"/>
    <col min="10756" max="10756" width="3.7265625" style="1764" customWidth="1"/>
    <col min="10757" max="10757" width="14.453125" style="1764" customWidth="1"/>
    <col min="10758" max="10758" width="3.7265625" style="1764" customWidth="1"/>
    <col min="10759" max="10759" width="14.1796875" style="1764" customWidth="1"/>
    <col min="10760" max="10774" width="6.81640625" style="1764" customWidth="1"/>
    <col min="10775" max="11011" width="9.1796875" style="1764"/>
    <col min="11012" max="11012" width="3.7265625" style="1764" customWidth="1"/>
    <col min="11013" max="11013" width="14.453125" style="1764" customWidth="1"/>
    <col min="11014" max="11014" width="3.7265625" style="1764" customWidth="1"/>
    <col min="11015" max="11015" width="14.1796875" style="1764" customWidth="1"/>
    <col min="11016" max="11030" width="6.81640625" style="1764" customWidth="1"/>
    <col min="11031" max="11267" width="9.1796875" style="1764"/>
    <col min="11268" max="11268" width="3.7265625" style="1764" customWidth="1"/>
    <col min="11269" max="11269" width="14.453125" style="1764" customWidth="1"/>
    <col min="11270" max="11270" width="3.7265625" style="1764" customWidth="1"/>
    <col min="11271" max="11271" width="14.1796875" style="1764" customWidth="1"/>
    <col min="11272" max="11286" width="6.81640625" style="1764" customWidth="1"/>
    <col min="11287" max="11523" width="9.1796875" style="1764"/>
    <col min="11524" max="11524" width="3.7265625" style="1764" customWidth="1"/>
    <col min="11525" max="11525" width="14.453125" style="1764" customWidth="1"/>
    <col min="11526" max="11526" width="3.7265625" style="1764" customWidth="1"/>
    <col min="11527" max="11527" width="14.1796875" style="1764" customWidth="1"/>
    <col min="11528" max="11542" width="6.81640625" style="1764" customWidth="1"/>
    <col min="11543" max="11779" width="9.1796875" style="1764"/>
    <col min="11780" max="11780" width="3.7265625" style="1764" customWidth="1"/>
    <col min="11781" max="11781" width="14.453125" style="1764" customWidth="1"/>
    <col min="11782" max="11782" width="3.7265625" style="1764" customWidth="1"/>
    <col min="11783" max="11783" width="14.1796875" style="1764" customWidth="1"/>
    <col min="11784" max="11798" width="6.81640625" style="1764" customWidth="1"/>
    <col min="11799" max="12035" width="9.1796875" style="1764"/>
    <col min="12036" max="12036" width="3.7265625" style="1764" customWidth="1"/>
    <col min="12037" max="12037" width="14.453125" style="1764" customWidth="1"/>
    <col min="12038" max="12038" width="3.7265625" style="1764" customWidth="1"/>
    <col min="12039" max="12039" width="14.1796875" style="1764" customWidth="1"/>
    <col min="12040" max="12054" width="6.81640625" style="1764" customWidth="1"/>
    <col min="12055" max="12291" width="9.1796875" style="1764"/>
    <col min="12292" max="12292" width="3.7265625" style="1764" customWidth="1"/>
    <col min="12293" max="12293" width="14.453125" style="1764" customWidth="1"/>
    <col min="12294" max="12294" width="3.7265625" style="1764" customWidth="1"/>
    <col min="12295" max="12295" width="14.1796875" style="1764" customWidth="1"/>
    <col min="12296" max="12310" width="6.81640625" style="1764" customWidth="1"/>
    <col min="12311" max="12547" width="9.1796875" style="1764"/>
    <col min="12548" max="12548" width="3.7265625" style="1764" customWidth="1"/>
    <col min="12549" max="12549" width="14.453125" style="1764" customWidth="1"/>
    <col min="12550" max="12550" width="3.7265625" style="1764" customWidth="1"/>
    <col min="12551" max="12551" width="14.1796875" style="1764" customWidth="1"/>
    <col min="12552" max="12566" width="6.81640625" style="1764" customWidth="1"/>
    <col min="12567" max="12803" width="9.1796875" style="1764"/>
    <col min="12804" max="12804" width="3.7265625" style="1764" customWidth="1"/>
    <col min="12805" max="12805" width="14.453125" style="1764" customWidth="1"/>
    <col min="12806" max="12806" width="3.7265625" style="1764" customWidth="1"/>
    <col min="12807" max="12807" width="14.1796875" style="1764" customWidth="1"/>
    <col min="12808" max="12822" width="6.81640625" style="1764" customWidth="1"/>
    <col min="12823" max="13059" width="9.1796875" style="1764"/>
    <col min="13060" max="13060" width="3.7265625" style="1764" customWidth="1"/>
    <col min="13061" max="13061" width="14.453125" style="1764" customWidth="1"/>
    <col min="13062" max="13062" width="3.7265625" style="1764" customWidth="1"/>
    <col min="13063" max="13063" width="14.1796875" style="1764" customWidth="1"/>
    <col min="13064" max="13078" width="6.81640625" style="1764" customWidth="1"/>
    <col min="13079" max="13315" width="9.1796875" style="1764"/>
    <col min="13316" max="13316" width="3.7265625" style="1764" customWidth="1"/>
    <col min="13317" max="13317" width="14.453125" style="1764" customWidth="1"/>
    <col min="13318" max="13318" width="3.7265625" style="1764" customWidth="1"/>
    <col min="13319" max="13319" width="14.1796875" style="1764" customWidth="1"/>
    <col min="13320" max="13334" width="6.81640625" style="1764" customWidth="1"/>
    <col min="13335" max="13571" width="9.1796875" style="1764"/>
    <col min="13572" max="13572" width="3.7265625" style="1764" customWidth="1"/>
    <col min="13573" max="13573" width="14.453125" style="1764" customWidth="1"/>
    <col min="13574" max="13574" width="3.7265625" style="1764" customWidth="1"/>
    <col min="13575" max="13575" width="14.1796875" style="1764" customWidth="1"/>
    <col min="13576" max="13590" width="6.81640625" style="1764" customWidth="1"/>
    <col min="13591" max="13827" width="9.1796875" style="1764"/>
    <col min="13828" max="13828" width="3.7265625" style="1764" customWidth="1"/>
    <col min="13829" max="13829" width="14.453125" style="1764" customWidth="1"/>
    <col min="13830" max="13830" width="3.7265625" style="1764" customWidth="1"/>
    <col min="13831" max="13831" width="14.1796875" style="1764" customWidth="1"/>
    <col min="13832" max="13846" width="6.81640625" style="1764" customWidth="1"/>
    <col min="13847" max="14083" width="9.1796875" style="1764"/>
    <col min="14084" max="14084" width="3.7265625" style="1764" customWidth="1"/>
    <col min="14085" max="14085" width="14.453125" style="1764" customWidth="1"/>
    <col min="14086" max="14086" width="3.7265625" style="1764" customWidth="1"/>
    <col min="14087" max="14087" width="14.1796875" style="1764" customWidth="1"/>
    <col min="14088" max="14102" width="6.81640625" style="1764" customWidth="1"/>
    <col min="14103" max="14339" width="9.1796875" style="1764"/>
    <col min="14340" max="14340" width="3.7265625" style="1764" customWidth="1"/>
    <col min="14341" max="14341" width="14.453125" style="1764" customWidth="1"/>
    <col min="14342" max="14342" width="3.7265625" style="1764" customWidth="1"/>
    <col min="14343" max="14343" width="14.1796875" style="1764" customWidth="1"/>
    <col min="14344" max="14358" width="6.81640625" style="1764" customWidth="1"/>
    <col min="14359" max="14595" width="9.1796875" style="1764"/>
    <col min="14596" max="14596" width="3.7265625" style="1764" customWidth="1"/>
    <col min="14597" max="14597" width="14.453125" style="1764" customWidth="1"/>
    <col min="14598" max="14598" width="3.7265625" style="1764" customWidth="1"/>
    <col min="14599" max="14599" width="14.1796875" style="1764" customWidth="1"/>
    <col min="14600" max="14614" width="6.81640625" style="1764" customWidth="1"/>
    <col min="14615" max="14851" width="9.1796875" style="1764"/>
    <col min="14852" max="14852" width="3.7265625" style="1764" customWidth="1"/>
    <col min="14853" max="14853" width="14.453125" style="1764" customWidth="1"/>
    <col min="14854" max="14854" width="3.7265625" style="1764" customWidth="1"/>
    <col min="14855" max="14855" width="14.1796875" style="1764" customWidth="1"/>
    <col min="14856" max="14870" width="6.81640625" style="1764" customWidth="1"/>
    <col min="14871" max="15107" width="9.1796875" style="1764"/>
    <col min="15108" max="15108" width="3.7265625" style="1764" customWidth="1"/>
    <col min="15109" max="15109" width="14.453125" style="1764" customWidth="1"/>
    <col min="15110" max="15110" width="3.7265625" style="1764" customWidth="1"/>
    <col min="15111" max="15111" width="14.1796875" style="1764" customWidth="1"/>
    <col min="15112" max="15126" width="6.81640625" style="1764" customWidth="1"/>
    <col min="15127" max="15363" width="9.1796875" style="1764"/>
    <col min="15364" max="15364" width="3.7265625" style="1764" customWidth="1"/>
    <col min="15365" max="15365" width="14.453125" style="1764" customWidth="1"/>
    <col min="15366" max="15366" width="3.7265625" style="1764" customWidth="1"/>
    <col min="15367" max="15367" width="14.1796875" style="1764" customWidth="1"/>
    <col min="15368" max="15382" width="6.81640625" style="1764" customWidth="1"/>
    <col min="15383" max="15619" width="9.1796875" style="1764"/>
    <col min="15620" max="15620" width="3.7265625" style="1764" customWidth="1"/>
    <col min="15621" max="15621" width="14.453125" style="1764" customWidth="1"/>
    <col min="15622" max="15622" width="3.7265625" style="1764" customWidth="1"/>
    <col min="15623" max="15623" width="14.1796875" style="1764" customWidth="1"/>
    <col min="15624" max="15638" width="6.81640625" style="1764" customWidth="1"/>
    <col min="15639" max="15875" width="9.1796875" style="1764"/>
    <col min="15876" max="15876" width="3.7265625" style="1764" customWidth="1"/>
    <col min="15877" max="15877" width="14.453125" style="1764" customWidth="1"/>
    <col min="15878" max="15878" width="3.7265625" style="1764" customWidth="1"/>
    <col min="15879" max="15879" width="14.1796875" style="1764" customWidth="1"/>
    <col min="15880" max="15894" width="6.81640625" style="1764" customWidth="1"/>
    <col min="15895" max="16131" width="9.1796875" style="1764"/>
    <col min="16132" max="16132" width="3.7265625" style="1764" customWidth="1"/>
    <col min="16133" max="16133" width="14.453125" style="1764" customWidth="1"/>
    <col min="16134" max="16134" width="3.7265625" style="1764" customWidth="1"/>
    <col min="16135" max="16135" width="14.1796875" style="1764" customWidth="1"/>
    <col min="16136" max="16150" width="6.81640625" style="1764" customWidth="1"/>
    <col min="16151" max="16384" width="9.1796875" style="1764"/>
  </cols>
  <sheetData>
    <row r="2" spans="1:28" ht="15" customHeight="1" x14ac:dyDescent="0.3">
      <c r="A2" s="1255">
        <v>1</v>
      </c>
      <c r="B2" s="1255" t="s">
        <v>0</v>
      </c>
      <c r="C2" s="1255">
        <v>40</v>
      </c>
      <c r="D2" s="4715" t="s">
        <v>919</v>
      </c>
      <c r="E2" s="4716"/>
      <c r="F2" s="4716"/>
      <c r="G2" s="4716"/>
      <c r="H2" s="4716"/>
      <c r="I2" s="4716"/>
      <c r="J2" s="4716"/>
      <c r="K2" s="4716"/>
      <c r="L2" s="4716"/>
      <c r="M2" s="4716"/>
      <c r="N2" s="4716"/>
      <c r="O2" s="4716"/>
      <c r="P2" s="4716"/>
      <c r="Q2" s="4716"/>
      <c r="R2" s="4716"/>
      <c r="S2" s="4716"/>
      <c r="T2" s="4716"/>
      <c r="U2" s="4716"/>
      <c r="V2" s="4716"/>
      <c r="W2" s="4716"/>
      <c r="X2" s="4716"/>
      <c r="Y2" s="4716"/>
      <c r="Z2" s="4716"/>
      <c r="AA2" s="4717"/>
    </row>
    <row r="3" spans="1:28" ht="14.15" customHeight="1" x14ac:dyDescent="0.3">
      <c r="A3" s="1255">
        <v>2</v>
      </c>
      <c r="B3" s="1255" t="s">
        <v>2</v>
      </c>
      <c r="C3" s="1255"/>
      <c r="D3" s="4715" t="s">
        <v>761</v>
      </c>
      <c r="E3" s="4716"/>
      <c r="F3" s="4716"/>
      <c r="G3" s="4716"/>
      <c r="H3" s="4716"/>
      <c r="I3" s="4716"/>
      <c r="J3" s="4716"/>
      <c r="K3" s="4716"/>
      <c r="L3" s="4716"/>
      <c r="M3" s="4716"/>
      <c r="N3" s="4716"/>
      <c r="O3" s="4716"/>
      <c r="P3" s="4716"/>
      <c r="Q3" s="4716"/>
      <c r="R3" s="4716"/>
      <c r="S3" s="4716"/>
      <c r="T3" s="4716"/>
      <c r="U3" s="4716"/>
      <c r="V3" s="4716"/>
      <c r="W3" s="4716"/>
      <c r="X3" s="4716"/>
      <c r="Y3" s="4716"/>
      <c r="Z3" s="4716"/>
      <c r="AA3" s="4717"/>
    </row>
    <row r="4" spans="1:28" ht="15" customHeight="1" x14ac:dyDescent="0.3">
      <c r="A4" s="1255">
        <v>3</v>
      </c>
      <c r="B4" s="1255" t="s">
        <v>4</v>
      </c>
      <c r="C4" s="1255"/>
      <c r="D4" s="4715" t="s">
        <v>920</v>
      </c>
      <c r="E4" s="4716"/>
      <c r="F4" s="4716"/>
      <c r="G4" s="4716"/>
      <c r="H4" s="4716"/>
      <c r="I4" s="4716"/>
      <c r="J4" s="4716"/>
      <c r="K4" s="4716"/>
      <c r="L4" s="4716"/>
      <c r="M4" s="4716"/>
      <c r="N4" s="4716"/>
      <c r="O4" s="4716"/>
      <c r="P4" s="4716"/>
      <c r="Q4" s="4716"/>
      <c r="R4" s="4716"/>
      <c r="S4" s="4716"/>
      <c r="T4" s="4716"/>
      <c r="U4" s="4716"/>
      <c r="V4" s="4716"/>
      <c r="W4" s="4716"/>
      <c r="X4" s="4716"/>
      <c r="Y4" s="4716"/>
      <c r="Z4" s="4716"/>
      <c r="AA4" s="4717"/>
    </row>
    <row r="5" spans="1:28" ht="15" customHeight="1" x14ac:dyDescent="0.3">
      <c r="B5" s="1255"/>
      <c r="C5" s="728"/>
      <c r="D5" s="2043"/>
      <c r="E5" s="2043"/>
      <c r="F5" s="2043"/>
      <c r="G5" s="2043"/>
      <c r="H5" s="2043"/>
      <c r="I5" s="2043"/>
      <c r="J5" s="2043"/>
      <c r="K5" s="2043"/>
      <c r="L5" s="2043"/>
      <c r="M5" s="2043"/>
      <c r="N5" s="2043"/>
      <c r="O5" s="2043"/>
      <c r="P5" s="2043"/>
      <c r="Q5" s="2043"/>
      <c r="R5" s="2043"/>
      <c r="S5" s="2043"/>
      <c r="T5" s="2043"/>
      <c r="U5" s="2043"/>
      <c r="V5" s="2043"/>
      <c r="W5" s="2043"/>
      <c r="X5" s="2043"/>
      <c r="Y5" s="2043"/>
      <c r="Z5" s="2043"/>
    </row>
    <row r="6" spans="1:28" s="1265" customFormat="1" ht="13" x14ac:dyDescent="0.25">
      <c r="A6" s="1255">
        <v>4</v>
      </c>
      <c r="B6" s="728" t="s">
        <v>6</v>
      </c>
      <c r="C6" s="1260"/>
      <c r="D6" s="1770" t="s">
        <v>85</v>
      </c>
      <c r="E6" s="1770" t="s">
        <v>921</v>
      </c>
      <c r="F6" s="1770"/>
      <c r="G6" s="1770"/>
      <c r="H6" s="1770"/>
      <c r="I6" s="1770"/>
      <c r="J6" s="1770"/>
      <c r="K6" s="1770"/>
      <c r="L6" s="1770"/>
      <c r="M6" s="1272"/>
      <c r="N6" s="1272"/>
      <c r="O6" s="1272"/>
      <c r="P6" s="1272"/>
      <c r="Q6" s="1272"/>
      <c r="R6" s="1272"/>
      <c r="S6" s="1272"/>
      <c r="T6" s="1272"/>
      <c r="U6" s="1272"/>
      <c r="V6" s="1272"/>
    </row>
    <row r="7" spans="1:28" s="1265" customFormat="1" ht="14.25" customHeight="1" x14ac:dyDescent="0.25">
      <c r="A7" s="1259"/>
      <c r="B7" s="1260"/>
      <c r="C7" s="1260"/>
      <c r="D7" s="1273"/>
      <c r="E7" s="2177">
        <v>1996</v>
      </c>
      <c r="F7" s="2177">
        <v>1997</v>
      </c>
      <c r="G7" s="2177">
        <v>1998</v>
      </c>
      <c r="H7" s="2177">
        <v>1999</v>
      </c>
      <c r="I7" s="1469">
        <v>2000</v>
      </c>
      <c r="J7" s="1469">
        <v>2001</v>
      </c>
      <c r="K7" s="1469">
        <v>2002</v>
      </c>
      <c r="L7" s="1469">
        <v>2003</v>
      </c>
      <c r="M7" s="1469">
        <v>2004</v>
      </c>
      <c r="N7" s="1469">
        <v>2005</v>
      </c>
      <c r="O7" s="1469">
        <v>2006</v>
      </c>
      <c r="P7" s="1469">
        <v>2007</v>
      </c>
      <c r="Q7" s="1469">
        <v>2008</v>
      </c>
      <c r="R7" s="1469">
        <v>2009</v>
      </c>
      <c r="S7" s="1469">
        <v>2010</v>
      </c>
      <c r="T7" s="1469">
        <v>2011</v>
      </c>
      <c r="U7" s="1469">
        <v>2012</v>
      </c>
      <c r="V7" s="1469">
        <v>2013</v>
      </c>
      <c r="W7" s="1469">
        <v>2014</v>
      </c>
      <c r="X7" s="1470">
        <v>2015</v>
      </c>
      <c r="Y7" s="2402">
        <v>2016</v>
      </c>
      <c r="Z7" s="1470">
        <v>2017</v>
      </c>
      <c r="AA7" s="1470">
        <v>2018</v>
      </c>
      <c r="AB7" s="1470">
        <v>2019</v>
      </c>
    </row>
    <row r="8" spans="1:28" s="2245" customFormat="1" ht="23.25" customHeight="1" x14ac:dyDescent="0.25">
      <c r="A8" s="2403"/>
      <c r="B8" s="2370"/>
      <c r="C8" s="2370"/>
      <c r="D8" s="2404" t="s">
        <v>922</v>
      </c>
      <c r="E8" s="1933">
        <v>27035</v>
      </c>
      <c r="F8" s="1933">
        <v>23121</v>
      </c>
      <c r="G8" s="1933">
        <v>26445</v>
      </c>
      <c r="H8" s="1933">
        <v>51444</v>
      </c>
      <c r="I8" s="2405">
        <v>64622</v>
      </c>
      <c r="J8" s="2405">
        <v>26506</v>
      </c>
      <c r="K8" s="2405">
        <v>15649</v>
      </c>
      <c r="L8" s="2405">
        <v>13459</v>
      </c>
      <c r="M8" s="2405">
        <v>13399</v>
      </c>
      <c r="N8" s="2405">
        <v>7755</v>
      </c>
      <c r="O8" s="2406">
        <v>12163</v>
      </c>
      <c r="P8" s="2405">
        <v>5210</v>
      </c>
      <c r="Q8" s="2405">
        <v>7727</v>
      </c>
      <c r="R8" s="2405">
        <v>5586</v>
      </c>
      <c r="S8" s="2405">
        <v>8066</v>
      </c>
      <c r="T8" s="2405">
        <v>9866</v>
      </c>
      <c r="U8" s="2405">
        <v>6646</v>
      </c>
      <c r="V8" s="2405">
        <v>8851</v>
      </c>
      <c r="W8" s="2405">
        <v>13988</v>
      </c>
      <c r="X8" s="2407">
        <v>11276</v>
      </c>
      <c r="Y8" s="2408">
        <v>5846</v>
      </c>
      <c r="Z8" s="2409">
        <v>30450</v>
      </c>
      <c r="AA8" s="2410">
        <v>18638</v>
      </c>
      <c r="AB8" s="2410">
        <v>13833</v>
      </c>
    </row>
    <row r="9" spans="1:28" s="1265" customFormat="1" ht="16.5" customHeight="1" x14ac:dyDescent="0.25">
      <c r="A9" s="1259"/>
      <c r="B9" s="1260"/>
      <c r="C9" s="1260"/>
      <c r="D9" s="1281" t="s">
        <v>923</v>
      </c>
      <c r="E9" s="2411">
        <v>163</v>
      </c>
      <c r="F9" s="2411">
        <v>104</v>
      </c>
      <c r="G9" s="2411">
        <v>198</v>
      </c>
      <c r="H9" s="2411">
        <v>406</v>
      </c>
      <c r="I9" s="2412">
        <v>458</v>
      </c>
      <c r="J9" s="2412">
        <v>119</v>
      </c>
      <c r="K9" s="2412">
        <v>96</v>
      </c>
      <c r="L9" s="2412">
        <v>142</v>
      </c>
      <c r="M9" s="2412">
        <v>89</v>
      </c>
      <c r="N9" s="2412">
        <v>64</v>
      </c>
      <c r="O9" s="2412">
        <v>89</v>
      </c>
      <c r="P9" s="2412">
        <v>48</v>
      </c>
      <c r="Q9" s="2412">
        <v>44</v>
      </c>
      <c r="R9" s="2412">
        <v>43</v>
      </c>
      <c r="S9" s="2412">
        <v>87</v>
      </c>
      <c r="T9" s="2412">
        <v>89</v>
      </c>
      <c r="U9" s="2412">
        <v>72</v>
      </c>
      <c r="V9" s="2412">
        <v>104</v>
      </c>
      <c r="W9" s="2412">
        <v>174</v>
      </c>
      <c r="X9" s="2413">
        <v>141</v>
      </c>
      <c r="Y9" s="2414">
        <v>54</v>
      </c>
      <c r="Z9" s="2415">
        <v>331</v>
      </c>
      <c r="AA9" s="2416">
        <v>120</v>
      </c>
      <c r="AB9" s="2416">
        <v>79</v>
      </c>
    </row>
    <row r="10" spans="1:28" x14ac:dyDescent="0.3">
      <c r="D10" s="2344" t="s">
        <v>924</v>
      </c>
      <c r="E10" s="2417">
        <v>6.029221379692991E-3</v>
      </c>
      <c r="F10" s="2417">
        <v>4.4980753427619913E-3</v>
      </c>
      <c r="G10" s="2417">
        <v>7.4872376630743054E-3</v>
      </c>
      <c r="H10" s="2417">
        <v>7.8920768213980256E-3</v>
      </c>
      <c r="I10" s="2418">
        <v>7.0873696264430073E-3</v>
      </c>
      <c r="J10" s="2418">
        <v>4.4895495359541238E-3</v>
      </c>
      <c r="K10" s="2418">
        <v>6.13457728928366E-3</v>
      </c>
      <c r="L10" s="2418">
        <v>1.0550560962924437E-2</v>
      </c>
      <c r="M10" s="2418">
        <v>6.642286737816255E-3</v>
      </c>
      <c r="N10" s="2418">
        <v>8.2527401676337851E-3</v>
      </c>
      <c r="O10" s="2418">
        <v>7.3172736989229629E-3</v>
      </c>
      <c r="P10" s="2418">
        <v>9.2130518234165067E-3</v>
      </c>
      <c r="Q10" s="2418">
        <v>5.6943186230102236E-3</v>
      </c>
      <c r="R10" s="2418">
        <v>7.6978150000000002E-3</v>
      </c>
      <c r="S10" s="2418">
        <v>1.0786014999999999E-2</v>
      </c>
      <c r="T10" s="2418">
        <v>9.0208797891749449E-3</v>
      </c>
      <c r="U10" s="2418">
        <v>1.0500000000000001E-2</v>
      </c>
      <c r="V10" s="2418">
        <v>1.18E-2</v>
      </c>
      <c r="W10" s="2418">
        <v>1.24E-2</v>
      </c>
      <c r="X10" s="2419">
        <v>1.2500000000000001E-2</v>
      </c>
      <c r="Y10" s="2420">
        <f>Y9/Y8</f>
        <v>9.2370851864522745E-3</v>
      </c>
      <c r="Z10" s="2421">
        <f>Z9/Z8</f>
        <v>1.0870279146141216E-2</v>
      </c>
      <c r="AA10" s="2421">
        <f>AA9/AA8</f>
        <v>6.4384590621311298E-3</v>
      </c>
      <c r="AB10" s="2421">
        <v>5.7000000000000002E-3</v>
      </c>
    </row>
    <row r="11" spans="1:28" x14ac:dyDescent="0.3">
      <c r="D11" s="1642"/>
      <c r="E11" s="2422"/>
      <c r="F11" s="2422"/>
      <c r="G11" s="2422"/>
      <c r="H11" s="2422"/>
      <c r="I11" s="2343"/>
      <c r="J11" s="2343"/>
      <c r="K11" s="2343"/>
      <c r="L11" s="2343"/>
      <c r="M11" s="2343"/>
      <c r="N11" s="2343"/>
      <c r="O11" s="2343"/>
      <c r="P11" s="2343"/>
      <c r="Q11" s="2343"/>
      <c r="R11" s="2343"/>
      <c r="S11" s="2343"/>
      <c r="T11" s="2343"/>
      <c r="U11" s="2343"/>
      <c r="V11" s="2343"/>
      <c r="W11" s="2343"/>
      <c r="X11" s="2343"/>
      <c r="Y11" s="2423"/>
      <c r="Z11" s="2423"/>
      <c r="AA11" s="2343"/>
      <c r="AB11" s="2343"/>
    </row>
    <row r="12" spans="1:28" x14ac:dyDescent="0.3">
      <c r="A12" s="1255">
        <v>5</v>
      </c>
      <c r="B12" s="1255" t="s">
        <v>56</v>
      </c>
      <c r="C12" s="1255"/>
      <c r="E12" s="2352"/>
    </row>
    <row r="16" spans="1:28" x14ac:dyDescent="0.3">
      <c r="B16" s="2162"/>
      <c r="C16" s="2162"/>
    </row>
    <row r="19" spans="1:27" x14ac:dyDescent="0.3">
      <c r="AA19" s="1847"/>
    </row>
    <row r="22" spans="1:27" x14ac:dyDescent="0.3">
      <c r="AA22" s="2353"/>
    </row>
    <row r="24" spans="1:27" x14ac:dyDescent="0.3">
      <c r="X24" s="2354"/>
      <c r="Y24" s="2354"/>
      <c r="Z24" s="2354"/>
    </row>
    <row r="29" spans="1:27" ht="15" customHeight="1" x14ac:dyDescent="0.3">
      <c r="A29" s="1255">
        <v>6</v>
      </c>
      <c r="B29" s="1255" t="s">
        <v>58</v>
      </c>
      <c r="C29" s="1255"/>
      <c r="D29" s="4715" t="s">
        <v>925</v>
      </c>
      <c r="E29" s="4716"/>
      <c r="F29" s="4716"/>
      <c r="G29" s="4716"/>
      <c r="H29" s="4716"/>
      <c r="I29" s="4716"/>
      <c r="J29" s="4716"/>
      <c r="K29" s="4716"/>
      <c r="L29" s="4716"/>
      <c r="M29" s="4716"/>
      <c r="N29" s="4716"/>
      <c r="O29" s="4716"/>
      <c r="P29" s="4716"/>
      <c r="Q29" s="4716"/>
      <c r="R29" s="4716"/>
      <c r="S29" s="4716"/>
      <c r="T29" s="4716"/>
      <c r="U29" s="4716"/>
      <c r="V29" s="4716"/>
      <c r="W29" s="4716"/>
      <c r="X29" s="4716"/>
      <c r="Y29" s="4716"/>
      <c r="Z29" s="4716"/>
      <c r="AA29" s="4717"/>
    </row>
    <row r="30" spans="1:27" ht="14.25" customHeight="1" x14ac:dyDescent="0.3">
      <c r="A30" s="1306">
        <v>7</v>
      </c>
      <c r="B30" s="1306" t="s">
        <v>60</v>
      </c>
      <c r="C30" s="1306"/>
      <c r="D30" s="4715" t="s">
        <v>926</v>
      </c>
      <c r="E30" s="4716"/>
      <c r="F30" s="4716"/>
      <c r="G30" s="4716"/>
      <c r="H30" s="4716"/>
      <c r="I30" s="4716"/>
      <c r="J30" s="4716"/>
      <c r="K30" s="4716"/>
      <c r="L30" s="4716"/>
      <c r="M30" s="4716"/>
      <c r="N30" s="4716"/>
      <c r="O30" s="4716"/>
      <c r="P30" s="4716"/>
      <c r="Q30" s="4716"/>
      <c r="R30" s="4716"/>
      <c r="S30" s="4716"/>
      <c r="T30" s="4716"/>
      <c r="U30" s="4716"/>
      <c r="V30" s="4716"/>
      <c r="W30" s="4716"/>
      <c r="X30" s="4716"/>
      <c r="Y30" s="4716"/>
      <c r="Z30" s="4716"/>
      <c r="AA30" s="4717"/>
    </row>
    <row r="31" spans="1:27" ht="16.5" customHeight="1" x14ac:dyDescent="0.3">
      <c r="A31" s="1255">
        <v>8</v>
      </c>
      <c r="B31" s="1255" t="s">
        <v>62</v>
      </c>
      <c r="C31" s="1255"/>
      <c r="D31" s="4715" t="s">
        <v>927</v>
      </c>
      <c r="E31" s="4716"/>
      <c r="F31" s="4716"/>
      <c r="G31" s="4716"/>
      <c r="H31" s="4716"/>
      <c r="I31" s="4716"/>
      <c r="J31" s="4716"/>
      <c r="K31" s="4716"/>
      <c r="L31" s="4716"/>
      <c r="M31" s="4716"/>
      <c r="N31" s="4716"/>
      <c r="O31" s="4716"/>
      <c r="P31" s="4716"/>
      <c r="Q31" s="4716"/>
      <c r="R31" s="4716"/>
      <c r="S31" s="4716"/>
      <c r="T31" s="4716"/>
      <c r="U31" s="4716"/>
      <c r="V31" s="4716"/>
      <c r="W31" s="4716"/>
      <c r="X31" s="4716"/>
      <c r="Y31" s="4716"/>
      <c r="Z31" s="4716"/>
      <c r="AA31" s="4717"/>
    </row>
    <row r="32" spans="1:27" x14ac:dyDescent="0.3">
      <c r="A32" s="1764"/>
    </row>
    <row r="33" spans="1:32" x14ac:dyDescent="0.3">
      <c r="A33" s="1764"/>
    </row>
    <row r="35" spans="1:32" x14ac:dyDescent="0.3">
      <c r="B35" s="2424"/>
      <c r="C35" s="2424"/>
      <c r="D35" s="2425"/>
      <c r="E35" s="2425"/>
      <c r="F35" s="2425"/>
      <c r="G35" s="2425"/>
      <c r="H35" s="2425"/>
      <c r="I35" s="2425"/>
      <c r="J35" s="2425"/>
      <c r="K35" s="2425"/>
      <c r="L35" s="2425"/>
      <c r="M35" s="2425"/>
      <c r="N35" s="2425"/>
      <c r="O35" s="2425"/>
      <c r="P35" s="2425"/>
      <c r="Q35" s="2425"/>
      <c r="R35" s="2425"/>
      <c r="S35" s="2425"/>
      <c r="T35" s="2425"/>
      <c r="U35" s="2425"/>
      <c r="V35" s="2425"/>
      <c r="W35" s="2425"/>
      <c r="X35" s="2425"/>
      <c r="Y35" s="2425"/>
      <c r="Z35" s="2425"/>
      <c r="AA35" s="2425"/>
      <c r="AB35" s="2425"/>
      <c r="AC35" s="2425"/>
      <c r="AD35" s="2425"/>
      <c r="AE35" s="2425"/>
    </row>
    <row r="36" spans="1:32" x14ac:dyDescent="0.3">
      <c r="A36" s="1764"/>
      <c r="B36" s="2426" t="s">
        <v>928</v>
      </c>
      <c r="C36" s="2427"/>
      <c r="D36" s="2427"/>
      <c r="E36" s="2427"/>
      <c r="F36" s="2427"/>
      <c r="G36" s="2427"/>
      <c r="H36" s="2427"/>
      <c r="I36" s="2427"/>
      <c r="J36" s="2427"/>
      <c r="K36" s="2427"/>
      <c r="L36" s="2427"/>
      <c r="M36" s="2427"/>
      <c r="N36" s="2427"/>
      <c r="O36" s="2427"/>
      <c r="P36" s="2427"/>
      <c r="Q36" s="2427"/>
      <c r="R36" s="2427"/>
      <c r="S36" s="2427"/>
      <c r="T36" s="2427"/>
      <c r="U36" s="2427"/>
      <c r="V36" s="2427"/>
      <c r="W36" s="2427"/>
      <c r="X36" s="2427"/>
      <c r="Y36" s="2427"/>
      <c r="Z36" s="2427"/>
      <c r="AA36" s="2427"/>
      <c r="AB36" s="2427"/>
      <c r="AC36" s="2427"/>
      <c r="AD36" s="2427"/>
      <c r="AE36" s="2427"/>
      <c r="AF36" s="1510"/>
    </row>
    <row r="37" spans="1:32" x14ac:dyDescent="0.3">
      <c r="A37" s="1764"/>
      <c r="B37" s="2427"/>
      <c r="C37" s="2427"/>
      <c r="D37" s="2427"/>
      <c r="E37" s="2427"/>
      <c r="F37" s="2427"/>
      <c r="G37" s="2427"/>
      <c r="H37" s="2427"/>
      <c r="I37" s="2427"/>
      <c r="J37" s="2427"/>
      <c r="K37" s="2427"/>
      <c r="L37" s="2427"/>
      <c r="M37" s="2427"/>
      <c r="N37" s="2427"/>
      <c r="O37" s="2427"/>
      <c r="P37" s="2427"/>
      <c r="Q37" s="2427"/>
      <c r="R37" s="2427"/>
      <c r="S37" s="2427"/>
      <c r="T37" s="2427"/>
      <c r="U37" s="2427"/>
      <c r="V37" s="2427"/>
      <c r="W37" s="2427"/>
      <c r="X37" s="2427"/>
      <c r="Y37" s="2427"/>
      <c r="Z37" s="2427"/>
      <c r="AA37" s="2427"/>
      <c r="AB37" s="2427"/>
      <c r="AC37" s="2427"/>
      <c r="AD37" s="2427"/>
      <c r="AE37" s="2427"/>
      <c r="AF37" s="1510"/>
    </row>
    <row r="38" spans="1:32" x14ac:dyDescent="0.3">
      <c r="A38" s="1764"/>
      <c r="B38" s="2428" t="s">
        <v>929</v>
      </c>
      <c r="C38" s="4861" t="s">
        <v>930</v>
      </c>
      <c r="D38" s="4861"/>
      <c r="E38" s="4861" t="s">
        <v>931</v>
      </c>
      <c r="F38" s="4861"/>
      <c r="G38" s="4861" t="s">
        <v>932</v>
      </c>
      <c r="H38" s="4861"/>
      <c r="I38" s="4861" t="s">
        <v>933</v>
      </c>
      <c r="J38" s="4861"/>
      <c r="K38" s="4861" t="s">
        <v>934</v>
      </c>
      <c r="L38" s="4861"/>
      <c r="M38" s="4861" t="s">
        <v>935</v>
      </c>
      <c r="N38" s="4861"/>
      <c r="O38" s="4861" t="s">
        <v>936</v>
      </c>
      <c r="P38" s="4861"/>
      <c r="Q38" s="4861" t="s">
        <v>937</v>
      </c>
      <c r="R38" s="4861"/>
      <c r="S38" s="4859" t="s">
        <v>418</v>
      </c>
      <c r="T38" s="4860"/>
      <c r="U38" s="4861" t="s">
        <v>938</v>
      </c>
      <c r="V38" s="4861"/>
      <c r="W38" s="4861" t="s">
        <v>939</v>
      </c>
      <c r="X38" s="4861"/>
      <c r="Y38" s="4859" t="s">
        <v>940</v>
      </c>
      <c r="Z38" s="4860"/>
      <c r="AA38" s="2429" t="s">
        <v>232</v>
      </c>
      <c r="AB38" s="2429" t="s">
        <v>232</v>
      </c>
      <c r="AC38" s="2429" t="s">
        <v>941</v>
      </c>
      <c r="AD38" s="2425"/>
      <c r="AE38" s="2425"/>
    </row>
    <row r="39" spans="1:32" x14ac:dyDescent="0.3">
      <c r="A39" s="1764"/>
      <c r="B39" s="2429" t="s">
        <v>942</v>
      </c>
      <c r="C39" s="2430" t="s">
        <v>943</v>
      </c>
      <c r="D39" s="2430" t="s">
        <v>69</v>
      </c>
      <c r="E39" s="2430" t="s">
        <v>943</v>
      </c>
      <c r="F39" s="2430" t="s">
        <v>69</v>
      </c>
      <c r="G39" s="2430" t="s">
        <v>943</v>
      </c>
      <c r="H39" s="2430" t="s">
        <v>69</v>
      </c>
      <c r="I39" s="2430" t="s">
        <v>943</v>
      </c>
      <c r="J39" s="2430" t="s">
        <v>69</v>
      </c>
      <c r="K39" s="2430" t="s">
        <v>943</v>
      </c>
      <c r="L39" s="2430" t="s">
        <v>69</v>
      </c>
      <c r="M39" s="2430" t="s">
        <v>943</v>
      </c>
      <c r="N39" s="2430" t="s">
        <v>69</v>
      </c>
      <c r="O39" s="2430" t="s">
        <v>943</v>
      </c>
      <c r="P39" s="2430" t="s">
        <v>69</v>
      </c>
      <c r="Q39" s="2430" t="s">
        <v>943</v>
      </c>
      <c r="R39" s="2430" t="s">
        <v>69</v>
      </c>
      <c r="S39" s="2430" t="s">
        <v>69</v>
      </c>
      <c r="T39" s="2430" t="s">
        <v>69</v>
      </c>
      <c r="U39" s="2430" t="s">
        <v>943</v>
      </c>
      <c r="V39" s="2430" t="s">
        <v>69</v>
      </c>
      <c r="W39" s="2430" t="s">
        <v>943</v>
      </c>
      <c r="X39" s="2430" t="s">
        <v>69</v>
      </c>
      <c r="Y39" s="2430" t="s">
        <v>943</v>
      </c>
      <c r="Z39" s="2430" t="s">
        <v>69</v>
      </c>
      <c r="AA39" s="2429" t="s">
        <v>944</v>
      </c>
      <c r="AB39" s="2429" t="s">
        <v>945</v>
      </c>
      <c r="AC39" s="2431"/>
      <c r="AD39" s="2425"/>
      <c r="AE39" s="2425"/>
    </row>
    <row r="40" spans="1:32" x14ac:dyDescent="0.3">
      <c r="A40" s="1764"/>
      <c r="B40" s="2429" t="s">
        <v>409</v>
      </c>
      <c r="C40" s="2432">
        <v>452</v>
      </c>
      <c r="D40" s="2432">
        <v>4</v>
      </c>
      <c r="E40" s="2432">
        <v>455</v>
      </c>
      <c r="F40" s="2432">
        <v>3</v>
      </c>
      <c r="G40" s="2432">
        <v>1529</v>
      </c>
      <c r="H40" s="2432">
        <v>11</v>
      </c>
      <c r="I40" s="2432">
        <v>650</v>
      </c>
      <c r="J40" s="2432">
        <v>3</v>
      </c>
      <c r="K40" s="2432">
        <v>364</v>
      </c>
      <c r="L40" s="2432">
        <v>1</v>
      </c>
      <c r="M40" s="2432">
        <v>92</v>
      </c>
      <c r="N40" s="2432">
        <v>2</v>
      </c>
      <c r="O40" s="2432">
        <v>47</v>
      </c>
      <c r="P40" s="2432">
        <v>0</v>
      </c>
      <c r="Q40" s="2432">
        <v>26</v>
      </c>
      <c r="R40" s="2432">
        <v>0</v>
      </c>
      <c r="S40" s="2432">
        <v>0</v>
      </c>
      <c r="T40" s="2432">
        <v>5</v>
      </c>
      <c r="U40" s="2432">
        <v>195</v>
      </c>
      <c r="V40" s="2432">
        <v>1</v>
      </c>
      <c r="W40" s="2432">
        <v>183</v>
      </c>
      <c r="X40" s="2432">
        <v>0</v>
      </c>
      <c r="Y40" s="2432">
        <v>128</v>
      </c>
      <c r="Z40" s="2432">
        <v>1</v>
      </c>
      <c r="AA40" s="2432">
        <f t="shared" ref="AA40:AB43" si="0">SUM(C40,E40,G40,I40,K40,M40,O40,Q40,S40,U40,W40,Y40)</f>
        <v>4121</v>
      </c>
      <c r="AB40" s="2432">
        <f t="shared" si="0"/>
        <v>31</v>
      </c>
      <c r="AC40" s="2432">
        <f>AB40/AA40*100</f>
        <v>0.75224460082504252</v>
      </c>
      <c r="AD40" s="2425"/>
      <c r="AE40" s="2425"/>
    </row>
    <row r="41" spans="1:32" x14ac:dyDescent="0.3">
      <c r="A41" s="1764"/>
      <c r="B41" s="2429" t="s">
        <v>408</v>
      </c>
      <c r="C41" s="2432">
        <v>707</v>
      </c>
      <c r="D41" s="2432">
        <v>2</v>
      </c>
      <c r="E41" s="2432">
        <v>165</v>
      </c>
      <c r="F41" s="2432">
        <v>2</v>
      </c>
      <c r="G41" s="2432">
        <v>93</v>
      </c>
      <c r="H41" s="2432">
        <v>0</v>
      </c>
      <c r="I41" s="2432">
        <v>114</v>
      </c>
      <c r="J41" s="2432">
        <v>1</v>
      </c>
      <c r="K41" s="2432">
        <v>91</v>
      </c>
      <c r="L41" s="2432">
        <v>0</v>
      </c>
      <c r="M41" s="2432">
        <v>45</v>
      </c>
      <c r="N41" s="2432">
        <v>0</v>
      </c>
      <c r="O41" s="2432">
        <v>88</v>
      </c>
      <c r="P41" s="2432">
        <v>0</v>
      </c>
      <c r="Q41" s="2432">
        <v>65</v>
      </c>
      <c r="R41" s="2432">
        <v>0</v>
      </c>
      <c r="S41" s="2432">
        <v>0</v>
      </c>
      <c r="T41" s="2432">
        <v>0</v>
      </c>
      <c r="U41" s="2432">
        <v>82</v>
      </c>
      <c r="V41" s="2432">
        <v>1</v>
      </c>
      <c r="W41" s="2432">
        <v>84</v>
      </c>
      <c r="X41" s="2432">
        <v>1</v>
      </c>
      <c r="Y41" s="2433">
        <v>68</v>
      </c>
      <c r="Z41" s="2432">
        <v>1</v>
      </c>
      <c r="AA41" s="2432">
        <f t="shared" si="0"/>
        <v>1602</v>
      </c>
      <c r="AB41" s="2432">
        <f t="shared" si="0"/>
        <v>8</v>
      </c>
      <c r="AC41" s="2432">
        <f>AB41/AA41*100</f>
        <v>0.49937578027465668</v>
      </c>
      <c r="AD41" s="2425"/>
      <c r="AE41" s="2425"/>
    </row>
    <row r="42" spans="1:32" x14ac:dyDescent="0.3">
      <c r="A42" s="1764"/>
      <c r="B42" s="2429" t="s">
        <v>405</v>
      </c>
      <c r="C42" s="2432">
        <v>167</v>
      </c>
      <c r="D42" s="2432">
        <v>2</v>
      </c>
      <c r="E42" s="2432">
        <v>91</v>
      </c>
      <c r="F42" s="2432">
        <v>0</v>
      </c>
      <c r="G42" s="2432">
        <v>91</v>
      </c>
      <c r="H42" s="2432">
        <v>0</v>
      </c>
      <c r="I42" s="2432">
        <v>50</v>
      </c>
      <c r="J42" s="2432">
        <v>0</v>
      </c>
      <c r="K42" s="2432">
        <v>23</v>
      </c>
      <c r="L42" s="2432">
        <v>0</v>
      </c>
      <c r="M42" s="2432">
        <v>19</v>
      </c>
      <c r="N42" s="2432">
        <v>0</v>
      </c>
      <c r="O42" s="2432">
        <v>31</v>
      </c>
      <c r="P42" s="2432">
        <v>0</v>
      </c>
      <c r="Q42" s="2432">
        <v>21</v>
      </c>
      <c r="R42" s="2432">
        <v>0</v>
      </c>
      <c r="S42" s="2432">
        <v>0</v>
      </c>
      <c r="T42" s="2432">
        <v>0</v>
      </c>
      <c r="U42" s="2432">
        <v>25</v>
      </c>
      <c r="V42" s="2432">
        <v>1</v>
      </c>
      <c r="W42" s="2432">
        <v>21</v>
      </c>
      <c r="X42" s="2432">
        <v>0</v>
      </c>
      <c r="Y42" s="2433">
        <v>23</v>
      </c>
      <c r="Z42" s="2432">
        <v>0</v>
      </c>
      <c r="AA42" s="2432">
        <f t="shared" si="0"/>
        <v>562</v>
      </c>
      <c r="AB42" s="2432">
        <f t="shared" si="0"/>
        <v>3</v>
      </c>
      <c r="AC42" s="2432">
        <f>AB42/AA42*100</f>
        <v>0.53380782918149472</v>
      </c>
      <c r="AD42" s="2425"/>
      <c r="AE42" s="2425"/>
    </row>
    <row r="43" spans="1:32" x14ac:dyDescent="0.3">
      <c r="A43" s="1764"/>
      <c r="B43" s="2429" t="s">
        <v>406</v>
      </c>
      <c r="C43" s="2432">
        <v>48</v>
      </c>
      <c r="D43" s="2432">
        <v>0</v>
      </c>
      <c r="E43" s="2432">
        <v>24</v>
      </c>
      <c r="F43" s="2432">
        <v>0</v>
      </c>
      <c r="G43" s="2432">
        <v>17</v>
      </c>
      <c r="H43" s="2432">
        <v>0</v>
      </c>
      <c r="I43" s="2432">
        <v>19</v>
      </c>
      <c r="J43" s="2432">
        <v>0</v>
      </c>
      <c r="K43" s="2432">
        <v>8</v>
      </c>
      <c r="L43" s="2432">
        <v>0</v>
      </c>
      <c r="M43" s="2432">
        <v>8</v>
      </c>
      <c r="N43" s="2432">
        <v>0</v>
      </c>
      <c r="O43" s="2432">
        <v>2</v>
      </c>
      <c r="P43" s="2432">
        <v>0</v>
      </c>
      <c r="Q43" s="2432">
        <v>3</v>
      </c>
      <c r="R43" s="2432">
        <v>0</v>
      </c>
      <c r="S43" s="2432">
        <v>0</v>
      </c>
      <c r="T43" s="2432">
        <v>0</v>
      </c>
      <c r="U43" s="2432">
        <v>1</v>
      </c>
      <c r="V43" s="2432">
        <v>0</v>
      </c>
      <c r="W43" s="2432">
        <v>1</v>
      </c>
      <c r="X43" s="2432">
        <v>0</v>
      </c>
      <c r="Y43" s="2433">
        <v>1</v>
      </c>
      <c r="Z43" s="2432">
        <v>1</v>
      </c>
      <c r="AA43" s="2432">
        <f t="shared" si="0"/>
        <v>132</v>
      </c>
      <c r="AB43" s="2432">
        <f t="shared" si="0"/>
        <v>1</v>
      </c>
      <c r="AC43" s="2432">
        <f>AB43/AA43*100</f>
        <v>0.75757575757575757</v>
      </c>
      <c r="AD43" s="2425"/>
      <c r="AE43" s="2425"/>
    </row>
    <row r="44" spans="1:32" x14ac:dyDescent="0.3">
      <c r="A44" s="1764"/>
      <c r="B44" s="2429" t="s">
        <v>407</v>
      </c>
      <c r="C44" s="2432" t="s">
        <v>946</v>
      </c>
      <c r="D44" s="2432" t="s">
        <v>946</v>
      </c>
      <c r="E44" s="2432" t="s">
        <v>946</v>
      </c>
      <c r="F44" s="2432" t="s">
        <v>946</v>
      </c>
      <c r="G44" s="2432" t="s">
        <v>946</v>
      </c>
      <c r="H44" s="2432" t="s">
        <v>946</v>
      </c>
      <c r="I44" s="2432" t="s">
        <v>946</v>
      </c>
      <c r="J44" s="2432" t="s">
        <v>946</v>
      </c>
      <c r="K44" s="2432" t="s">
        <v>946</v>
      </c>
      <c r="L44" s="2432" t="s">
        <v>946</v>
      </c>
      <c r="M44" s="2432" t="s">
        <v>946</v>
      </c>
      <c r="N44" s="2432" t="s">
        <v>946</v>
      </c>
      <c r="O44" s="2434">
        <v>34</v>
      </c>
      <c r="P44" s="2435">
        <v>0</v>
      </c>
      <c r="Q44" s="2434">
        <v>28</v>
      </c>
      <c r="R44" s="2435">
        <v>0</v>
      </c>
      <c r="S44" s="2435">
        <v>0</v>
      </c>
      <c r="T44" s="2435">
        <v>0</v>
      </c>
      <c r="U44" s="2434">
        <v>24</v>
      </c>
      <c r="V44" s="2436">
        <v>0</v>
      </c>
      <c r="W44" s="2434">
        <v>14</v>
      </c>
      <c r="X44" s="2437">
        <v>0</v>
      </c>
      <c r="Y44" s="2434">
        <v>19</v>
      </c>
      <c r="Z44" s="2437">
        <v>0</v>
      </c>
      <c r="AA44" s="2427">
        <v>957</v>
      </c>
      <c r="AB44" s="2427">
        <v>0</v>
      </c>
      <c r="AC44" s="2427">
        <v>64</v>
      </c>
      <c r="AD44" s="2425"/>
      <c r="AE44" s="2425"/>
    </row>
    <row r="45" spans="1:32" x14ac:dyDescent="0.3">
      <c r="A45" s="1764"/>
      <c r="B45" s="2429" t="s">
        <v>403</v>
      </c>
      <c r="C45" s="2432" t="s">
        <v>946</v>
      </c>
      <c r="D45" s="2432" t="s">
        <v>946</v>
      </c>
      <c r="E45" s="2432" t="s">
        <v>946</v>
      </c>
      <c r="F45" s="2432" t="s">
        <v>946</v>
      </c>
      <c r="G45" s="2432" t="s">
        <v>946</v>
      </c>
      <c r="H45" s="2432" t="s">
        <v>946</v>
      </c>
      <c r="I45" s="2432" t="s">
        <v>946</v>
      </c>
      <c r="J45" s="2432" t="s">
        <v>946</v>
      </c>
      <c r="K45" s="2432" t="s">
        <v>946</v>
      </c>
      <c r="L45" s="2432" t="s">
        <v>946</v>
      </c>
      <c r="M45" s="2432" t="s">
        <v>946</v>
      </c>
      <c r="N45" s="2432" t="s">
        <v>946</v>
      </c>
      <c r="O45" s="2432" t="s">
        <v>946</v>
      </c>
      <c r="P45" s="2432" t="s">
        <v>946</v>
      </c>
      <c r="Q45" s="2432" t="s">
        <v>946</v>
      </c>
      <c r="R45" s="2432" t="s">
        <v>946</v>
      </c>
      <c r="S45" s="2432" t="s">
        <v>946</v>
      </c>
      <c r="T45" s="2432" t="s">
        <v>946</v>
      </c>
      <c r="U45" s="2432" t="s">
        <v>946</v>
      </c>
      <c r="V45" s="2432" t="s">
        <v>946</v>
      </c>
      <c r="W45" s="2432" t="s">
        <v>946</v>
      </c>
      <c r="X45" s="2432" t="s">
        <v>946</v>
      </c>
      <c r="Y45" s="2432" t="s">
        <v>946</v>
      </c>
      <c r="Z45" s="2432" t="s">
        <v>946</v>
      </c>
      <c r="AA45" s="2432">
        <v>4</v>
      </c>
      <c r="AB45" s="2432">
        <v>0</v>
      </c>
      <c r="AC45" s="2432">
        <f>AB45/AA45*100</f>
        <v>0</v>
      </c>
      <c r="AD45" s="2425"/>
      <c r="AE45" s="2425"/>
    </row>
    <row r="46" spans="1:32" ht="15.5" x14ac:dyDescent="0.35">
      <c r="A46" s="1764"/>
      <c r="B46" s="2429" t="s">
        <v>402</v>
      </c>
      <c r="C46" s="2432" t="s">
        <v>946</v>
      </c>
      <c r="D46" s="2432" t="s">
        <v>946</v>
      </c>
      <c r="E46" s="2432" t="s">
        <v>946</v>
      </c>
      <c r="F46" s="2432" t="s">
        <v>946</v>
      </c>
      <c r="G46" s="2432" t="s">
        <v>946</v>
      </c>
      <c r="H46" s="2432" t="s">
        <v>946</v>
      </c>
      <c r="I46" s="2432" t="s">
        <v>946</v>
      </c>
      <c r="J46" s="2432" t="s">
        <v>946</v>
      </c>
      <c r="K46" s="2432" t="s">
        <v>946</v>
      </c>
      <c r="L46" s="2432" t="s">
        <v>946</v>
      </c>
      <c r="M46" s="2432" t="s">
        <v>946</v>
      </c>
      <c r="N46" s="2432" t="s">
        <v>946</v>
      </c>
      <c r="O46" s="2432" t="s">
        <v>946</v>
      </c>
      <c r="P46" s="2432" t="s">
        <v>946</v>
      </c>
      <c r="Q46" s="2432" t="s">
        <v>946</v>
      </c>
      <c r="R46" s="2432" t="s">
        <v>946</v>
      </c>
      <c r="S46" s="2432" t="s">
        <v>946</v>
      </c>
      <c r="T46" s="2432" t="s">
        <v>946</v>
      </c>
      <c r="U46" s="2432" t="s">
        <v>946</v>
      </c>
      <c r="V46" s="2432" t="s">
        <v>946</v>
      </c>
      <c r="W46" s="2432" t="s">
        <v>946</v>
      </c>
      <c r="X46" s="2432" t="s">
        <v>946</v>
      </c>
      <c r="Y46" s="2432" t="s">
        <v>946</v>
      </c>
      <c r="Z46" s="2432" t="s">
        <v>946</v>
      </c>
      <c r="AA46" s="2438">
        <v>15</v>
      </c>
      <c r="AB46" s="2432">
        <v>0</v>
      </c>
      <c r="AC46" s="2432">
        <f>AB46/AA46*100</f>
        <v>0</v>
      </c>
      <c r="AD46" s="2425"/>
      <c r="AE46" s="2425"/>
    </row>
    <row r="47" spans="1:32" x14ac:dyDescent="0.3">
      <c r="A47" s="1764"/>
      <c r="B47" s="2429" t="s">
        <v>232</v>
      </c>
      <c r="C47" s="2432">
        <f>SUM(C40:C45)</f>
        <v>1374</v>
      </c>
      <c r="D47" s="2432">
        <f t="shared" ref="D47:AB47" si="1">SUM(D40:D45)</f>
        <v>8</v>
      </c>
      <c r="E47" s="2432">
        <f t="shared" si="1"/>
        <v>735</v>
      </c>
      <c r="F47" s="2432">
        <f t="shared" si="1"/>
        <v>5</v>
      </c>
      <c r="G47" s="2432">
        <f t="shared" si="1"/>
        <v>1730</v>
      </c>
      <c r="H47" s="2432">
        <f t="shared" si="1"/>
        <v>11</v>
      </c>
      <c r="I47" s="2432">
        <f t="shared" si="1"/>
        <v>833</v>
      </c>
      <c r="J47" s="2432">
        <f t="shared" si="1"/>
        <v>4</v>
      </c>
      <c r="K47" s="2432">
        <f t="shared" si="1"/>
        <v>486</v>
      </c>
      <c r="L47" s="2432">
        <f t="shared" si="1"/>
        <v>1</v>
      </c>
      <c r="M47" s="2432">
        <f t="shared" si="1"/>
        <v>164</v>
      </c>
      <c r="N47" s="2432">
        <f t="shared" si="1"/>
        <v>2</v>
      </c>
      <c r="O47" s="2432">
        <f t="shared" si="1"/>
        <v>202</v>
      </c>
      <c r="P47" s="2432">
        <f t="shared" si="1"/>
        <v>0</v>
      </c>
      <c r="Q47" s="2432">
        <f t="shared" si="1"/>
        <v>143</v>
      </c>
      <c r="R47" s="2432">
        <f t="shared" si="1"/>
        <v>0</v>
      </c>
      <c r="S47" s="2432">
        <f>SUM(S40:S45)</f>
        <v>0</v>
      </c>
      <c r="T47" s="2432">
        <f t="shared" ref="T47:Z47" si="2">SUM(T40:T45)</f>
        <v>5</v>
      </c>
      <c r="U47" s="2432">
        <f t="shared" si="2"/>
        <v>327</v>
      </c>
      <c r="V47" s="2432">
        <f t="shared" si="2"/>
        <v>3</v>
      </c>
      <c r="W47" s="2432">
        <f t="shared" si="2"/>
        <v>303</v>
      </c>
      <c r="X47" s="2432">
        <f t="shared" si="2"/>
        <v>1</v>
      </c>
      <c r="Y47" s="2432">
        <f t="shared" si="2"/>
        <v>239</v>
      </c>
      <c r="Z47" s="2432">
        <f t="shared" si="2"/>
        <v>3</v>
      </c>
      <c r="AA47" s="2432">
        <f>SUM(AA40:AA46)</f>
        <v>7393</v>
      </c>
      <c r="AB47" s="2432">
        <f t="shared" si="1"/>
        <v>43</v>
      </c>
      <c r="AC47" s="2432">
        <f>AB47/AA47*100</f>
        <v>0.58163127282564586</v>
      </c>
      <c r="AD47" s="2425"/>
      <c r="AE47" s="2425"/>
    </row>
    <row r="48" spans="1:32" x14ac:dyDescent="0.3">
      <c r="A48" s="1764"/>
      <c r="B48" s="2429"/>
      <c r="C48" s="2432"/>
      <c r="D48" s="2432"/>
      <c r="E48" s="2432"/>
      <c r="F48" s="2432"/>
      <c r="G48" s="2432"/>
      <c r="H48" s="2432"/>
      <c r="I48" s="2432"/>
      <c r="J48" s="2432"/>
      <c r="K48" s="2432"/>
      <c r="L48" s="2432"/>
      <c r="M48" s="2432"/>
      <c r="N48" s="2432"/>
      <c r="O48" s="2432"/>
      <c r="P48" s="2432"/>
      <c r="Q48" s="2432"/>
      <c r="R48" s="2432"/>
      <c r="S48" s="2432"/>
      <c r="T48" s="2432"/>
      <c r="U48" s="2432"/>
      <c r="V48" s="2432"/>
      <c r="W48" s="2432"/>
      <c r="X48" s="2432"/>
      <c r="Y48" s="2432"/>
      <c r="Z48" s="2432"/>
      <c r="AA48" s="2432"/>
      <c r="AB48" s="2432"/>
      <c r="AC48" s="2432"/>
      <c r="AD48" s="2425"/>
      <c r="AE48" s="2425"/>
    </row>
    <row r="49" spans="1:32" x14ac:dyDescent="0.3">
      <c r="A49" s="1764"/>
      <c r="B49" s="2427"/>
      <c r="C49" s="2427"/>
      <c r="D49" s="2427"/>
      <c r="E49" s="2427"/>
      <c r="F49" s="2427"/>
      <c r="G49" s="2427"/>
      <c r="H49" s="2427"/>
      <c r="I49" s="2427"/>
      <c r="J49" s="2427"/>
      <c r="K49" s="2427"/>
      <c r="L49" s="2427"/>
      <c r="M49" s="2427"/>
      <c r="N49" s="2427"/>
      <c r="O49" s="2427"/>
      <c r="P49" s="2427"/>
      <c r="Q49" s="2427"/>
      <c r="R49" s="2427"/>
      <c r="S49" s="2427"/>
      <c r="T49" s="2427"/>
      <c r="U49" s="2427"/>
      <c r="V49" s="2427"/>
      <c r="W49" s="2427"/>
      <c r="X49" s="2427"/>
      <c r="Y49" s="2427"/>
      <c r="Z49" s="2427"/>
      <c r="AA49" s="2427"/>
      <c r="AB49" s="2427"/>
      <c r="AC49" s="2427"/>
      <c r="AD49" s="2427"/>
      <c r="AE49" s="2427"/>
      <c r="AF49" s="1510"/>
    </row>
    <row r="50" spans="1:32" x14ac:dyDescent="0.3">
      <c r="A50" s="1764"/>
      <c r="B50" s="2427"/>
      <c r="C50" s="2427"/>
      <c r="D50" s="2427"/>
      <c r="E50" s="2427"/>
      <c r="F50" s="2427"/>
      <c r="G50" s="2427"/>
      <c r="H50" s="2427"/>
      <c r="I50" s="2427"/>
      <c r="J50" s="2427"/>
      <c r="K50" s="2427"/>
      <c r="L50" s="2427"/>
      <c r="M50" s="2427"/>
      <c r="N50" s="2427"/>
      <c r="O50" s="2427"/>
      <c r="P50" s="2427"/>
      <c r="Q50" s="2427"/>
      <c r="R50" s="2427"/>
      <c r="S50" s="2427"/>
      <c r="T50" s="2427"/>
      <c r="U50" s="2427"/>
      <c r="V50" s="2427"/>
      <c r="W50" s="2427"/>
      <c r="X50" s="2427"/>
      <c r="Y50" s="2427"/>
      <c r="Z50" s="2427"/>
      <c r="AA50" s="2427"/>
      <c r="AB50" s="2427"/>
      <c r="AC50" s="2427"/>
      <c r="AD50" s="2427"/>
      <c r="AE50" s="2427"/>
      <c r="AF50" s="1510"/>
    </row>
    <row r="51" spans="1:32" x14ac:dyDescent="0.3">
      <c r="A51" s="1764"/>
      <c r="B51" s="2426" t="s">
        <v>947</v>
      </c>
      <c r="C51" s="2427"/>
      <c r="D51" s="2427"/>
      <c r="E51" s="2427"/>
      <c r="F51" s="2427"/>
      <c r="G51" s="2426">
        <v>2009</v>
      </c>
      <c r="H51" s="2427"/>
      <c r="I51" s="2427"/>
      <c r="J51" s="2427"/>
      <c r="K51" s="2427"/>
      <c r="L51" s="2427"/>
      <c r="M51" s="2427"/>
      <c r="N51" s="2427"/>
      <c r="O51" s="2427"/>
      <c r="P51" s="2427"/>
      <c r="Q51" s="2427"/>
      <c r="R51" s="2427"/>
      <c r="S51" s="2427"/>
      <c r="T51" s="2427"/>
      <c r="U51" s="2427"/>
      <c r="V51" s="2427"/>
      <c r="W51" s="2427"/>
      <c r="X51" s="2427"/>
      <c r="Y51" s="2427"/>
      <c r="Z51" s="2427"/>
      <c r="AA51" s="2427"/>
      <c r="AB51" s="2427"/>
      <c r="AC51" s="2427"/>
      <c r="AD51" s="2427"/>
      <c r="AE51" s="2427"/>
      <c r="AF51" s="1510"/>
    </row>
    <row r="52" spans="1:32" x14ac:dyDescent="0.3">
      <c r="A52" s="1764"/>
      <c r="B52" s="2427"/>
      <c r="C52" s="2427"/>
      <c r="D52" s="2427"/>
      <c r="E52" s="2427"/>
      <c r="F52" s="2427"/>
      <c r="G52" s="2427"/>
      <c r="H52" s="2427"/>
      <c r="I52" s="2427"/>
      <c r="J52" s="2427"/>
      <c r="K52" s="2427"/>
      <c r="L52" s="2427"/>
      <c r="M52" s="2427"/>
      <c r="N52" s="2427"/>
      <c r="O52" s="2427"/>
      <c r="P52" s="2427"/>
      <c r="Q52" s="2427"/>
      <c r="R52" s="2427"/>
      <c r="S52" s="2427"/>
      <c r="T52" s="2427"/>
      <c r="U52" s="2427"/>
      <c r="V52" s="2427"/>
      <c r="W52" s="2427"/>
      <c r="X52" s="2427"/>
      <c r="Y52" s="2427"/>
      <c r="Z52" s="2427"/>
      <c r="AA52" s="2427"/>
      <c r="AB52" s="2427"/>
      <c r="AC52" s="2427"/>
      <c r="AD52" s="2427"/>
      <c r="AE52" s="2427"/>
      <c r="AF52" s="1510"/>
    </row>
    <row r="53" spans="1:32" x14ac:dyDescent="0.3">
      <c r="A53" s="1764"/>
      <c r="B53" s="2428" t="s">
        <v>929</v>
      </c>
      <c r="C53" s="4861" t="s">
        <v>930</v>
      </c>
      <c r="D53" s="4861"/>
      <c r="E53" s="4861" t="s">
        <v>931</v>
      </c>
      <c r="F53" s="4861"/>
      <c r="G53" s="4861" t="s">
        <v>932</v>
      </c>
      <c r="H53" s="4861"/>
      <c r="I53" s="4861" t="s">
        <v>933</v>
      </c>
      <c r="J53" s="4861"/>
      <c r="K53" s="4861" t="s">
        <v>934</v>
      </c>
      <c r="L53" s="4861"/>
      <c r="M53" s="4861" t="s">
        <v>935</v>
      </c>
      <c r="N53" s="4861"/>
      <c r="O53" s="4861" t="s">
        <v>936</v>
      </c>
      <c r="P53" s="4861"/>
      <c r="Q53" s="4861" t="s">
        <v>937</v>
      </c>
      <c r="R53" s="4861"/>
      <c r="S53" s="4859" t="s">
        <v>418</v>
      </c>
      <c r="T53" s="4860"/>
      <c r="U53" s="4861" t="s">
        <v>938</v>
      </c>
      <c r="V53" s="4861"/>
      <c r="W53" s="4861" t="s">
        <v>939</v>
      </c>
      <c r="X53" s="4861"/>
      <c r="Y53" s="4859" t="s">
        <v>940</v>
      </c>
      <c r="Z53" s="4860"/>
      <c r="AA53" s="2429" t="s">
        <v>232</v>
      </c>
      <c r="AB53" s="2429" t="s">
        <v>232</v>
      </c>
      <c r="AC53" s="2429" t="s">
        <v>941</v>
      </c>
      <c r="AD53" s="2425"/>
      <c r="AE53" s="2425"/>
    </row>
    <row r="54" spans="1:32" x14ac:dyDescent="0.3">
      <c r="A54" s="1764"/>
      <c r="B54" s="2429" t="s">
        <v>942</v>
      </c>
      <c r="C54" s="2430" t="s">
        <v>943</v>
      </c>
      <c r="D54" s="2430" t="s">
        <v>69</v>
      </c>
      <c r="E54" s="2430" t="s">
        <v>943</v>
      </c>
      <c r="F54" s="2430" t="s">
        <v>69</v>
      </c>
      <c r="G54" s="2430" t="s">
        <v>943</v>
      </c>
      <c r="H54" s="2430" t="s">
        <v>69</v>
      </c>
      <c r="I54" s="2430" t="s">
        <v>943</v>
      </c>
      <c r="J54" s="2430" t="s">
        <v>69</v>
      </c>
      <c r="K54" s="2430" t="s">
        <v>943</v>
      </c>
      <c r="L54" s="2430" t="s">
        <v>69</v>
      </c>
      <c r="M54" s="2430" t="s">
        <v>943</v>
      </c>
      <c r="N54" s="2430" t="s">
        <v>69</v>
      </c>
      <c r="O54" s="2430" t="s">
        <v>943</v>
      </c>
      <c r="P54" s="2430" t="s">
        <v>69</v>
      </c>
      <c r="Q54" s="2430" t="s">
        <v>943</v>
      </c>
      <c r="R54" s="2430" t="s">
        <v>69</v>
      </c>
      <c r="S54" s="2430" t="s">
        <v>69</v>
      </c>
      <c r="T54" s="2430" t="s">
        <v>69</v>
      </c>
      <c r="U54" s="2430" t="s">
        <v>943</v>
      </c>
      <c r="V54" s="2430" t="s">
        <v>69</v>
      </c>
      <c r="W54" s="2430" t="s">
        <v>943</v>
      </c>
      <c r="X54" s="2430" t="s">
        <v>69</v>
      </c>
      <c r="Y54" s="2430" t="s">
        <v>943</v>
      </c>
      <c r="Z54" s="2430" t="s">
        <v>69</v>
      </c>
      <c r="AA54" s="2429" t="s">
        <v>944</v>
      </c>
      <c r="AB54" s="2429" t="s">
        <v>945</v>
      </c>
      <c r="AC54" s="2431"/>
      <c r="AD54" s="2425"/>
      <c r="AE54" s="2425"/>
    </row>
    <row r="55" spans="1:32" x14ac:dyDescent="0.3">
      <c r="A55" s="1764"/>
      <c r="B55" s="2429" t="s">
        <v>409</v>
      </c>
      <c r="C55" s="2432">
        <v>329</v>
      </c>
      <c r="D55" s="2432">
        <v>5</v>
      </c>
      <c r="E55" s="2432">
        <v>370</v>
      </c>
      <c r="F55" s="2432">
        <v>2</v>
      </c>
      <c r="G55" s="2432">
        <v>865</v>
      </c>
      <c r="H55" s="2432">
        <v>6</v>
      </c>
      <c r="I55" s="2432">
        <v>199</v>
      </c>
      <c r="J55" s="2432">
        <v>1</v>
      </c>
      <c r="K55" s="2427">
        <v>180</v>
      </c>
      <c r="L55" s="2427">
        <v>2</v>
      </c>
      <c r="M55" s="2432">
        <v>86</v>
      </c>
      <c r="N55" s="2432">
        <v>1</v>
      </c>
      <c r="O55" s="2432">
        <v>37</v>
      </c>
      <c r="P55" s="2432">
        <v>0</v>
      </c>
      <c r="Q55" s="2432">
        <v>14</v>
      </c>
      <c r="R55" s="2432">
        <v>0</v>
      </c>
      <c r="S55" s="2432">
        <v>0</v>
      </c>
      <c r="T55" s="2432">
        <v>0</v>
      </c>
      <c r="U55" s="2432">
        <v>274</v>
      </c>
      <c r="V55" s="2432">
        <v>2</v>
      </c>
      <c r="W55" s="2432">
        <v>154</v>
      </c>
      <c r="X55" s="2432">
        <v>2</v>
      </c>
      <c r="Y55" s="2432">
        <v>383</v>
      </c>
      <c r="Z55" s="2432">
        <v>7</v>
      </c>
      <c r="AA55" s="2432">
        <f t="shared" ref="AA55:AB58" si="3">SUM(C55,E55,G55,I55,K55,M55,O55,Q55,S55,U55,W55,Y55)</f>
        <v>2891</v>
      </c>
      <c r="AB55" s="2432">
        <f t="shared" si="3"/>
        <v>28</v>
      </c>
      <c r="AC55" s="2432">
        <f>AB55/AA55*100</f>
        <v>0.96852300242130751</v>
      </c>
      <c r="AD55" s="2425"/>
      <c r="AE55" s="2425"/>
    </row>
    <row r="56" spans="1:32" x14ac:dyDescent="0.3">
      <c r="A56" s="1764"/>
      <c r="B56" s="2429" t="s">
        <v>408</v>
      </c>
      <c r="C56" s="2432">
        <v>357</v>
      </c>
      <c r="D56" s="2432">
        <v>0</v>
      </c>
      <c r="E56" s="2432">
        <v>214</v>
      </c>
      <c r="F56" s="2432">
        <v>0</v>
      </c>
      <c r="G56" s="2432">
        <v>249</v>
      </c>
      <c r="H56" s="2432">
        <v>2</v>
      </c>
      <c r="I56" s="2432">
        <v>177</v>
      </c>
      <c r="J56" s="2432">
        <v>0</v>
      </c>
      <c r="K56" s="2427">
        <v>129</v>
      </c>
      <c r="L56" s="2427">
        <v>1</v>
      </c>
      <c r="M56" s="2432">
        <v>73</v>
      </c>
      <c r="N56" s="2432">
        <v>1</v>
      </c>
      <c r="O56" s="2432">
        <v>69</v>
      </c>
      <c r="P56" s="2432">
        <v>0</v>
      </c>
      <c r="Q56" s="2432">
        <v>51</v>
      </c>
      <c r="R56" s="2432">
        <v>0</v>
      </c>
      <c r="S56" s="2432">
        <v>0</v>
      </c>
      <c r="T56" s="2432">
        <v>2</v>
      </c>
      <c r="U56" s="2432">
        <v>148</v>
      </c>
      <c r="V56" s="2432">
        <v>1</v>
      </c>
      <c r="W56" s="2432">
        <v>106</v>
      </c>
      <c r="X56" s="2432">
        <v>1</v>
      </c>
      <c r="Y56" s="2433">
        <v>146</v>
      </c>
      <c r="Z56" s="2432">
        <v>0</v>
      </c>
      <c r="AA56" s="2432">
        <f t="shared" si="3"/>
        <v>1719</v>
      </c>
      <c r="AB56" s="2432">
        <f t="shared" si="3"/>
        <v>8</v>
      </c>
      <c r="AC56" s="2432">
        <f>AB56/AA56*100</f>
        <v>0.46538685282140779</v>
      </c>
      <c r="AD56" s="2425"/>
      <c r="AE56" s="2425"/>
    </row>
    <row r="57" spans="1:32" x14ac:dyDescent="0.3">
      <c r="A57" s="1764"/>
      <c r="B57" s="2429" t="s">
        <v>405</v>
      </c>
      <c r="C57" s="2432">
        <v>80</v>
      </c>
      <c r="D57" s="2432">
        <v>1</v>
      </c>
      <c r="E57" s="2432">
        <v>53</v>
      </c>
      <c r="F57" s="2432">
        <v>0</v>
      </c>
      <c r="G57" s="2432">
        <v>55</v>
      </c>
      <c r="H57" s="2432">
        <v>2</v>
      </c>
      <c r="I57" s="2432">
        <v>29</v>
      </c>
      <c r="J57" s="2432">
        <v>0</v>
      </c>
      <c r="K57" s="2427">
        <v>48</v>
      </c>
      <c r="L57" s="2427">
        <v>0</v>
      </c>
      <c r="M57" s="2432">
        <v>22</v>
      </c>
      <c r="N57" s="2432">
        <v>0</v>
      </c>
      <c r="O57" s="2432">
        <v>22</v>
      </c>
      <c r="P57" s="2432">
        <v>0</v>
      </c>
      <c r="Q57" s="2432">
        <v>20</v>
      </c>
      <c r="R57" s="2432">
        <v>0</v>
      </c>
      <c r="S57" s="2432">
        <v>0</v>
      </c>
      <c r="T57" s="2432">
        <v>0</v>
      </c>
      <c r="U57" s="2432">
        <v>25</v>
      </c>
      <c r="V57" s="2432">
        <v>0</v>
      </c>
      <c r="W57" s="2432">
        <v>35</v>
      </c>
      <c r="X57" s="2432">
        <v>1</v>
      </c>
      <c r="Y57" s="2433">
        <v>26</v>
      </c>
      <c r="Z57" s="2432">
        <v>0</v>
      </c>
      <c r="AA57" s="2432">
        <f t="shared" si="3"/>
        <v>415</v>
      </c>
      <c r="AB57" s="2432">
        <f t="shared" si="3"/>
        <v>4</v>
      </c>
      <c r="AC57" s="2432">
        <f>AB57/AA57*100</f>
        <v>0.96385542168674709</v>
      </c>
      <c r="AD57" s="2425"/>
      <c r="AE57" s="2425"/>
    </row>
    <row r="58" spans="1:32" x14ac:dyDescent="0.3">
      <c r="A58" s="1764"/>
      <c r="B58" s="2429" t="s">
        <v>406</v>
      </c>
      <c r="C58" s="2432">
        <v>22</v>
      </c>
      <c r="D58" s="2432">
        <v>1</v>
      </c>
      <c r="E58" s="2432">
        <v>14</v>
      </c>
      <c r="F58" s="2432">
        <v>1</v>
      </c>
      <c r="G58" s="2432">
        <v>9</v>
      </c>
      <c r="H58" s="2432">
        <v>0</v>
      </c>
      <c r="I58" s="2432">
        <v>8</v>
      </c>
      <c r="J58" s="2432">
        <v>1</v>
      </c>
      <c r="K58" s="2432">
        <v>4</v>
      </c>
      <c r="L58" s="2432">
        <v>0</v>
      </c>
      <c r="M58" s="2432">
        <v>1</v>
      </c>
      <c r="N58" s="2432">
        <v>0</v>
      </c>
      <c r="O58" s="2432">
        <v>2</v>
      </c>
      <c r="P58" s="2432">
        <v>0</v>
      </c>
      <c r="Q58" s="2432">
        <v>3</v>
      </c>
      <c r="R58" s="2432">
        <v>0</v>
      </c>
      <c r="S58" s="2432">
        <v>0</v>
      </c>
      <c r="T58" s="2432">
        <v>0</v>
      </c>
      <c r="U58" s="2432">
        <v>4</v>
      </c>
      <c r="V58" s="2432">
        <v>0</v>
      </c>
      <c r="W58" s="2432">
        <v>5</v>
      </c>
      <c r="X58" s="2432">
        <v>0</v>
      </c>
      <c r="Y58" s="2433">
        <v>2</v>
      </c>
      <c r="Z58" s="2432">
        <v>0</v>
      </c>
      <c r="AA58" s="2432">
        <f t="shared" si="3"/>
        <v>74</v>
      </c>
      <c r="AB58" s="2432">
        <f t="shared" si="3"/>
        <v>3</v>
      </c>
      <c r="AC58" s="2432">
        <f>AB58/AA58*100</f>
        <v>4.0540540540540544</v>
      </c>
      <c r="AD58" s="2425"/>
      <c r="AE58" s="2425"/>
    </row>
    <row r="59" spans="1:32" x14ac:dyDescent="0.3">
      <c r="A59" s="1764"/>
      <c r="B59" s="2429" t="s">
        <v>407</v>
      </c>
      <c r="C59" s="2432">
        <v>217</v>
      </c>
      <c r="D59" s="2432" t="s">
        <v>946</v>
      </c>
      <c r="E59" s="2432">
        <v>64</v>
      </c>
      <c r="F59" s="2432" t="s">
        <v>946</v>
      </c>
      <c r="G59" s="2432">
        <v>37</v>
      </c>
      <c r="H59" s="2432" t="s">
        <v>946</v>
      </c>
      <c r="I59" s="2432">
        <v>3</v>
      </c>
      <c r="J59" s="2432" t="s">
        <v>946</v>
      </c>
      <c r="K59" s="2432">
        <v>32</v>
      </c>
      <c r="L59" s="2432">
        <v>0</v>
      </c>
      <c r="M59" s="2432">
        <v>19</v>
      </c>
      <c r="N59" s="2432">
        <v>0</v>
      </c>
      <c r="O59" s="2432">
        <v>5</v>
      </c>
      <c r="P59" s="2432">
        <v>0</v>
      </c>
      <c r="Q59" s="2432">
        <v>2</v>
      </c>
      <c r="R59" s="2432">
        <v>0</v>
      </c>
      <c r="S59" s="2432">
        <v>0</v>
      </c>
      <c r="T59" s="2432">
        <v>0</v>
      </c>
      <c r="U59" s="2432">
        <v>0</v>
      </c>
      <c r="V59" s="2432">
        <v>0</v>
      </c>
      <c r="W59" s="2432">
        <v>0</v>
      </c>
      <c r="X59" s="2432">
        <v>0</v>
      </c>
      <c r="Y59" s="2433">
        <v>4</v>
      </c>
      <c r="Z59" s="2432">
        <v>0</v>
      </c>
      <c r="AA59" s="2433">
        <v>298</v>
      </c>
      <c r="AB59" s="2432">
        <v>0</v>
      </c>
      <c r="AC59" s="2432">
        <v>0</v>
      </c>
      <c r="AD59" s="2425"/>
      <c r="AE59" s="2425"/>
    </row>
    <row r="60" spans="1:32" x14ac:dyDescent="0.3">
      <c r="A60" s="1764"/>
      <c r="B60" s="2429" t="s">
        <v>403</v>
      </c>
      <c r="C60" s="2432"/>
      <c r="D60" s="2432"/>
      <c r="E60" s="2432"/>
      <c r="F60" s="2432"/>
      <c r="G60" s="2432"/>
      <c r="H60" s="2432"/>
      <c r="I60" s="2432"/>
      <c r="J60" s="2432"/>
      <c r="K60" s="2432"/>
      <c r="L60" s="2432"/>
      <c r="M60" s="2432"/>
      <c r="N60" s="2432"/>
      <c r="O60" s="2432"/>
      <c r="P60" s="2432"/>
      <c r="Q60" s="2432"/>
      <c r="R60" s="2432"/>
      <c r="S60" s="2432"/>
      <c r="T60" s="2432"/>
      <c r="U60" s="2432"/>
      <c r="V60" s="2432"/>
      <c r="W60" s="2432"/>
      <c r="X60" s="2432"/>
      <c r="Y60" s="2432"/>
      <c r="Z60" s="2432"/>
      <c r="AA60" s="2433"/>
      <c r="AB60" s="2432"/>
      <c r="AC60" s="2432"/>
      <c r="AD60" s="2425"/>
      <c r="AE60" s="2425"/>
    </row>
    <row r="61" spans="1:32" x14ac:dyDescent="0.3">
      <c r="A61" s="1764"/>
      <c r="B61" s="2429" t="s">
        <v>402</v>
      </c>
      <c r="C61" s="2432"/>
      <c r="D61" s="2432"/>
      <c r="E61" s="2432"/>
      <c r="F61" s="2432"/>
      <c r="G61" s="2432"/>
      <c r="H61" s="2432"/>
      <c r="I61" s="2432"/>
      <c r="J61" s="2432"/>
      <c r="K61" s="2432"/>
      <c r="L61" s="2432"/>
      <c r="M61" s="2432"/>
      <c r="N61" s="2432"/>
      <c r="O61" s="2432"/>
      <c r="P61" s="2432"/>
      <c r="Q61" s="2432"/>
      <c r="R61" s="2432"/>
      <c r="S61" s="2432"/>
      <c r="T61" s="2432"/>
      <c r="U61" s="2432"/>
      <c r="V61" s="2432"/>
      <c r="W61" s="2432"/>
      <c r="X61" s="2432"/>
      <c r="Y61" s="2433"/>
      <c r="Z61" s="2432"/>
      <c r="AA61" s="2433"/>
      <c r="AB61" s="2432"/>
      <c r="AC61" s="2432"/>
      <c r="AD61" s="2425"/>
      <c r="AE61" s="2425"/>
    </row>
    <row r="62" spans="1:32" x14ac:dyDescent="0.3">
      <c r="A62" s="1764"/>
      <c r="B62" s="2429" t="s">
        <v>232</v>
      </c>
      <c r="C62" s="2432">
        <f t="shared" ref="C62:AB62" si="4">SUM(C55:C59)</f>
        <v>1005</v>
      </c>
      <c r="D62" s="2432">
        <f t="shared" si="4"/>
        <v>7</v>
      </c>
      <c r="E62" s="2432">
        <f t="shared" si="4"/>
        <v>715</v>
      </c>
      <c r="F62" s="2432">
        <f t="shared" si="4"/>
        <v>3</v>
      </c>
      <c r="G62" s="2432">
        <f t="shared" si="4"/>
        <v>1215</v>
      </c>
      <c r="H62" s="2432">
        <f t="shared" si="4"/>
        <v>10</v>
      </c>
      <c r="I62" s="2432">
        <f t="shared" si="4"/>
        <v>416</v>
      </c>
      <c r="J62" s="2432">
        <f t="shared" si="4"/>
        <v>2</v>
      </c>
      <c r="K62" s="2432">
        <f t="shared" si="4"/>
        <v>393</v>
      </c>
      <c r="L62" s="2432">
        <f t="shared" si="4"/>
        <v>3</v>
      </c>
      <c r="M62" s="2432">
        <f t="shared" si="4"/>
        <v>201</v>
      </c>
      <c r="N62" s="2432">
        <f t="shared" si="4"/>
        <v>2</v>
      </c>
      <c r="O62" s="2432">
        <f t="shared" si="4"/>
        <v>135</v>
      </c>
      <c r="P62" s="2432">
        <f t="shared" si="4"/>
        <v>0</v>
      </c>
      <c r="Q62" s="2432">
        <f t="shared" si="4"/>
        <v>90</v>
      </c>
      <c r="R62" s="2432">
        <f t="shared" si="4"/>
        <v>0</v>
      </c>
      <c r="S62" s="2432">
        <f>SUM(S55:S59)</f>
        <v>0</v>
      </c>
      <c r="T62" s="2432">
        <f t="shared" si="4"/>
        <v>2</v>
      </c>
      <c r="U62" s="2432">
        <f t="shared" si="4"/>
        <v>451</v>
      </c>
      <c r="V62" s="2432">
        <f t="shared" si="4"/>
        <v>3</v>
      </c>
      <c r="W62" s="2432">
        <f t="shared" si="4"/>
        <v>300</v>
      </c>
      <c r="X62" s="2432">
        <f t="shared" si="4"/>
        <v>4</v>
      </c>
      <c r="Y62" s="2432">
        <f t="shared" si="4"/>
        <v>561</v>
      </c>
      <c r="Z62" s="2432">
        <f t="shared" si="4"/>
        <v>7</v>
      </c>
      <c r="AA62" s="2432">
        <f t="shared" si="4"/>
        <v>5397</v>
      </c>
      <c r="AB62" s="2432">
        <f t="shared" si="4"/>
        <v>43</v>
      </c>
      <c r="AC62" s="2432">
        <f>AB62/AA62*100</f>
        <v>0.79673892903464882</v>
      </c>
      <c r="AD62" s="2425"/>
      <c r="AE62" s="2425"/>
    </row>
    <row r="63" spans="1:32" x14ac:dyDescent="0.3">
      <c r="A63" s="1764"/>
      <c r="B63" s="2429"/>
      <c r="C63" s="2432"/>
      <c r="D63" s="2432"/>
      <c r="E63" s="2432"/>
      <c r="F63" s="2432"/>
      <c r="G63" s="2432"/>
      <c r="H63" s="2432"/>
      <c r="I63" s="2432"/>
      <c r="J63" s="2432"/>
      <c r="K63" s="2432"/>
      <c r="L63" s="2432"/>
      <c r="M63" s="2432"/>
      <c r="N63" s="2432"/>
      <c r="O63" s="2432"/>
      <c r="P63" s="2432"/>
      <c r="Q63" s="2432"/>
      <c r="R63" s="2432"/>
      <c r="S63" s="2432"/>
      <c r="T63" s="2432"/>
      <c r="U63" s="2432"/>
      <c r="V63" s="2432"/>
      <c r="W63" s="2432"/>
      <c r="X63" s="2432"/>
      <c r="Y63" s="2432"/>
      <c r="Z63" s="2432"/>
      <c r="AA63" s="2432"/>
      <c r="AB63" s="2432"/>
      <c r="AC63" s="2432"/>
      <c r="AD63" s="2425"/>
      <c r="AE63" s="2425"/>
    </row>
    <row r="64" spans="1:32" x14ac:dyDescent="0.3">
      <c r="B64" s="2424"/>
      <c r="C64" s="2424"/>
      <c r="D64" s="2425"/>
      <c r="E64" s="2425"/>
      <c r="F64" s="2425"/>
      <c r="G64" s="2425"/>
      <c r="H64" s="2425"/>
      <c r="I64" s="2425"/>
      <c r="J64" s="2425"/>
      <c r="K64" s="2425"/>
      <c r="L64" s="2425"/>
      <c r="M64" s="2425"/>
      <c r="N64" s="2425"/>
      <c r="O64" s="2425"/>
      <c r="P64" s="2425"/>
      <c r="Q64" s="2425"/>
      <c r="R64" s="2425"/>
      <c r="S64" s="2425"/>
      <c r="T64" s="2425"/>
      <c r="U64" s="2425"/>
      <c r="V64" s="2425"/>
      <c r="W64" s="2425"/>
      <c r="X64" s="2425"/>
      <c r="Y64" s="2425"/>
      <c r="Z64" s="2425"/>
      <c r="AA64" s="2425"/>
      <c r="AB64" s="2425"/>
      <c r="AC64" s="2425"/>
      <c r="AD64" s="2425"/>
      <c r="AE64" s="2425"/>
    </row>
    <row r="65" spans="1:32" ht="14.5" x14ac:dyDescent="0.35">
      <c r="A65" s="1764"/>
      <c r="B65" s="2439" t="s">
        <v>948</v>
      </c>
      <c r="C65" s="2439"/>
      <c r="D65" s="2439"/>
      <c r="E65" s="2439"/>
      <c r="F65" s="2440"/>
      <c r="G65" s="2440"/>
      <c r="H65" s="2440"/>
      <c r="I65" s="2440"/>
      <c r="J65" s="2440"/>
      <c r="K65" s="2440"/>
      <c r="L65" s="2440"/>
      <c r="M65" s="2440"/>
      <c r="N65" s="2440"/>
      <c r="O65" s="2440"/>
      <c r="P65" s="2440"/>
      <c r="Q65" s="2440"/>
      <c r="R65" s="2440"/>
      <c r="S65" s="2440"/>
      <c r="T65" s="2440"/>
      <c r="U65" s="2440"/>
      <c r="V65" s="2440"/>
      <c r="W65" s="2440"/>
      <c r="X65" s="2440"/>
      <c r="Y65" s="2440"/>
      <c r="Z65" s="2440"/>
      <c r="AA65" s="2440"/>
      <c r="AB65" s="2440"/>
      <c r="AC65" s="2440"/>
      <c r="AD65" s="2440"/>
      <c r="AE65" s="2440"/>
      <c r="AF65" s="2441"/>
    </row>
    <row r="66" spans="1:32" x14ac:dyDescent="0.3">
      <c r="A66" s="1764"/>
      <c r="B66" s="2433" t="s">
        <v>929</v>
      </c>
      <c r="C66" s="2442" t="s">
        <v>930</v>
      </c>
      <c r="D66" s="2443"/>
      <c r="E66" s="2442" t="s">
        <v>931</v>
      </c>
      <c r="F66" s="2443"/>
      <c r="G66" s="2442" t="s">
        <v>932</v>
      </c>
      <c r="H66" s="2443"/>
      <c r="I66" s="2442" t="s">
        <v>933</v>
      </c>
      <c r="J66" s="2443"/>
      <c r="K66" s="2442" t="s">
        <v>934</v>
      </c>
      <c r="L66" s="2443"/>
      <c r="M66" s="2442" t="s">
        <v>935</v>
      </c>
      <c r="N66" s="2443"/>
      <c r="O66" s="2442" t="s">
        <v>936</v>
      </c>
      <c r="P66" s="2443"/>
      <c r="Q66" s="4857" t="s">
        <v>937</v>
      </c>
      <c r="R66" s="4858"/>
      <c r="S66" s="4857" t="s">
        <v>418</v>
      </c>
      <c r="T66" s="4858"/>
      <c r="U66" s="4857" t="s">
        <v>938</v>
      </c>
      <c r="V66" s="4858"/>
      <c r="W66" s="4857" t="s">
        <v>939</v>
      </c>
      <c r="X66" s="4858"/>
      <c r="Y66" s="4857" t="s">
        <v>940</v>
      </c>
      <c r="Z66" s="4858"/>
      <c r="AA66" s="2444" t="s">
        <v>232</v>
      </c>
      <c r="AB66" s="2433" t="s">
        <v>232</v>
      </c>
      <c r="AC66" s="2433" t="s">
        <v>941</v>
      </c>
      <c r="AD66" s="2425"/>
      <c r="AE66" s="2425"/>
    </row>
    <row r="67" spans="1:32" x14ac:dyDescent="0.3">
      <c r="A67" s="1764"/>
      <c r="B67" s="2433" t="s">
        <v>942</v>
      </c>
      <c r="C67" s="2433" t="s">
        <v>232</v>
      </c>
      <c r="D67" s="2445" t="s">
        <v>923</v>
      </c>
      <c r="E67" s="2446" t="s">
        <v>232</v>
      </c>
      <c r="F67" s="2447" t="s">
        <v>923</v>
      </c>
      <c r="G67" s="2433" t="s">
        <v>232</v>
      </c>
      <c r="H67" s="2445" t="s">
        <v>923</v>
      </c>
      <c r="I67" s="2433" t="s">
        <v>232</v>
      </c>
      <c r="J67" s="2445" t="s">
        <v>923</v>
      </c>
      <c r="K67" s="2433" t="s">
        <v>232</v>
      </c>
      <c r="L67" s="2445" t="s">
        <v>923</v>
      </c>
      <c r="M67" s="2433" t="s">
        <v>232</v>
      </c>
      <c r="N67" s="2445" t="s">
        <v>923</v>
      </c>
      <c r="O67" s="2433" t="s">
        <v>232</v>
      </c>
      <c r="P67" s="2445" t="s">
        <v>923</v>
      </c>
      <c r="Q67" s="2433" t="s">
        <v>232</v>
      </c>
      <c r="R67" s="2445" t="s">
        <v>923</v>
      </c>
      <c r="S67" s="2433" t="s">
        <v>232</v>
      </c>
      <c r="T67" s="2445" t="s">
        <v>923</v>
      </c>
      <c r="U67" s="2433" t="s">
        <v>232</v>
      </c>
      <c r="V67" s="2445" t="s">
        <v>923</v>
      </c>
      <c r="W67" s="2433" t="s">
        <v>232</v>
      </c>
      <c r="X67" s="2445" t="s">
        <v>923</v>
      </c>
      <c r="Y67" s="2433" t="s">
        <v>232</v>
      </c>
      <c r="Z67" s="2445" t="s">
        <v>923</v>
      </c>
      <c r="AA67" s="2444" t="s">
        <v>944</v>
      </c>
      <c r="AB67" s="2433" t="s">
        <v>945</v>
      </c>
      <c r="AC67" s="2433"/>
      <c r="AD67" s="2425"/>
      <c r="AE67" s="2425"/>
    </row>
    <row r="68" spans="1:32" x14ac:dyDescent="0.3">
      <c r="A68" s="1764"/>
      <c r="B68" s="2433" t="s">
        <v>409</v>
      </c>
      <c r="C68" s="2432">
        <v>677</v>
      </c>
      <c r="D68" s="2432">
        <v>4</v>
      </c>
      <c r="E68" s="2432">
        <v>381</v>
      </c>
      <c r="F68" s="2432">
        <v>2</v>
      </c>
      <c r="G68" s="2432">
        <v>312</v>
      </c>
      <c r="H68" s="2432">
        <v>3</v>
      </c>
      <c r="I68" s="2432">
        <v>650</v>
      </c>
      <c r="J68" s="2432">
        <v>3</v>
      </c>
      <c r="K68" s="2432">
        <v>182</v>
      </c>
      <c r="L68" s="2432">
        <v>3</v>
      </c>
      <c r="M68" s="2432">
        <v>65</v>
      </c>
      <c r="N68" s="2432">
        <v>0</v>
      </c>
      <c r="O68" s="2432">
        <v>33</v>
      </c>
      <c r="P68" s="2432">
        <v>1</v>
      </c>
      <c r="Q68" s="2432">
        <v>11</v>
      </c>
      <c r="R68" s="2432">
        <v>0</v>
      </c>
      <c r="S68" s="2432">
        <v>162</v>
      </c>
      <c r="T68" s="2432">
        <v>2</v>
      </c>
      <c r="U68" s="2432">
        <v>722</v>
      </c>
      <c r="V68" s="2432">
        <v>9</v>
      </c>
      <c r="W68" s="2432">
        <v>217</v>
      </c>
      <c r="X68" s="2432">
        <v>2</v>
      </c>
      <c r="Y68" s="2432">
        <v>803</v>
      </c>
      <c r="Z68" s="2432">
        <v>11</v>
      </c>
      <c r="AA68" s="2432">
        <v>4215</v>
      </c>
      <c r="AB68" s="2432">
        <v>40</v>
      </c>
      <c r="AC68" s="2432">
        <v>0.94899169632265723</v>
      </c>
      <c r="AD68" s="2425"/>
      <c r="AE68" s="2425"/>
    </row>
    <row r="69" spans="1:32" x14ac:dyDescent="0.3">
      <c r="A69" s="1764"/>
      <c r="B69" s="2433" t="s">
        <v>408</v>
      </c>
      <c r="C69" s="2432">
        <v>460</v>
      </c>
      <c r="D69" s="2432">
        <v>13</v>
      </c>
      <c r="E69" s="2432">
        <v>156</v>
      </c>
      <c r="F69" s="2432">
        <v>0</v>
      </c>
      <c r="G69" s="2432">
        <v>176</v>
      </c>
      <c r="H69" s="2432">
        <v>1</v>
      </c>
      <c r="I69" s="2432">
        <v>275</v>
      </c>
      <c r="J69" s="2432">
        <v>1</v>
      </c>
      <c r="K69" s="2432">
        <v>150</v>
      </c>
      <c r="L69" s="2432">
        <v>2</v>
      </c>
      <c r="M69" s="2432">
        <v>124</v>
      </c>
      <c r="N69" s="2432">
        <v>1</v>
      </c>
      <c r="O69" s="2432">
        <v>99</v>
      </c>
      <c r="P69" s="2432">
        <v>1</v>
      </c>
      <c r="Q69" s="2432">
        <v>51</v>
      </c>
      <c r="R69" s="2432">
        <v>1</v>
      </c>
      <c r="S69" s="2432">
        <v>83</v>
      </c>
      <c r="T69" s="2432">
        <v>0</v>
      </c>
      <c r="U69" s="2432">
        <v>325</v>
      </c>
      <c r="V69" s="2432">
        <v>3</v>
      </c>
      <c r="W69" s="2432">
        <v>137</v>
      </c>
      <c r="X69" s="2432">
        <v>1</v>
      </c>
      <c r="Y69" s="2432">
        <v>159</v>
      </c>
      <c r="Z69" s="2432">
        <v>2</v>
      </c>
      <c r="AA69" s="2432">
        <v>2195</v>
      </c>
      <c r="AB69" s="2432">
        <v>26</v>
      </c>
      <c r="AC69" s="2432">
        <v>1.184510250569476</v>
      </c>
      <c r="AD69" s="2425"/>
      <c r="AE69" s="2425"/>
    </row>
    <row r="70" spans="1:32" x14ac:dyDescent="0.3">
      <c r="A70" s="1764"/>
      <c r="B70" s="2433" t="s">
        <v>405</v>
      </c>
      <c r="C70" s="2432">
        <v>56</v>
      </c>
      <c r="D70" s="2432">
        <v>0</v>
      </c>
      <c r="E70" s="2432">
        <v>36</v>
      </c>
      <c r="F70" s="2432">
        <v>0</v>
      </c>
      <c r="G70" s="2432">
        <v>16</v>
      </c>
      <c r="H70" s="2432">
        <v>0</v>
      </c>
      <c r="I70" s="2432">
        <v>60</v>
      </c>
      <c r="J70" s="2432">
        <v>0</v>
      </c>
      <c r="K70" s="2432">
        <v>46</v>
      </c>
      <c r="L70" s="2432">
        <v>0</v>
      </c>
      <c r="M70" s="2432">
        <v>30</v>
      </c>
      <c r="N70" s="2432">
        <v>1</v>
      </c>
      <c r="O70" s="2432">
        <v>21</v>
      </c>
      <c r="P70" s="2432">
        <v>0</v>
      </c>
      <c r="Q70" s="2432">
        <v>10</v>
      </c>
      <c r="R70" s="2432">
        <v>0</v>
      </c>
      <c r="S70" s="2432">
        <v>13</v>
      </c>
      <c r="T70" s="2432">
        <v>0</v>
      </c>
      <c r="U70" s="2432">
        <v>31</v>
      </c>
      <c r="V70" s="2432">
        <v>1</v>
      </c>
      <c r="W70" s="2432">
        <v>32</v>
      </c>
      <c r="X70" s="2432">
        <v>3</v>
      </c>
      <c r="Y70" s="2432">
        <v>29</v>
      </c>
      <c r="Z70" s="2432">
        <v>0</v>
      </c>
      <c r="AA70" s="2432">
        <v>380</v>
      </c>
      <c r="AB70" s="2432">
        <v>5</v>
      </c>
      <c r="AC70" s="2432">
        <v>1.3157894736842104</v>
      </c>
      <c r="AD70" s="2425"/>
      <c r="AE70" s="2425"/>
    </row>
    <row r="71" spans="1:32" x14ac:dyDescent="0.3">
      <c r="A71" s="1764"/>
      <c r="B71" s="2433" t="s">
        <v>406</v>
      </c>
      <c r="C71" s="2432">
        <v>36</v>
      </c>
      <c r="D71" s="2432">
        <v>3</v>
      </c>
      <c r="E71" s="2432">
        <v>14</v>
      </c>
      <c r="F71" s="2432">
        <v>0</v>
      </c>
      <c r="G71" s="2432">
        <v>10</v>
      </c>
      <c r="H71" s="2432">
        <v>0</v>
      </c>
      <c r="I71" s="2432">
        <v>27</v>
      </c>
      <c r="J71" s="2432">
        <v>1</v>
      </c>
      <c r="K71" s="2432">
        <v>25</v>
      </c>
      <c r="L71" s="2432">
        <v>0</v>
      </c>
      <c r="M71" s="2432">
        <v>28</v>
      </c>
      <c r="N71" s="2432">
        <v>0</v>
      </c>
      <c r="O71" s="2432">
        <v>14</v>
      </c>
      <c r="P71" s="2432">
        <v>0</v>
      </c>
      <c r="Q71" s="2432">
        <v>6</v>
      </c>
      <c r="R71" s="2432">
        <v>0</v>
      </c>
      <c r="S71" s="2432">
        <v>9</v>
      </c>
      <c r="T71" s="2432">
        <v>0</v>
      </c>
      <c r="U71" s="2432">
        <v>6</v>
      </c>
      <c r="V71" s="2432">
        <v>0</v>
      </c>
      <c r="W71" s="2432">
        <v>8</v>
      </c>
      <c r="X71" s="2432">
        <v>0</v>
      </c>
      <c r="Y71" s="2432">
        <v>3</v>
      </c>
      <c r="Z71" s="2432">
        <v>0</v>
      </c>
      <c r="AA71" s="2432">
        <v>186</v>
      </c>
      <c r="AB71" s="2432">
        <v>4</v>
      </c>
      <c r="AC71" s="2432">
        <v>2.1505376344086025</v>
      </c>
      <c r="AD71" s="2425"/>
      <c r="AE71" s="2425"/>
    </row>
    <row r="72" spans="1:32" x14ac:dyDescent="0.3">
      <c r="A72" s="1764"/>
      <c r="B72" s="2433" t="s">
        <v>407</v>
      </c>
      <c r="C72" s="2432">
        <v>174</v>
      </c>
      <c r="D72" s="2432">
        <v>2</v>
      </c>
      <c r="E72" s="2432">
        <v>80</v>
      </c>
      <c r="F72" s="2432">
        <v>2</v>
      </c>
      <c r="G72" s="2432">
        <v>53</v>
      </c>
      <c r="H72" s="2432">
        <v>0</v>
      </c>
      <c r="I72" s="2432">
        <v>121</v>
      </c>
      <c r="J72" s="2432">
        <v>2</v>
      </c>
      <c r="K72" s="2432">
        <v>181</v>
      </c>
      <c r="L72" s="2432">
        <v>1</v>
      </c>
      <c r="M72" s="2432">
        <v>109</v>
      </c>
      <c r="N72" s="2432">
        <v>0</v>
      </c>
      <c r="O72" s="2448">
        <v>62</v>
      </c>
      <c r="P72" s="2432">
        <v>0</v>
      </c>
      <c r="Q72" s="2432">
        <v>36</v>
      </c>
      <c r="R72" s="2432">
        <v>1</v>
      </c>
      <c r="S72" s="2432">
        <v>33</v>
      </c>
      <c r="T72" s="2432">
        <v>1</v>
      </c>
      <c r="U72" s="2432">
        <v>42</v>
      </c>
      <c r="V72" s="2432">
        <v>0</v>
      </c>
      <c r="W72" s="2432">
        <v>38</v>
      </c>
      <c r="X72" s="2432">
        <v>0</v>
      </c>
      <c r="Y72" s="2432">
        <v>31</v>
      </c>
      <c r="Z72" s="2432">
        <v>2</v>
      </c>
      <c r="AA72" s="2432">
        <v>960</v>
      </c>
      <c r="AB72" s="2432">
        <v>11</v>
      </c>
      <c r="AC72" s="2432">
        <v>1.1458333333333333</v>
      </c>
      <c r="AD72" s="2425"/>
      <c r="AE72" s="2425"/>
    </row>
    <row r="73" spans="1:32" x14ac:dyDescent="0.3">
      <c r="A73" s="1764"/>
      <c r="B73" s="2433" t="s">
        <v>403</v>
      </c>
      <c r="C73" s="2432"/>
      <c r="D73" s="2432"/>
      <c r="E73" s="2432"/>
      <c r="F73" s="2432"/>
      <c r="G73" s="2432">
        <v>1</v>
      </c>
      <c r="H73" s="2432">
        <v>0</v>
      </c>
      <c r="I73" s="2432">
        <v>2</v>
      </c>
      <c r="J73" s="2432">
        <v>0</v>
      </c>
      <c r="K73" s="2432">
        <v>2</v>
      </c>
      <c r="L73" s="2432">
        <v>0</v>
      </c>
      <c r="M73" s="2432">
        <v>0</v>
      </c>
      <c r="N73" s="2432">
        <v>0</v>
      </c>
      <c r="O73" s="2432">
        <v>1</v>
      </c>
      <c r="P73" s="2432">
        <v>0</v>
      </c>
      <c r="Q73" s="2432">
        <v>2</v>
      </c>
      <c r="R73" s="2432">
        <v>0</v>
      </c>
      <c r="S73" s="2432">
        <v>2</v>
      </c>
      <c r="T73" s="2432">
        <v>1</v>
      </c>
      <c r="U73" s="2432">
        <v>0</v>
      </c>
      <c r="V73" s="2432">
        <v>0</v>
      </c>
      <c r="W73" s="2432">
        <v>1</v>
      </c>
      <c r="X73" s="2432">
        <v>0</v>
      </c>
      <c r="Y73" s="2432">
        <v>1</v>
      </c>
      <c r="Z73" s="2432">
        <v>0</v>
      </c>
      <c r="AA73" s="2432">
        <v>12</v>
      </c>
      <c r="AB73" s="2432">
        <v>1</v>
      </c>
      <c r="AC73" s="2432">
        <v>8.3333333333333321</v>
      </c>
      <c r="AD73" s="2425"/>
      <c r="AE73" s="2425"/>
    </row>
    <row r="74" spans="1:32" x14ac:dyDescent="0.3">
      <c r="A74" s="1764"/>
      <c r="B74" s="2433" t="s">
        <v>402</v>
      </c>
      <c r="C74" s="2432">
        <v>1</v>
      </c>
      <c r="D74" s="2432">
        <v>0</v>
      </c>
      <c r="E74" s="2432"/>
      <c r="F74" s="2432"/>
      <c r="G74" s="2432"/>
      <c r="H74" s="2432"/>
      <c r="I74" s="2432"/>
      <c r="J74" s="2432"/>
      <c r="K74" s="2432">
        <v>1</v>
      </c>
      <c r="L74" s="2432">
        <v>0</v>
      </c>
      <c r="M74" s="2432">
        <v>3</v>
      </c>
      <c r="N74" s="2432">
        <v>0</v>
      </c>
      <c r="O74" s="2432">
        <v>4</v>
      </c>
      <c r="P74" s="2432">
        <v>0</v>
      </c>
      <c r="Q74" s="2432"/>
      <c r="R74" s="2432"/>
      <c r="S74" s="2432"/>
      <c r="T74" s="2432"/>
      <c r="U74" s="2432"/>
      <c r="V74" s="2432"/>
      <c r="W74" s="2432"/>
      <c r="X74" s="2432"/>
      <c r="Y74" s="2432"/>
      <c r="Z74" s="2432"/>
      <c r="AA74" s="2432">
        <v>9</v>
      </c>
      <c r="AB74" s="2432">
        <v>0</v>
      </c>
      <c r="AC74" s="2432">
        <v>0</v>
      </c>
      <c r="AD74" s="2425"/>
      <c r="AE74" s="2425"/>
    </row>
    <row r="75" spans="1:32" x14ac:dyDescent="0.3">
      <c r="A75" s="1764"/>
      <c r="B75" s="2433" t="s">
        <v>401</v>
      </c>
      <c r="C75" s="2432">
        <v>16</v>
      </c>
      <c r="D75" s="2432">
        <v>0</v>
      </c>
      <c r="E75" s="2432">
        <v>6</v>
      </c>
      <c r="F75" s="2432">
        <v>0</v>
      </c>
      <c r="G75" s="2432">
        <v>14</v>
      </c>
      <c r="H75" s="2432">
        <v>0</v>
      </c>
      <c r="I75" s="2432">
        <v>5</v>
      </c>
      <c r="J75" s="2432">
        <v>0</v>
      </c>
      <c r="K75" s="2432">
        <v>11</v>
      </c>
      <c r="L75" s="2432">
        <v>0</v>
      </c>
      <c r="M75" s="2432">
        <v>2</v>
      </c>
      <c r="N75" s="2432">
        <v>0</v>
      </c>
      <c r="O75" s="2432">
        <v>4</v>
      </c>
      <c r="P75" s="2432">
        <v>0</v>
      </c>
      <c r="Q75" s="2432">
        <v>2</v>
      </c>
      <c r="R75" s="2432">
        <v>0</v>
      </c>
      <c r="S75" s="2432">
        <v>6</v>
      </c>
      <c r="T75" s="2432">
        <v>0</v>
      </c>
      <c r="U75" s="2432">
        <v>3</v>
      </c>
      <c r="V75" s="2432">
        <v>0</v>
      </c>
      <c r="W75" s="2432">
        <v>1</v>
      </c>
      <c r="X75" s="2432">
        <v>0</v>
      </c>
      <c r="Y75" s="2432">
        <v>5</v>
      </c>
      <c r="Z75" s="2432">
        <v>0</v>
      </c>
      <c r="AA75" s="2432">
        <v>75</v>
      </c>
      <c r="AB75" s="2432">
        <v>0</v>
      </c>
      <c r="AC75" s="2432">
        <v>0</v>
      </c>
      <c r="AD75" s="2425"/>
      <c r="AE75" s="2425"/>
    </row>
    <row r="76" spans="1:32" x14ac:dyDescent="0.3">
      <c r="A76" s="1764"/>
      <c r="B76" s="2433" t="s">
        <v>404</v>
      </c>
      <c r="C76" s="2432">
        <v>3</v>
      </c>
      <c r="D76" s="2432">
        <v>0</v>
      </c>
      <c r="E76" s="2432">
        <v>1</v>
      </c>
      <c r="F76" s="2432">
        <v>0</v>
      </c>
      <c r="G76" s="2432">
        <v>3</v>
      </c>
      <c r="H76" s="2432">
        <v>0</v>
      </c>
      <c r="I76" s="2432">
        <v>6</v>
      </c>
      <c r="J76" s="2432">
        <v>0</v>
      </c>
      <c r="K76" s="2432">
        <v>3</v>
      </c>
      <c r="L76" s="2432">
        <v>0</v>
      </c>
      <c r="M76" s="2432">
        <v>2</v>
      </c>
      <c r="N76" s="2432">
        <v>0</v>
      </c>
      <c r="O76" s="2432">
        <v>2</v>
      </c>
      <c r="P76" s="2432">
        <v>0</v>
      </c>
      <c r="Q76" s="2432">
        <v>1</v>
      </c>
      <c r="R76" s="2432">
        <v>0</v>
      </c>
      <c r="S76" s="2432">
        <v>3</v>
      </c>
      <c r="T76" s="2432">
        <v>0</v>
      </c>
      <c r="U76" s="2432">
        <v>2</v>
      </c>
      <c r="V76" s="2432">
        <v>0</v>
      </c>
      <c r="W76" s="2432">
        <v>6</v>
      </c>
      <c r="X76" s="2432">
        <v>0</v>
      </c>
      <c r="Y76" s="2432">
        <v>2</v>
      </c>
      <c r="Z76" s="2432">
        <v>0</v>
      </c>
      <c r="AA76" s="2432">
        <v>34</v>
      </c>
      <c r="AB76" s="2432">
        <v>0</v>
      </c>
      <c r="AC76" s="2432">
        <v>0</v>
      </c>
      <c r="AD76" s="2425"/>
      <c r="AE76" s="2425"/>
    </row>
    <row r="77" spans="1:32" x14ac:dyDescent="0.3">
      <c r="A77" s="1764"/>
      <c r="B77" s="2433" t="s">
        <v>232</v>
      </c>
      <c r="C77" s="2432">
        <v>1423</v>
      </c>
      <c r="D77" s="2432">
        <v>22</v>
      </c>
      <c r="E77" s="2432">
        <v>674</v>
      </c>
      <c r="F77" s="2432">
        <v>4</v>
      </c>
      <c r="G77" s="2432">
        <v>585</v>
      </c>
      <c r="H77" s="2432">
        <v>4</v>
      </c>
      <c r="I77" s="2432">
        <v>1146</v>
      </c>
      <c r="J77" s="2432">
        <v>7</v>
      </c>
      <c r="K77" s="2432">
        <v>601</v>
      </c>
      <c r="L77" s="2432">
        <v>6</v>
      </c>
      <c r="M77" s="2432">
        <v>363</v>
      </c>
      <c r="N77" s="2432">
        <v>2</v>
      </c>
      <c r="O77" s="2432">
        <v>240</v>
      </c>
      <c r="P77" s="2432">
        <v>2</v>
      </c>
      <c r="Q77" s="2432">
        <v>119</v>
      </c>
      <c r="R77" s="2432">
        <v>2</v>
      </c>
      <c r="S77" s="2432">
        <v>311</v>
      </c>
      <c r="T77" s="2432">
        <v>4</v>
      </c>
      <c r="U77" s="2432">
        <v>1131</v>
      </c>
      <c r="V77" s="2432">
        <v>13</v>
      </c>
      <c r="W77" s="2432">
        <v>440</v>
      </c>
      <c r="X77" s="2432">
        <v>6</v>
      </c>
      <c r="Y77" s="2432">
        <v>1033</v>
      </c>
      <c r="Z77" s="2432">
        <v>15</v>
      </c>
      <c r="AA77" s="2432">
        <v>8066</v>
      </c>
      <c r="AB77" s="2432">
        <v>87</v>
      </c>
      <c r="AC77" s="2432">
        <v>1.0786015373171338</v>
      </c>
      <c r="AD77" s="2425"/>
      <c r="AE77" s="2425"/>
    </row>
    <row r="78" spans="1:32" x14ac:dyDescent="0.3">
      <c r="A78" s="1764"/>
      <c r="B78" s="2433" t="s">
        <v>232</v>
      </c>
      <c r="C78" s="2432">
        <v>1423</v>
      </c>
      <c r="D78" s="2432">
        <v>22</v>
      </c>
      <c r="E78" s="2432">
        <v>674</v>
      </c>
      <c r="F78" s="2432">
        <v>4</v>
      </c>
      <c r="G78" s="2432">
        <v>585</v>
      </c>
      <c r="H78" s="2432">
        <v>4</v>
      </c>
      <c r="I78" s="2432">
        <v>1146</v>
      </c>
      <c r="J78" s="2432">
        <v>7</v>
      </c>
      <c r="K78" s="2432">
        <v>601</v>
      </c>
      <c r="L78" s="2432">
        <v>6</v>
      </c>
      <c r="M78" s="2432">
        <v>363</v>
      </c>
      <c r="N78" s="2432">
        <v>2</v>
      </c>
      <c r="O78" s="2432">
        <v>240</v>
      </c>
      <c r="P78" s="2432">
        <v>2</v>
      </c>
      <c r="Q78" s="2432">
        <v>119</v>
      </c>
      <c r="R78" s="2432"/>
      <c r="S78" s="2432">
        <v>2</v>
      </c>
      <c r="T78" s="2432">
        <v>4</v>
      </c>
      <c r="U78" s="2432">
        <v>1131</v>
      </c>
      <c r="V78" s="2432">
        <v>13</v>
      </c>
      <c r="W78" s="2432">
        <v>440</v>
      </c>
      <c r="X78" s="2432">
        <v>6</v>
      </c>
      <c r="Y78" s="2432">
        <v>1033</v>
      </c>
      <c r="Z78" s="2432">
        <v>15</v>
      </c>
      <c r="AA78" s="2432">
        <v>8066</v>
      </c>
      <c r="AB78" s="2432">
        <v>87</v>
      </c>
      <c r="AC78" s="2432">
        <v>1.0786015373171338</v>
      </c>
      <c r="AD78" s="2425">
        <f>+AB78/AA78*100</f>
        <v>1.0786015373171338</v>
      </c>
      <c r="AE78" s="2425"/>
    </row>
    <row r="79" spans="1:32" x14ac:dyDescent="0.3">
      <c r="B79" s="2424"/>
      <c r="C79" s="2424"/>
      <c r="D79" s="2425"/>
      <c r="E79" s="2425"/>
      <c r="F79" s="2425"/>
      <c r="G79" s="2425"/>
      <c r="H79" s="2425"/>
      <c r="I79" s="2425"/>
      <c r="J79" s="2425"/>
      <c r="K79" s="2425"/>
      <c r="L79" s="2425"/>
      <c r="M79" s="2425"/>
      <c r="N79" s="2425"/>
      <c r="O79" s="2425"/>
      <c r="P79" s="2425"/>
      <c r="Q79" s="2425"/>
      <c r="R79" s="2425"/>
      <c r="S79" s="2425"/>
      <c r="T79" s="2425"/>
      <c r="U79" s="2425"/>
      <c r="V79" s="2425"/>
      <c r="W79" s="2425"/>
      <c r="X79" s="2425"/>
      <c r="Y79" s="2425"/>
      <c r="Z79" s="2425"/>
      <c r="AA79" s="2425"/>
      <c r="AB79" s="2425"/>
      <c r="AC79" s="2425"/>
      <c r="AD79" s="2425"/>
      <c r="AE79" s="2425"/>
    </row>
    <row r="80" spans="1:32" ht="14.5" x14ac:dyDescent="0.35">
      <c r="A80" s="1764"/>
      <c r="B80" s="2439" t="s">
        <v>949</v>
      </c>
      <c r="C80" s="2439"/>
      <c r="D80" s="2439"/>
      <c r="E80" s="2439"/>
      <c r="F80" s="2440"/>
      <c r="G80" s="2440"/>
      <c r="H80" s="2440"/>
      <c r="I80" s="2440"/>
      <c r="J80" s="2440"/>
      <c r="K80" s="2440"/>
      <c r="L80" s="2440"/>
      <c r="M80" s="2440"/>
      <c r="N80" s="2440"/>
      <c r="O80" s="2440"/>
      <c r="P80" s="2440"/>
      <c r="Q80" s="2440"/>
      <c r="R80" s="2440"/>
      <c r="S80" s="2440"/>
      <c r="T80" s="2440"/>
      <c r="U80" s="2440"/>
      <c r="V80" s="2440"/>
      <c r="W80" s="2440"/>
      <c r="X80" s="2440"/>
      <c r="Y80" s="2440"/>
      <c r="Z80" s="2440"/>
      <c r="AA80" s="2440"/>
      <c r="AB80" s="2440"/>
      <c r="AC80" s="2440"/>
      <c r="AD80" s="2440"/>
      <c r="AE80" s="2440"/>
      <c r="AF80" s="2441"/>
    </row>
    <row r="81" spans="1:32" x14ac:dyDescent="0.3">
      <c r="A81" s="1764"/>
      <c r="B81" s="2433" t="s">
        <v>929</v>
      </c>
      <c r="C81" s="2442" t="s">
        <v>930</v>
      </c>
      <c r="D81" s="2443"/>
      <c r="E81" s="2442" t="s">
        <v>931</v>
      </c>
      <c r="F81" s="2443"/>
      <c r="G81" s="2442" t="s">
        <v>932</v>
      </c>
      <c r="H81" s="2443"/>
      <c r="I81" s="2442" t="s">
        <v>933</v>
      </c>
      <c r="J81" s="2443"/>
      <c r="K81" s="2442" t="s">
        <v>934</v>
      </c>
      <c r="L81" s="2443"/>
      <c r="M81" s="2442" t="s">
        <v>935</v>
      </c>
      <c r="N81" s="2443"/>
      <c r="O81" s="2442" t="s">
        <v>936</v>
      </c>
      <c r="P81" s="2443"/>
      <c r="Q81" s="2442" t="s">
        <v>937</v>
      </c>
      <c r="R81" s="2443"/>
      <c r="S81" s="2442" t="s">
        <v>418</v>
      </c>
      <c r="T81" s="2443"/>
      <c r="U81" s="2442" t="s">
        <v>938</v>
      </c>
      <c r="V81" s="2443"/>
      <c r="W81" s="2442" t="s">
        <v>939</v>
      </c>
      <c r="X81" s="2443"/>
      <c r="Y81" s="2442" t="s">
        <v>940</v>
      </c>
      <c r="Z81" s="2443"/>
      <c r="AA81" s="2444" t="s">
        <v>232</v>
      </c>
      <c r="AB81" s="2433" t="s">
        <v>232</v>
      </c>
      <c r="AC81" s="2433" t="s">
        <v>941</v>
      </c>
      <c r="AD81" s="2425"/>
      <c r="AE81" s="2425"/>
    </row>
    <row r="82" spans="1:32" x14ac:dyDescent="0.3">
      <c r="A82" s="1764"/>
      <c r="B82" s="2433" t="s">
        <v>942</v>
      </c>
      <c r="C82" s="2433" t="s">
        <v>232</v>
      </c>
      <c r="D82" s="2445" t="s">
        <v>923</v>
      </c>
      <c r="E82" s="2446" t="s">
        <v>232</v>
      </c>
      <c r="F82" s="2447" t="s">
        <v>923</v>
      </c>
      <c r="G82" s="2433" t="s">
        <v>232</v>
      </c>
      <c r="H82" s="2445" t="s">
        <v>923</v>
      </c>
      <c r="I82" s="2433" t="s">
        <v>232</v>
      </c>
      <c r="J82" s="2445" t="s">
        <v>923</v>
      </c>
      <c r="K82" s="2433" t="s">
        <v>232</v>
      </c>
      <c r="L82" s="2445" t="s">
        <v>923</v>
      </c>
      <c r="M82" s="2433" t="s">
        <v>232</v>
      </c>
      <c r="N82" s="2445" t="s">
        <v>923</v>
      </c>
      <c r="O82" s="2433" t="s">
        <v>232</v>
      </c>
      <c r="P82" s="2445" t="s">
        <v>923</v>
      </c>
      <c r="Q82" s="2433" t="s">
        <v>232</v>
      </c>
      <c r="R82" s="2445" t="s">
        <v>923</v>
      </c>
      <c r="S82" s="2433" t="s">
        <v>232</v>
      </c>
      <c r="T82" s="2445" t="s">
        <v>923</v>
      </c>
      <c r="U82" s="2433" t="s">
        <v>232</v>
      </c>
      <c r="V82" s="2445" t="s">
        <v>923</v>
      </c>
      <c r="W82" s="2433" t="s">
        <v>232</v>
      </c>
      <c r="X82" s="2445" t="s">
        <v>923</v>
      </c>
      <c r="Y82" s="2433" t="s">
        <v>232</v>
      </c>
      <c r="Z82" s="2445" t="s">
        <v>923</v>
      </c>
      <c r="AA82" s="2444" t="s">
        <v>944</v>
      </c>
      <c r="AB82" s="2433" t="s">
        <v>945</v>
      </c>
      <c r="AC82" s="2433"/>
      <c r="AD82" s="2425"/>
      <c r="AE82" s="2425"/>
    </row>
    <row r="83" spans="1:32" x14ac:dyDescent="0.3">
      <c r="A83" s="1764"/>
      <c r="B83" s="2433" t="s">
        <v>409</v>
      </c>
      <c r="C83" s="2449">
        <v>872</v>
      </c>
      <c r="D83" s="2450">
        <v>12</v>
      </c>
      <c r="E83" s="2451">
        <v>338</v>
      </c>
      <c r="F83" s="2450">
        <v>6</v>
      </c>
      <c r="G83" s="2451">
        <v>482</v>
      </c>
      <c r="H83" s="2450">
        <v>0</v>
      </c>
      <c r="I83" s="2451">
        <v>847</v>
      </c>
      <c r="J83" s="2450">
        <v>8</v>
      </c>
      <c r="K83" s="2451">
        <v>182</v>
      </c>
      <c r="L83" s="2450">
        <v>0</v>
      </c>
      <c r="M83" s="2451">
        <v>82</v>
      </c>
      <c r="N83" s="2450">
        <v>1</v>
      </c>
      <c r="O83" s="2451">
        <v>31</v>
      </c>
      <c r="P83" s="2450">
        <v>0</v>
      </c>
      <c r="Q83" s="2451">
        <v>23</v>
      </c>
      <c r="R83" s="2450">
        <v>0</v>
      </c>
      <c r="S83" s="2451">
        <v>90</v>
      </c>
      <c r="T83" s="2450">
        <v>0</v>
      </c>
      <c r="U83" s="2451">
        <v>168</v>
      </c>
      <c r="V83" s="2450">
        <v>0</v>
      </c>
      <c r="W83" s="2451">
        <v>161</v>
      </c>
      <c r="X83" s="2450">
        <v>1</v>
      </c>
      <c r="Y83" s="2451">
        <v>175</v>
      </c>
      <c r="Z83" s="2450">
        <v>3</v>
      </c>
      <c r="AA83" s="2451">
        <v>3451</v>
      </c>
      <c r="AB83" s="2449">
        <v>31</v>
      </c>
      <c r="AC83" s="2449">
        <v>0.89829035062300788</v>
      </c>
      <c r="AD83" s="2425"/>
      <c r="AE83" s="2425"/>
    </row>
    <row r="84" spans="1:32" x14ac:dyDescent="0.3">
      <c r="A84" s="1764"/>
      <c r="B84" s="2433" t="s">
        <v>408</v>
      </c>
      <c r="C84" s="2449">
        <v>837</v>
      </c>
      <c r="D84" s="2450">
        <v>8</v>
      </c>
      <c r="E84" s="2451">
        <v>410</v>
      </c>
      <c r="F84" s="2450">
        <v>1</v>
      </c>
      <c r="G84" s="2451">
        <v>456</v>
      </c>
      <c r="H84" s="2450">
        <v>1</v>
      </c>
      <c r="I84" s="2451">
        <v>322</v>
      </c>
      <c r="J84" s="2450">
        <v>2</v>
      </c>
      <c r="K84" s="2451">
        <v>291</v>
      </c>
      <c r="L84" s="2450">
        <v>2</v>
      </c>
      <c r="M84" s="2451">
        <v>179</v>
      </c>
      <c r="N84" s="2450">
        <v>0</v>
      </c>
      <c r="O84" s="2451">
        <v>96</v>
      </c>
      <c r="P84" s="2450">
        <v>0</v>
      </c>
      <c r="Q84" s="2451">
        <v>77</v>
      </c>
      <c r="R84" s="2450">
        <v>0</v>
      </c>
      <c r="S84" s="2451">
        <v>88</v>
      </c>
      <c r="T84" s="2450">
        <v>0</v>
      </c>
      <c r="U84" s="2451">
        <v>192</v>
      </c>
      <c r="V84" s="2450">
        <v>1</v>
      </c>
      <c r="W84" s="2451">
        <v>156</v>
      </c>
      <c r="X84" s="2450">
        <v>1</v>
      </c>
      <c r="Y84" s="2451">
        <v>155</v>
      </c>
      <c r="Z84" s="2450">
        <v>0</v>
      </c>
      <c r="AA84" s="2451">
        <v>3259</v>
      </c>
      <c r="AB84" s="2449">
        <v>16</v>
      </c>
      <c r="AC84" s="2449">
        <v>0.49094814360233202</v>
      </c>
      <c r="AD84" s="2425"/>
      <c r="AE84" s="2425"/>
    </row>
    <row r="85" spans="1:32" x14ac:dyDescent="0.3">
      <c r="A85" s="1764"/>
      <c r="B85" s="2433" t="s">
        <v>405</v>
      </c>
      <c r="C85" s="2449">
        <v>84</v>
      </c>
      <c r="D85" s="2450">
        <v>1</v>
      </c>
      <c r="E85" s="2451">
        <v>78</v>
      </c>
      <c r="F85" s="2450">
        <v>1</v>
      </c>
      <c r="G85" s="2451">
        <v>106</v>
      </c>
      <c r="H85" s="2450">
        <v>1</v>
      </c>
      <c r="I85" s="2452">
        <v>49</v>
      </c>
      <c r="J85" s="2453">
        <v>3</v>
      </c>
      <c r="K85" s="2452">
        <v>58</v>
      </c>
      <c r="L85" s="2453">
        <v>0</v>
      </c>
      <c r="M85" s="2452">
        <v>35</v>
      </c>
      <c r="N85" s="2453">
        <v>0</v>
      </c>
      <c r="O85" s="2451">
        <v>33</v>
      </c>
      <c r="P85" s="2450">
        <v>0</v>
      </c>
      <c r="Q85" s="2451">
        <v>26</v>
      </c>
      <c r="R85" s="2450">
        <v>0</v>
      </c>
      <c r="S85" s="2451">
        <v>20</v>
      </c>
      <c r="T85" s="2450">
        <v>0</v>
      </c>
      <c r="U85" s="2451">
        <v>38</v>
      </c>
      <c r="V85" s="2450">
        <v>0</v>
      </c>
      <c r="W85" s="2451">
        <v>39</v>
      </c>
      <c r="X85" s="2450">
        <v>0</v>
      </c>
      <c r="Y85" s="2451">
        <v>32</v>
      </c>
      <c r="Z85" s="2450">
        <v>0</v>
      </c>
      <c r="AA85" s="2451">
        <v>598</v>
      </c>
      <c r="AB85" s="2449">
        <v>6</v>
      </c>
      <c r="AC85" s="2449">
        <v>1.0033444816053512</v>
      </c>
      <c r="AD85" s="2425"/>
      <c r="AE85" s="2425"/>
    </row>
    <row r="86" spans="1:32" x14ac:dyDescent="0.3">
      <c r="A86" s="1764"/>
      <c r="B86" s="2433" t="s">
        <v>406</v>
      </c>
      <c r="C86" s="2449">
        <v>18</v>
      </c>
      <c r="D86" s="2450">
        <v>0</v>
      </c>
      <c r="E86" s="2451">
        <v>20</v>
      </c>
      <c r="F86" s="2450">
        <v>0</v>
      </c>
      <c r="G86" s="2451">
        <v>20</v>
      </c>
      <c r="H86" s="2450">
        <v>0</v>
      </c>
      <c r="I86" s="2451">
        <v>2</v>
      </c>
      <c r="J86" s="2450">
        <v>0</v>
      </c>
      <c r="K86" s="2451">
        <v>5</v>
      </c>
      <c r="L86" s="2450">
        <v>0</v>
      </c>
      <c r="M86" s="2451">
        <v>7</v>
      </c>
      <c r="N86" s="2450">
        <v>0</v>
      </c>
      <c r="O86" s="2451">
        <v>4</v>
      </c>
      <c r="P86" s="2450">
        <v>1</v>
      </c>
      <c r="Q86" s="2451">
        <v>1</v>
      </c>
      <c r="R86" s="2450">
        <v>0</v>
      </c>
      <c r="S86" s="2451">
        <v>2</v>
      </c>
      <c r="T86" s="2450">
        <v>0</v>
      </c>
      <c r="U86" s="2451">
        <v>2</v>
      </c>
      <c r="V86" s="2450">
        <v>0</v>
      </c>
      <c r="W86" s="2451">
        <v>4</v>
      </c>
      <c r="X86" s="2450">
        <v>0</v>
      </c>
      <c r="Y86" s="2451">
        <v>0</v>
      </c>
      <c r="Z86" s="2450">
        <v>0</v>
      </c>
      <c r="AA86" s="2451">
        <v>85</v>
      </c>
      <c r="AB86" s="2449">
        <v>1</v>
      </c>
      <c r="AC86" s="2449">
        <v>1.1764705882352942</v>
      </c>
      <c r="AD86" s="2425"/>
      <c r="AE86" s="2425"/>
    </row>
    <row r="87" spans="1:32" x14ac:dyDescent="0.3">
      <c r="A87" s="1764"/>
      <c r="B87" s="2433" t="s">
        <v>407</v>
      </c>
      <c r="C87" s="2449">
        <v>629</v>
      </c>
      <c r="D87" s="2450">
        <v>6</v>
      </c>
      <c r="E87" s="2451">
        <v>354</v>
      </c>
      <c r="F87" s="2450">
        <v>5</v>
      </c>
      <c r="G87" s="2451">
        <v>246</v>
      </c>
      <c r="H87" s="2450">
        <v>2</v>
      </c>
      <c r="I87" s="2451">
        <v>195</v>
      </c>
      <c r="J87" s="2450">
        <v>1</v>
      </c>
      <c r="K87" s="2451">
        <v>191</v>
      </c>
      <c r="L87" s="2450">
        <v>9</v>
      </c>
      <c r="M87" s="2451">
        <v>99</v>
      </c>
      <c r="N87" s="2450">
        <v>2</v>
      </c>
      <c r="O87" s="2451">
        <v>79</v>
      </c>
      <c r="P87" s="2450">
        <v>2</v>
      </c>
      <c r="Q87" s="2451">
        <v>36</v>
      </c>
      <c r="R87" s="2450">
        <v>1</v>
      </c>
      <c r="S87" s="2451">
        <v>44</v>
      </c>
      <c r="T87" s="2450">
        <v>1</v>
      </c>
      <c r="U87" s="2451">
        <v>51</v>
      </c>
      <c r="V87" s="2450">
        <v>0</v>
      </c>
      <c r="W87" s="2451">
        <v>81</v>
      </c>
      <c r="X87" s="2450">
        <v>0</v>
      </c>
      <c r="Y87" s="2451">
        <v>75</v>
      </c>
      <c r="Z87" s="2450">
        <v>0</v>
      </c>
      <c r="AA87" s="2451">
        <v>2080</v>
      </c>
      <c r="AB87" s="2449">
        <v>29</v>
      </c>
      <c r="AC87" s="2449">
        <v>1.3942307692307694</v>
      </c>
      <c r="AD87" s="2425"/>
      <c r="AE87" s="2425"/>
    </row>
    <row r="88" spans="1:32" x14ac:dyDescent="0.3">
      <c r="A88" s="1764"/>
      <c r="B88" s="2433" t="s">
        <v>403</v>
      </c>
      <c r="C88" s="2449">
        <v>6</v>
      </c>
      <c r="D88" s="2449">
        <v>0</v>
      </c>
      <c r="E88" s="2449">
        <v>4</v>
      </c>
      <c r="F88" s="2449">
        <v>0</v>
      </c>
      <c r="G88" s="2449">
        <v>15</v>
      </c>
      <c r="H88" s="2449">
        <v>0</v>
      </c>
      <c r="I88" s="2449">
        <v>13</v>
      </c>
      <c r="J88" s="2449">
        <v>1</v>
      </c>
      <c r="K88" s="2449">
        <v>11</v>
      </c>
      <c r="L88" s="2449">
        <v>0</v>
      </c>
      <c r="M88" s="2449">
        <v>5</v>
      </c>
      <c r="N88" s="2449">
        <v>1</v>
      </c>
      <c r="O88" s="2449">
        <v>4</v>
      </c>
      <c r="P88" s="2449">
        <v>1</v>
      </c>
      <c r="Q88" s="2449">
        <v>3</v>
      </c>
      <c r="R88" s="2449">
        <v>0</v>
      </c>
      <c r="S88" s="2449">
        <v>3</v>
      </c>
      <c r="T88" s="2449">
        <v>0</v>
      </c>
      <c r="U88" s="2449">
        <v>0</v>
      </c>
      <c r="V88" s="2449">
        <v>0</v>
      </c>
      <c r="W88" s="2449">
        <v>2</v>
      </c>
      <c r="X88" s="2449">
        <v>0</v>
      </c>
      <c r="Y88" s="2449">
        <v>0</v>
      </c>
      <c r="Z88" s="2449">
        <v>0</v>
      </c>
      <c r="AA88" s="2451">
        <v>66</v>
      </c>
      <c r="AB88" s="2449">
        <v>3</v>
      </c>
      <c r="AC88" s="2449">
        <v>4.5454540000000003</v>
      </c>
      <c r="AD88" s="2425"/>
      <c r="AE88" s="2425"/>
    </row>
    <row r="89" spans="1:32" x14ac:dyDescent="0.3">
      <c r="A89" s="1764"/>
      <c r="B89" s="2433" t="s">
        <v>402</v>
      </c>
      <c r="C89" s="2449">
        <v>11</v>
      </c>
      <c r="D89" s="2450">
        <v>1</v>
      </c>
      <c r="E89" s="2451">
        <v>9</v>
      </c>
      <c r="F89" s="2450">
        <v>0</v>
      </c>
      <c r="G89" s="2451">
        <v>14</v>
      </c>
      <c r="H89" s="2450">
        <v>0</v>
      </c>
      <c r="I89" s="2451">
        <v>23</v>
      </c>
      <c r="J89" s="2450">
        <v>1</v>
      </c>
      <c r="K89" s="2451">
        <v>39</v>
      </c>
      <c r="L89" s="2450">
        <v>0</v>
      </c>
      <c r="M89" s="2451">
        <v>12</v>
      </c>
      <c r="N89" s="2450">
        <v>0</v>
      </c>
      <c r="O89" s="2451">
        <v>14</v>
      </c>
      <c r="P89" s="2450">
        <v>0</v>
      </c>
      <c r="Q89" s="2451">
        <v>22</v>
      </c>
      <c r="R89" s="2450">
        <v>0</v>
      </c>
      <c r="S89" s="2451">
        <v>7</v>
      </c>
      <c r="T89" s="2450">
        <v>0</v>
      </c>
      <c r="U89" s="2451">
        <v>1</v>
      </c>
      <c r="V89" s="2450">
        <v>0</v>
      </c>
      <c r="W89" s="2451">
        <v>3</v>
      </c>
      <c r="X89" s="2450">
        <v>0</v>
      </c>
      <c r="Y89" s="2451">
        <v>1</v>
      </c>
      <c r="Z89" s="2450">
        <v>0</v>
      </c>
      <c r="AA89" s="2451">
        <v>156</v>
      </c>
      <c r="AB89" s="2449">
        <v>2</v>
      </c>
      <c r="AC89" s="2449">
        <v>1.2820512820512819</v>
      </c>
      <c r="AD89" s="2425"/>
      <c r="AE89" s="2425"/>
    </row>
    <row r="90" spans="1:32" x14ac:dyDescent="0.3">
      <c r="A90" s="1764"/>
      <c r="B90" s="2433" t="s">
        <v>401</v>
      </c>
      <c r="C90" s="2432">
        <v>18</v>
      </c>
      <c r="D90" s="2453">
        <v>0</v>
      </c>
      <c r="E90" s="2452">
        <v>14</v>
      </c>
      <c r="F90" s="2453"/>
      <c r="G90" s="2452">
        <v>13</v>
      </c>
      <c r="H90" s="2453">
        <v>1</v>
      </c>
      <c r="I90" s="2452">
        <v>10</v>
      </c>
      <c r="J90" s="2453">
        <v>0</v>
      </c>
      <c r="K90" s="2452">
        <v>10</v>
      </c>
      <c r="L90" s="2453">
        <v>0</v>
      </c>
      <c r="M90" s="2452">
        <v>9</v>
      </c>
      <c r="N90" s="2453">
        <v>0</v>
      </c>
      <c r="O90" s="2452">
        <v>4</v>
      </c>
      <c r="P90" s="2453">
        <v>0</v>
      </c>
      <c r="Q90" s="2452">
        <v>3</v>
      </c>
      <c r="R90" s="2453">
        <v>0</v>
      </c>
      <c r="S90" s="2452">
        <v>3</v>
      </c>
      <c r="T90" s="2453">
        <v>0</v>
      </c>
      <c r="U90" s="2452">
        <v>2</v>
      </c>
      <c r="V90" s="2453">
        <v>0</v>
      </c>
      <c r="W90" s="2452">
        <v>1</v>
      </c>
      <c r="X90" s="2453">
        <v>0</v>
      </c>
      <c r="Y90" s="2452">
        <v>3</v>
      </c>
      <c r="Z90" s="2453">
        <v>0</v>
      </c>
      <c r="AA90" s="2451">
        <v>90</v>
      </c>
      <c r="AB90" s="2449">
        <v>1</v>
      </c>
      <c r="AC90" s="2432">
        <v>1.111</v>
      </c>
      <c r="AD90" s="2425"/>
      <c r="AE90" s="2425"/>
    </row>
    <row r="91" spans="1:32" x14ac:dyDescent="0.3">
      <c r="A91" s="1764"/>
      <c r="B91" s="2433" t="s">
        <v>404</v>
      </c>
      <c r="C91" s="2449">
        <v>22</v>
      </c>
      <c r="D91" s="2450">
        <v>0</v>
      </c>
      <c r="E91" s="2451">
        <v>10</v>
      </c>
      <c r="F91" s="2450">
        <v>0</v>
      </c>
      <c r="G91" s="2451">
        <v>12</v>
      </c>
      <c r="H91" s="2450">
        <v>0</v>
      </c>
      <c r="I91" s="2451">
        <v>7</v>
      </c>
      <c r="J91" s="2450">
        <v>0</v>
      </c>
      <c r="K91" s="2451">
        <v>7</v>
      </c>
      <c r="L91" s="2450">
        <v>0</v>
      </c>
      <c r="M91" s="2451">
        <v>9</v>
      </c>
      <c r="N91" s="2450">
        <v>0</v>
      </c>
      <c r="O91" s="2451">
        <v>2</v>
      </c>
      <c r="P91" s="2450">
        <v>0</v>
      </c>
      <c r="Q91" s="2451">
        <v>2</v>
      </c>
      <c r="R91" s="2450">
        <v>0</v>
      </c>
      <c r="S91" s="2451">
        <v>1</v>
      </c>
      <c r="T91" s="2450">
        <v>0</v>
      </c>
      <c r="U91" s="2451">
        <v>5</v>
      </c>
      <c r="V91" s="2450">
        <v>0</v>
      </c>
      <c r="W91" s="2451">
        <v>4</v>
      </c>
      <c r="X91" s="2450">
        <v>0</v>
      </c>
      <c r="Y91" s="2451">
        <v>0</v>
      </c>
      <c r="Z91" s="2450">
        <v>0</v>
      </c>
      <c r="AA91" s="2451">
        <v>81</v>
      </c>
      <c r="AB91" s="2449">
        <v>0</v>
      </c>
      <c r="AC91" s="2449">
        <v>0</v>
      </c>
      <c r="AD91" s="2425"/>
      <c r="AE91" s="2425"/>
    </row>
    <row r="92" spans="1:32" x14ac:dyDescent="0.3">
      <c r="A92" s="1764"/>
      <c r="B92" s="2433" t="s">
        <v>232</v>
      </c>
      <c r="C92" s="2449">
        <v>2497</v>
      </c>
      <c r="D92" s="2449">
        <v>28</v>
      </c>
      <c r="E92" s="2449">
        <v>1237</v>
      </c>
      <c r="F92" s="2449">
        <v>13</v>
      </c>
      <c r="G92" s="2449">
        <v>1364</v>
      </c>
      <c r="H92" s="2449">
        <v>5</v>
      </c>
      <c r="I92" s="2449">
        <v>1468</v>
      </c>
      <c r="J92" s="2449">
        <v>16</v>
      </c>
      <c r="K92" s="2449">
        <v>794</v>
      </c>
      <c r="L92" s="2449">
        <v>11</v>
      </c>
      <c r="M92" s="2449">
        <v>437</v>
      </c>
      <c r="N92" s="2449">
        <v>4</v>
      </c>
      <c r="O92" s="2449">
        <v>267</v>
      </c>
      <c r="P92" s="2449">
        <v>4</v>
      </c>
      <c r="Q92" s="2449">
        <v>193</v>
      </c>
      <c r="R92" s="2449">
        <v>1</v>
      </c>
      <c r="S92" s="2449">
        <v>258</v>
      </c>
      <c r="T92" s="2449">
        <v>1</v>
      </c>
      <c r="U92" s="2449">
        <v>459</v>
      </c>
      <c r="V92" s="2449">
        <v>1</v>
      </c>
      <c r="W92" s="2449">
        <v>451</v>
      </c>
      <c r="X92" s="2449">
        <v>2</v>
      </c>
      <c r="Y92" s="2449">
        <v>441</v>
      </c>
      <c r="Z92" s="2449">
        <v>3</v>
      </c>
      <c r="AA92" s="2449">
        <v>9866</v>
      </c>
      <c r="AB92" s="2449">
        <v>89</v>
      </c>
      <c r="AC92" s="2449">
        <v>0.90208797891749448</v>
      </c>
      <c r="AD92" s="2425">
        <f>+AB92/AA92</f>
        <v>9.0208797891749449E-3</v>
      </c>
      <c r="AE92" s="2425"/>
    </row>
    <row r="93" spans="1:32" x14ac:dyDescent="0.3">
      <c r="B93" s="2424"/>
      <c r="C93" s="2424"/>
      <c r="D93" s="2425"/>
      <c r="E93" s="2425"/>
      <c r="F93" s="2425"/>
      <c r="G93" s="2425"/>
      <c r="H93" s="2425"/>
      <c r="I93" s="2425"/>
      <c r="J93" s="2425"/>
      <c r="K93" s="2425"/>
      <c r="L93" s="2425"/>
      <c r="M93" s="2425"/>
      <c r="N93" s="2425"/>
      <c r="O93" s="2425"/>
      <c r="P93" s="2425"/>
      <c r="Q93" s="2425"/>
      <c r="R93" s="2425"/>
      <c r="S93" s="2425"/>
      <c r="T93" s="2425"/>
      <c r="U93" s="2425"/>
      <c r="V93" s="2425"/>
      <c r="W93" s="2425"/>
      <c r="X93" s="2425"/>
      <c r="Y93" s="2425"/>
      <c r="Z93" s="2425"/>
      <c r="AA93" s="2425"/>
      <c r="AB93" s="2425"/>
      <c r="AC93" s="2425"/>
      <c r="AD93" s="2425"/>
      <c r="AE93" s="2425"/>
    </row>
    <row r="94" spans="1:32" x14ac:dyDescent="0.3">
      <c r="B94" s="2424"/>
      <c r="C94" s="2424"/>
      <c r="D94" s="2425"/>
      <c r="E94" s="2425"/>
      <c r="F94" s="2425"/>
      <c r="G94" s="2425"/>
      <c r="H94" s="2425"/>
      <c r="I94" s="2425"/>
      <c r="J94" s="2425"/>
      <c r="K94" s="2425"/>
      <c r="L94" s="2425"/>
      <c r="M94" s="2425"/>
      <c r="N94" s="2425"/>
      <c r="O94" s="2425"/>
      <c r="P94" s="2425"/>
      <c r="Q94" s="2425"/>
      <c r="R94" s="2425"/>
      <c r="S94" s="2425"/>
      <c r="T94" s="2425"/>
      <c r="U94" s="2425"/>
      <c r="V94" s="2425"/>
      <c r="W94" s="2425"/>
      <c r="X94" s="2425"/>
      <c r="Y94" s="2425"/>
      <c r="Z94" s="2425"/>
      <c r="AA94" s="2425"/>
      <c r="AB94" s="2425"/>
      <c r="AC94" s="2425"/>
      <c r="AD94" s="2425"/>
      <c r="AE94" s="2425"/>
    </row>
    <row r="95" spans="1:32" ht="14.5" x14ac:dyDescent="0.35">
      <c r="A95" s="1764"/>
      <c r="B95" s="2454" t="s">
        <v>950</v>
      </c>
      <c r="C95" s="2454"/>
      <c r="D95" s="2454"/>
      <c r="E95" s="2454"/>
      <c r="F95" s="2455"/>
      <c r="G95" s="2455"/>
      <c r="H95" s="2455"/>
      <c r="I95" s="2455"/>
      <c r="J95" s="2455"/>
      <c r="K95" s="2455"/>
      <c r="L95" s="2455"/>
      <c r="M95" s="2455"/>
      <c r="N95" s="2455"/>
      <c r="O95" s="2455"/>
      <c r="P95" s="2455"/>
      <c r="Q95" s="2455"/>
      <c r="R95" s="2455"/>
      <c r="S95" s="2455"/>
      <c r="T95" s="2455"/>
      <c r="U95" s="2455"/>
      <c r="V95" s="2455"/>
      <c r="W95" s="2455"/>
      <c r="X95" s="2455"/>
      <c r="Y95" s="2455"/>
      <c r="Z95" s="2455"/>
      <c r="AA95" s="2455"/>
      <c r="AB95" s="2455"/>
      <c r="AC95" s="2455"/>
      <c r="AD95" s="2455"/>
      <c r="AE95" s="2440"/>
      <c r="AF95" s="2441"/>
    </row>
    <row r="96" spans="1:32" x14ac:dyDescent="0.3">
      <c r="A96" s="1764"/>
      <c r="B96" s="2456" t="s">
        <v>929</v>
      </c>
      <c r="C96" s="2457" t="s">
        <v>930</v>
      </c>
      <c r="D96" s="2458"/>
      <c r="E96" s="2457" t="s">
        <v>931</v>
      </c>
      <c r="F96" s="2458"/>
      <c r="G96" s="2457" t="s">
        <v>932</v>
      </c>
      <c r="H96" s="2458"/>
      <c r="I96" s="2457" t="s">
        <v>933</v>
      </c>
      <c r="J96" s="2458"/>
      <c r="K96" s="2457" t="s">
        <v>934</v>
      </c>
      <c r="L96" s="2458"/>
      <c r="M96" s="2457" t="s">
        <v>935</v>
      </c>
      <c r="N96" s="2458"/>
      <c r="O96" s="2457" t="s">
        <v>936</v>
      </c>
      <c r="P96" s="2458"/>
      <c r="Q96" s="2457" t="s">
        <v>937</v>
      </c>
      <c r="R96" s="2458"/>
      <c r="S96" s="2457" t="s">
        <v>418</v>
      </c>
      <c r="T96" s="2458"/>
      <c r="U96" s="2457" t="s">
        <v>938</v>
      </c>
      <c r="V96" s="2458"/>
      <c r="W96" s="2457" t="s">
        <v>939</v>
      </c>
      <c r="X96" s="2458"/>
      <c r="Y96" s="2457" t="s">
        <v>940</v>
      </c>
      <c r="Z96" s="2458"/>
      <c r="AA96" s="2459" t="s">
        <v>232</v>
      </c>
      <c r="AB96" s="2456" t="s">
        <v>232</v>
      </c>
      <c r="AC96" s="2456" t="s">
        <v>941</v>
      </c>
      <c r="AD96" s="2460"/>
      <c r="AE96" s="2425"/>
    </row>
    <row r="97" spans="1:31" x14ac:dyDescent="0.3">
      <c r="A97" s="1764"/>
      <c r="B97" s="2456" t="s">
        <v>942</v>
      </c>
      <c r="C97" s="2456" t="s">
        <v>232</v>
      </c>
      <c r="D97" s="2461" t="s">
        <v>923</v>
      </c>
      <c r="E97" s="2462" t="s">
        <v>232</v>
      </c>
      <c r="F97" s="2463" t="s">
        <v>923</v>
      </c>
      <c r="G97" s="2456" t="s">
        <v>232</v>
      </c>
      <c r="H97" s="2461" t="s">
        <v>923</v>
      </c>
      <c r="I97" s="2456" t="s">
        <v>232</v>
      </c>
      <c r="J97" s="2461" t="s">
        <v>923</v>
      </c>
      <c r="K97" s="2456" t="s">
        <v>232</v>
      </c>
      <c r="L97" s="2461" t="s">
        <v>923</v>
      </c>
      <c r="M97" s="2456" t="s">
        <v>232</v>
      </c>
      <c r="N97" s="2461" t="s">
        <v>923</v>
      </c>
      <c r="O97" s="2456" t="s">
        <v>232</v>
      </c>
      <c r="P97" s="2461" t="s">
        <v>923</v>
      </c>
      <c r="Q97" s="2456" t="s">
        <v>232</v>
      </c>
      <c r="R97" s="2461" t="s">
        <v>923</v>
      </c>
      <c r="S97" s="2456" t="s">
        <v>232</v>
      </c>
      <c r="T97" s="2461" t="s">
        <v>923</v>
      </c>
      <c r="U97" s="2456" t="s">
        <v>232</v>
      </c>
      <c r="V97" s="2461" t="s">
        <v>923</v>
      </c>
      <c r="W97" s="2456" t="s">
        <v>232</v>
      </c>
      <c r="X97" s="2461" t="s">
        <v>923</v>
      </c>
      <c r="Y97" s="2456" t="s">
        <v>232</v>
      </c>
      <c r="Z97" s="2461" t="s">
        <v>923</v>
      </c>
      <c r="AA97" s="2459" t="s">
        <v>944</v>
      </c>
      <c r="AB97" s="2456" t="s">
        <v>945</v>
      </c>
      <c r="AC97" s="2456"/>
      <c r="AD97" s="2460"/>
      <c r="AE97" s="2425"/>
    </row>
    <row r="98" spans="1:31" x14ac:dyDescent="0.3">
      <c r="A98" s="1764"/>
      <c r="B98" s="2456" t="s">
        <v>409</v>
      </c>
      <c r="C98" s="2464">
        <v>872</v>
      </c>
      <c r="D98" s="2465">
        <v>12</v>
      </c>
      <c r="E98" s="2466">
        <v>338</v>
      </c>
      <c r="F98" s="2465">
        <v>6</v>
      </c>
      <c r="G98" s="2466">
        <v>482</v>
      </c>
      <c r="H98" s="2465">
        <v>0</v>
      </c>
      <c r="I98" s="2466">
        <v>847</v>
      </c>
      <c r="J98" s="2465">
        <v>8</v>
      </c>
      <c r="K98" s="2466">
        <v>182</v>
      </c>
      <c r="L98" s="2465">
        <v>0</v>
      </c>
      <c r="M98" s="2466">
        <v>82</v>
      </c>
      <c r="N98" s="2465">
        <v>1</v>
      </c>
      <c r="O98" s="2466">
        <v>31</v>
      </c>
      <c r="P98" s="2465">
        <v>0</v>
      </c>
      <c r="Q98" s="2466">
        <v>23</v>
      </c>
      <c r="R98" s="2465">
        <v>0</v>
      </c>
      <c r="S98" s="2466">
        <v>90</v>
      </c>
      <c r="T98" s="2465">
        <v>0</v>
      </c>
      <c r="U98" s="2466">
        <v>168</v>
      </c>
      <c r="V98" s="2465">
        <v>0</v>
      </c>
      <c r="W98" s="2466">
        <v>161</v>
      </c>
      <c r="X98" s="2465">
        <v>1</v>
      </c>
      <c r="Y98" s="2466">
        <v>175</v>
      </c>
      <c r="Z98" s="2465">
        <v>3</v>
      </c>
      <c r="AA98" s="2466">
        <v>3451</v>
      </c>
      <c r="AB98" s="2464">
        <v>31</v>
      </c>
      <c r="AC98" s="2464">
        <v>0.89829035062300788</v>
      </c>
      <c r="AD98" s="2460"/>
      <c r="AE98" s="2425"/>
    </row>
    <row r="99" spans="1:31" x14ac:dyDescent="0.3">
      <c r="A99" s="1764"/>
      <c r="B99" s="2456" t="s">
        <v>408</v>
      </c>
      <c r="C99" s="2464">
        <v>837</v>
      </c>
      <c r="D99" s="2465">
        <v>8</v>
      </c>
      <c r="E99" s="2466">
        <v>410</v>
      </c>
      <c r="F99" s="2465">
        <v>1</v>
      </c>
      <c r="G99" s="2466">
        <v>456</v>
      </c>
      <c r="H99" s="2465">
        <v>1</v>
      </c>
      <c r="I99" s="2466">
        <v>322</v>
      </c>
      <c r="J99" s="2465">
        <v>2</v>
      </c>
      <c r="K99" s="2466">
        <v>291</v>
      </c>
      <c r="L99" s="2465">
        <v>2</v>
      </c>
      <c r="M99" s="2466">
        <v>179</v>
      </c>
      <c r="N99" s="2465">
        <v>0</v>
      </c>
      <c r="O99" s="2466">
        <v>96</v>
      </c>
      <c r="P99" s="2465">
        <v>0</v>
      </c>
      <c r="Q99" s="2466">
        <v>77</v>
      </c>
      <c r="R99" s="2465">
        <v>0</v>
      </c>
      <c r="S99" s="2466">
        <v>88</v>
      </c>
      <c r="T99" s="2465">
        <v>0</v>
      </c>
      <c r="U99" s="2466">
        <v>192</v>
      </c>
      <c r="V99" s="2465">
        <v>1</v>
      </c>
      <c r="W99" s="2466">
        <v>156</v>
      </c>
      <c r="X99" s="2465">
        <v>1</v>
      </c>
      <c r="Y99" s="2466">
        <v>155</v>
      </c>
      <c r="Z99" s="2465">
        <v>0</v>
      </c>
      <c r="AA99" s="2466">
        <v>3259</v>
      </c>
      <c r="AB99" s="2464">
        <v>16</v>
      </c>
      <c r="AC99" s="2464">
        <v>0.49094814360233202</v>
      </c>
      <c r="AD99" s="2460"/>
      <c r="AE99" s="2425"/>
    </row>
    <row r="100" spans="1:31" x14ac:dyDescent="0.3">
      <c r="A100" s="1764"/>
      <c r="B100" s="2456" t="s">
        <v>405</v>
      </c>
      <c r="C100" s="2464">
        <v>84</v>
      </c>
      <c r="D100" s="2465">
        <v>1</v>
      </c>
      <c r="E100" s="2466">
        <v>78</v>
      </c>
      <c r="F100" s="2465">
        <v>1</v>
      </c>
      <c r="G100" s="2466">
        <v>106</v>
      </c>
      <c r="H100" s="2465">
        <v>1</v>
      </c>
      <c r="I100" s="2467">
        <v>49</v>
      </c>
      <c r="J100" s="2468">
        <v>3</v>
      </c>
      <c r="K100" s="2467">
        <v>58</v>
      </c>
      <c r="L100" s="2468">
        <v>0</v>
      </c>
      <c r="M100" s="2467">
        <v>35</v>
      </c>
      <c r="N100" s="2468">
        <v>0</v>
      </c>
      <c r="O100" s="2466">
        <v>33</v>
      </c>
      <c r="P100" s="2465">
        <v>0</v>
      </c>
      <c r="Q100" s="2466">
        <v>26</v>
      </c>
      <c r="R100" s="2465">
        <v>0</v>
      </c>
      <c r="S100" s="2466">
        <v>20</v>
      </c>
      <c r="T100" s="2465">
        <v>0</v>
      </c>
      <c r="U100" s="2466">
        <v>38</v>
      </c>
      <c r="V100" s="2465">
        <v>0</v>
      </c>
      <c r="W100" s="2466">
        <v>39</v>
      </c>
      <c r="X100" s="2465">
        <v>0</v>
      </c>
      <c r="Y100" s="2466">
        <v>32</v>
      </c>
      <c r="Z100" s="2465">
        <v>0</v>
      </c>
      <c r="AA100" s="2466">
        <v>598</v>
      </c>
      <c r="AB100" s="2464">
        <v>6</v>
      </c>
      <c r="AC100" s="2464">
        <v>1.0033444816053512</v>
      </c>
      <c r="AD100" s="2460"/>
      <c r="AE100" s="2425"/>
    </row>
    <row r="101" spans="1:31" x14ac:dyDescent="0.3">
      <c r="A101" s="1764"/>
      <c r="B101" s="2456" t="s">
        <v>406</v>
      </c>
      <c r="C101" s="2464">
        <v>18</v>
      </c>
      <c r="D101" s="2465">
        <v>0</v>
      </c>
      <c r="E101" s="2466">
        <v>20</v>
      </c>
      <c r="F101" s="2465">
        <v>0</v>
      </c>
      <c r="G101" s="2466">
        <v>20</v>
      </c>
      <c r="H101" s="2465">
        <v>0</v>
      </c>
      <c r="I101" s="2466">
        <v>2</v>
      </c>
      <c r="J101" s="2465">
        <v>0</v>
      </c>
      <c r="K101" s="2466">
        <v>5</v>
      </c>
      <c r="L101" s="2465">
        <v>0</v>
      </c>
      <c r="M101" s="2466">
        <v>7</v>
      </c>
      <c r="N101" s="2465">
        <v>0</v>
      </c>
      <c r="O101" s="2466">
        <v>4</v>
      </c>
      <c r="P101" s="2465">
        <v>1</v>
      </c>
      <c r="Q101" s="2466">
        <v>1</v>
      </c>
      <c r="R101" s="2465">
        <v>0</v>
      </c>
      <c r="S101" s="2466">
        <v>2</v>
      </c>
      <c r="T101" s="2465">
        <v>0</v>
      </c>
      <c r="U101" s="2466">
        <v>2</v>
      </c>
      <c r="V101" s="2465">
        <v>0</v>
      </c>
      <c r="W101" s="2466">
        <v>4</v>
      </c>
      <c r="X101" s="2465">
        <v>0</v>
      </c>
      <c r="Y101" s="2466">
        <v>0</v>
      </c>
      <c r="Z101" s="2465">
        <v>0</v>
      </c>
      <c r="AA101" s="2466">
        <v>85</v>
      </c>
      <c r="AB101" s="2464">
        <v>1</v>
      </c>
      <c r="AC101" s="2464">
        <v>1.1764705882352942</v>
      </c>
      <c r="AD101" s="2460"/>
      <c r="AE101" s="2425"/>
    </row>
    <row r="102" spans="1:31" x14ac:dyDescent="0.3">
      <c r="A102" s="1764"/>
      <c r="B102" s="2456" t="s">
        <v>407</v>
      </c>
      <c r="C102" s="2464">
        <v>629</v>
      </c>
      <c r="D102" s="2465">
        <v>6</v>
      </c>
      <c r="E102" s="2466">
        <v>354</v>
      </c>
      <c r="F102" s="2465">
        <v>5</v>
      </c>
      <c r="G102" s="2466">
        <v>246</v>
      </c>
      <c r="H102" s="2465">
        <v>2</v>
      </c>
      <c r="I102" s="2466">
        <v>195</v>
      </c>
      <c r="J102" s="2465">
        <v>1</v>
      </c>
      <c r="K102" s="2466">
        <v>191</v>
      </c>
      <c r="L102" s="2465">
        <v>9</v>
      </c>
      <c r="M102" s="2466">
        <v>99</v>
      </c>
      <c r="N102" s="2465">
        <v>2</v>
      </c>
      <c r="O102" s="2466">
        <v>79</v>
      </c>
      <c r="P102" s="2465">
        <v>2</v>
      </c>
      <c r="Q102" s="2466">
        <v>36</v>
      </c>
      <c r="R102" s="2465">
        <v>1</v>
      </c>
      <c r="S102" s="2466">
        <v>44</v>
      </c>
      <c r="T102" s="2465">
        <v>1</v>
      </c>
      <c r="U102" s="2466">
        <v>51</v>
      </c>
      <c r="V102" s="2465">
        <v>0</v>
      </c>
      <c r="W102" s="2466">
        <v>81</v>
      </c>
      <c r="X102" s="2465">
        <v>0</v>
      </c>
      <c r="Y102" s="2466">
        <v>75</v>
      </c>
      <c r="Z102" s="2465">
        <v>0</v>
      </c>
      <c r="AA102" s="2466">
        <v>2080</v>
      </c>
      <c r="AB102" s="2464">
        <v>29</v>
      </c>
      <c r="AC102" s="2464">
        <v>1.3942307692307694</v>
      </c>
      <c r="AD102" s="2460"/>
      <c r="AE102" s="2425"/>
    </row>
    <row r="103" spans="1:31" x14ac:dyDescent="0.3">
      <c r="A103" s="1764"/>
      <c r="B103" s="2456" t="s">
        <v>403</v>
      </c>
      <c r="C103" s="2464">
        <v>6</v>
      </c>
      <c r="D103" s="2464">
        <v>0</v>
      </c>
      <c r="E103" s="2464">
        <v>4</v>
      </c>
      <c r="F103" s="2464">
        <v>0</v>
      </c>
      <c r="G103" s="2464">
        <v>15</v>
      </c>
      <c r="H103" s="2464">
        <v>0</v>
      </c>
      <c r="I103" s="2464">
        <v>13</v>
      </c>
      <c r="J103" s="2464">
        <v>1</v>
      </c>
      <c r="K103" s="2464">
        <v>11</v>
      </c>
      <c r="L103" s="2464">
        <v>0</v>
      </c>
      <c r="M103" s="2464">
        <v>5</v>
      </c>
      <c r="N103" s="2464">
        <v>1</v>
      </c>
      <c r="O103" s="2464">
        <v>4</v>
      </c>
      <c r="P103" s="2464">
        <v>1</v>
      </c>
      <c r="Q103" s="2464">
        <v>3</v>
      </c>
      <c r="R103" s="2464">
        <v>0</v>
      </c>
      <c r="S103" s="2464">
        <v>3</v>
      </c>
      <c r="T103" s="2464">
        <v>0</v>
      </c>
      <c r="U103" s="2464">
        <v>0</v>
      </c>
      <c r="V103" s="2464">
        <v>0</v>
      </c>
      <c r="W103" s="2464">
        <v>2</v>
      </c>
      <c r="X103" s="2464">
        <v>0</v>
      </c>
      <c r="Y103" s="2464">
        <v>0</v>
      </c>
      <c r="Z103" s="2464">
        <v>0</v>
      </c>
      <c r="AA103" s="2466">
        <v>66</v>
      </c>
      <c r="AB103" s="2464">
        <v>3</v>
      </c>
      <c r="AC103" s="2464">
        <v>4.5454540000000003</v>
      </c>
      <c r="AD103" s="2460"/>
      <c r="AE103" s="2425"/>
    </row>
    <row r="104" spans="1:31" x14ac:dyDescent="0.3">
      <c r="A104" s="1764"/>
      <c r="B104" s="2456" t="s">
        <v>402</v>
      </c>
      <c r="C104" s="2464">
        <v>11</v>
      </c>
      <c r="D104" s="2465">
        <v>1</v>
      </c>
      <c r="E104" s="2466">
        <v>9</v>
      </c>
      <c r="F104" s="2465">
        <v>0</v>
      </c>
      <c r="G104" s="2466">
        <v>14</v>
      </c>
      <c r="H104" s="2465">
        <v>0</v>
      </c>
      <c r="I104" s="2466">
        <v>23</v>
      </c>
      <c r="J104" s="2465">
        <v>1</v>
      </c>
      <c r="K104" s="2466">
        <v>39</v>
      </c>
      <c r="L104" s="2465">
        <v>0</v>
      </c>
      <c r="M104" s="2466">
        <v>12</v>
      </c>
      <c r="N104" s="2465">
        <v>0</v>
      </c>
      <c r="O104" s="2466">
        <v>14</v>
      </c>
      <c r="P104" s="2465">
        <v>0</v>
      </c>
      <c r="Q104" s="2466">
        <v>22</v>
      </c>
      <c r="R104" s="2465">
        <v>0</v>
      </c>
      <c r="S104" s="2466">
        <v>7</v>
      </c>
      <c r="T104" s="2465">
        <v>0</v>
      </c>
      <c r="U104" s="2466">
        <v>1</v>
      </c>
      <c r="V104" s="2465">
        <v>0</v>
      </c>
      <c r="W104" s="2466">
        <v>3</v>
      </c>
      <c r="X104" s="2465">
        <v>0</v>
      </c>
      <c r="Y104" s="2466">
        <v>1</v>
      </c>
      <c r="Z104" s="2465">
        <v>0</v>
      </c>
      <c r="AA104" s="2466">
        <v>156</v>
      </c>
      <c r="AB104" s="2464">
        <v>2</v>
      </c>
      <c r="AC104" s="2464">
        <v>1.2820512820512819</v>
      </c>
      <c r="AD104" s="2460"/>
      <c r="AE104" s="2425"/>
    </row>
    <row r="105" spans="1:31" x14ac:dyDescent="0.3">
      <c r="A105" s="1764"/>
      <c r="B105" s="2456" t="s">
        <v>401</v>
      </c>
      <c r="C105" s="2469">
        <v>18</v>
      </c>
      <c r="D105" s="2468">
        <v>0</v>
      </c>
      <c r="E105" s="2467">
        <v>14</v>
      </c>
      <c r="F105" s="2468"/>
      <c r="G105" s="2467">
        <v>13</v>
      </c>
      <c r="H105" s="2468">
        <v>1</v>
      </c>
      <c r="I105" s="2467">
        <v>10</v>
      </c>
      <c r="J105" s="2468">
        <v>0</v>
      </c>
      <c r="K105" s="2467">
        <v>10</v>
      </c>
      <c r="L105" s="2468">
        <v>0</v>
      </c>
      <c r="M105" s="2467">
        <v>9</v>
      </c>
      <c r="N105" s="2468">
        <v>0</v>
      </c>
      <c r="O105" s="2467">
        <v>4</v>
      </c>
      <c r="P105" s="2468">
        <v>0</v>
      </c>
      <c r="Q105" s="2467">
        <v>3</v>
      </c>
      <c r="R105" s="2468">
        <v>0</v>
      </c>
      <c r="S105" s="2467">
        <v>3</v>
      </c>
      <c r="T105" s="2468">
        <v>0</v>
      </c>
      <c r="U105" s="2467">
        <v>2</v>
      </c>
      <c r="V105" s="2468">
        <v>0</v>
      </c>
      <c r="W105" s="2467">
        <v>1</v>
      </c>
      <c r="X105" s="2468">
        <v>0</v>
      </c>
      <c r="Y105" s="2467">
        <v>3</v>
      </c>
      <c r="Z105" s="2468">
        <v>0</v>
      </c>
      <c r="AA105" s="2466">
        <v>90</v>
      </c>
      <c r="AB105" s="2464">
        <v>1</v>
      </c>
      <c r="AC105" s="2469">
        <v>1.111</v>
      </c>
      <c r="AD105" s="2460"/>
      <c r="AE105" s="2425"/>
    </row>
    <row r="106" spans="1:31" x14ac:dyDescent="0.3">
      <c r="A106" s="1764"/>
      <c r="B106" s="2456" t="s">
        <v>404</v>
      </c>
      <c r="C106" s="2464">
        <v>22</v>
      </c>
      <c r="D106" s="2465">
        <v>0</v>
      </c>
      <c r="E106" s="2466">
        <v>10</v>
      </c>
      <c r="F106" s="2465">
        <v>0</v>
      </c>
      <c r="G106" s="2466">
        <v>12</v>
      </c>
      <c r="H106" s="2465">
        <v>0</v>
      </c>
      <c r="I106" s="2466">
        <v>7</v>
      </c>
      <c r="J106" s="2465">
        <v>0</v>
      </c>
      <c r="K106" s="2466">
        <v>7</v>
      </c>
      <c r="L106" s="2465">
        <v>0</v>
      </c>
      <c r="M106" s="2466">
        <v>9</v>
      </c>
      <c r="N106" s="2465">
        <v>0</v>
      </c>
      <c r="O106" s="2466">
        <v>2</v>
      </c>
      <c r="P106" s="2465">
        <v>0</v>
      </c>
      <c r="Q106" s="2466">
        <v>2</v>
      </c>
      <c r="R106" s="2465">
        <v>0</v>
      </c>
      <c r="S106" s="2466">
        <v>1</v>
      </c>
      <c r="T106" s="2465">
        <v>0</v>
      </c>
      <c r="U106" s="2466">
        <v>5</v>
      </c>
      <c r="V106" s="2465">
        <v>0</v>
      </c>
      <c r="W106" s="2466">
        <v>4</v>
      </c>
      <c r="X106" s="2465">
        <v>0</v>
      </c>
      <c r="Y106" s="2466">
        <v>0</v>
      </c>
      <c r="Z106" s="2465">
        <v>0</v>
      </c>
      <c r="AA106" s="2466">
        <v>81</v>
      </c>
      <c r="AB106" s="2464">
        <v>0</v>
      </c>
      <c r="AC106" s="2464">
        <v>0</v>
      </c>
      <c r="AD106" s="2460"/>
      <c r="AE106" s="2425"/>
    </row>
    <row r="107" spans="1:31" x14ac:dyDescent="0.3">
      <c r="A107" s="1764"/>
      <c r="B107" s="2456" t="s">
        <v>232</v>
      </c>
      <c r="C107" s="2464">
        <v>2497</v>
      </c>
      <c r="D107" s="2464">
        <v>28</v>
      </c>
      <c r="E107" s="2464">
        <v>1237</v>
      </c>
      <c r="F107" s="2464">
        <v>13</v>
      </c>
      <c r="G107" s="2464">
        <v>1364</v>
      </c>
      <c r="H107" s="2464">
        <v>5</v>
      </c>
      <c r="I107" s="2464">
        <v>1468</v>
      </c>
      <c r="J107" s="2464">
        <v>16</v>
      </c>
      <c r="K107" s="2464">
        <v>794</v>
      </c>
      <c r="L107" s="2464">
        <v>11</v>
      </c>
      <c r="M107" s="2464">
        <v>437</v>
      </c>
      <c r="N107" s="2464">
        <v>4</v>
      </c>
      <c r="O107" s="2464">
        <v>267</v>
      </c>
      <c r="P107" s="2464">
        <v>4</v>
      </c>
      <c r="Q107" s="2464">
        <v>193</v>
      </c>
      <c r="R107" s="2464">
        <v>1</v>
      </c>
      <c r="S107" s="2464">
        <v>258</v>
      </c>
      <c r="T107" s="2464">
        <v>1</v>
      </c>
      <c r="U107" s="2464">
        <v>459</v>
      </c>
      <c r="V107" s="2464">
        <v>1</v>
      </c>
      <c r="W107" s="2464">
        <v>451</v>
      </c>
      <c r="X107" s="2464">
        <v>2</v>
      </c>
      <c r="Y107" s="2464">
        <v>441</v>
      </c>
      <c r="Z107" s="2464">
        <v>3</v>
      </c>
      <c r="AA107" s="2464">
        <v>9866</v>
      </c>
      <c r="AB107" s="2464">
        <v>89</v>
      </c>
      <c r="AC107" s="2464">
        <v>0.90208797891749448</v>
      </c>
      <c r="AD107" s="2460">
        <f>+AB107/AA107</f>
        <v>9.0208797891749449E-3</v>
      </c>
      <c r="AE107" s="2425"/>
    </row>
  </sheetData>
  <mergeCells count="35">
    <mergeCell ref="D31:AA31"/>
    <mergeCell ref="D2:AA2"/>
    <mergeCell ref="D3:AA3"/>
    <mergeCell ref="D4:AA4"/>
    <mergeCell ref="D29:AA29"/>
    <mergeCell ref="D30:AA30"/>
    <mergeCell ref="Y38:Z38"/>
    <mergeCell ref="C38:D38"/>
    <mergeCell ref="E38:F38"/>
    <mergeCell ref="G38:H38"/>
    <mergeCell ref="I38:J38"/>
    <mergeCell ref="K38:L38"/>
    <mergeCell ref="M38:N38"/>
    <mergeCell ref="O38:P38"/>
    <mergeCell ref="Q38:R38"/>
    <mergeCell ref="S38:T38"/>
    <mergeCell ref="U38:V38"/>
    <mergeCell ref="W38:X38"/>
    <mergeCell ref="Y53:Z53"/>
    <mergeCell ref="C53:D53"/>
    <mergeCell ref="E53:F53"/>
    <mergeCell ref="G53:H53"/>
    <mergeCell ref="I53:J53"/>
    <mergeCell ref="K53:L53"/>
    <mergeCell ref="M53:N53"/>
    <mergeCell ref="O53:P53"/>
    <mergeCell ref="Q53:R53"/>
    <mergeCell ref="S53:T53"/>
    <mergeCell ref="U53:V53"/>
    <mergeCell ref="W53:X53"/>
    <mergeCell ref="Q66:R66"/>
    <mergeCell ref="S66:T66"/>
    <mergeCell ref="U66:V66"/>
    <mergeCell ref="W66:X66"/>
    <mergeCell ref="Y66:Z66"/>
  </mergeCells>
  <pageMargins left="0.74803149606299202" right="0.74803149606299202" top="0.98425196850393704" bottom="0.98425196850393704" header="0.511811023622047" footer="0.511811023622047"/>
  <pageSetup paperSize="9" scale="58"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F2AD-0053-4625-823C-EB77D6524367}">
  <sheetPr>
    <tabColor rgb="FF00B0F0"/>
    <pageSetUpPr fitToPage="1"/>
  </sheetPr>
  <dimension ref="A1:W55"/>
  <sheetViews>
    <sheetView showGridLines="0" view="pageBreakPreview" zoomScale="110" zoomScaleNormal="100" zoomScaleSheetLayoutView="110" workbookViewId="0">
      <selection activeCell="X9" sqref="X9"/>
    </sheetView>
  </sheetViews>
  <sheetFormatPr defaultColWidth="9.1796875" defaultRowHeight="14.5" x14ac:dyDescent="0.35"/>
  <cols>
    <col min="1" max="1" width="3.7265625" style="819" customWidth="1"/>
    <col min="2" max="2" width="14.453125" style="2077" customWidth="1"/>
    <col min="3" max="3" width="3.7265625" style="2077" customWidth="1"/>
    <col min="4" max="4" width="20.54296875" style="140" customWidth="1"/>
    <col min="5" max="5" width="3.26953125" style="140" customWidth="1"/>
    <col min="6" max="17" width="9.26953125" style="140" customWidth="1"/>
    <col min="18" max="16384" width="9.1796875" style="140"/>
  </cols>
  <sheetData>
    <row r="1" spans="1:23" x14ac:dyDescent="0.35">
      <c r="D1" s="2078"/>
      <c r="E1" s="2078"/>
      <c r="F1" s="2078"/>
      <c r="G1" s="2078"/>
      <c r="H1" s="2078"/>
      <c r="I1" s="2078"/>
      <c r="J1" s="2078"/>
      <c r="K1" s="2078"/>
      <c r="L1" s="2078"/>
      <c r="M1" s="2078"/>
      <c r="N1" s="2078"/>
      <c r="O1" s="2078"/>
    </row>
    <row r="2" spans="1:23" ht="14.5" customHeight="1" x14ac:dyDescent="0.35">
      <c r="A2" s="819">
        <v>1</v>
      </c>
      <c r="B2" s="819" t="s">
        <v>0</v>
      </c>
      <c r="C2" s="819">
        <v>41</v>
      </c>
      <c r="D2" s="4642" t="s">
        <v>951</v>
      </c>
      <c r="E2" s="4643"/>
      <c r="F2" s="4643"/>
      <c r="G2" s="4643"/>
      <c r="H2" s="4643"/>
      <c r="I2" s="4643"/>
      <c r="J2" s="4643"/>
      <c r="K2" s="4643"/>
      <c r="L2" s="4643"/>
      <c r="M2" s="4643"/>
      <c r="N2" s="4643"/>
      <c r="O2" s="4643"/>
      <c r="P2" s="4643"/>
      <c r="Q2" s="4643"/>
      <c r="R2" s="4643"/>
      <c r="S2" s="4643"/>
      <c r="T2" s="4643"/>
      <c r="U2" s="4644"/>
      <c r="V2" s="2470"/>
      <c r="W2" s="2470"/>
    </row>
    <row r="3" spans="1:23" x14ac:dyDescent="0.35">
      <c r="A3" s="819">
        <v>2</v>
      </c>
      <c r="B3" s="819" t="s">
        <v>2</v>
      </c>
      <c r="C3" s="819"/>
      <c r="D3" s="4642" t="s">
        <v>952</v>
      </c>
      <c r="E3" s="4643"/>
      <c r="F3" s="4643"/>
      <c r="G3" s="4643"/>
      <c r="H3" s="4643"/>
      <c r="I3" s="4643"/>
      <c r="J3" s="4643"/>
      <c r="K3" s="4643"/>
      <c r="L3" s="4643"/>
      <c r="M3" s="4643"/>
      <c r="N3" s="4643"/>
      <c r="O3" s="4643"/>
      <c r="P3" s="4643"/>
      <c r="Q3" s="4643"/>
      <c r="R3" s="4643"/>
      <c r="S3" s="4643"/>
      <c r="T3" s="4643"/>
      <c r="U3" s="4644"/>
    </row>
    <row r="4" spans="1:23" ht="15" customHeight="1" x14ac:dyDescent="0.35">
      <c r="A4" s="819">
        <v>3</v>
      </c>
      <c r="B4" s="819" t="s">
        <v>4</v>
      </c>
      <c r="C4" s="819"/>
      <c r="D4" s="4642" t="s">
        <v>953</v>
      </c>
      <c r="E4" s="4643"/>
      <c r="F4" s="4643"/>
      <c r="G4" s="4643"/>
      <c r="H4" s="4643"/>
      <c r="I4" s="4643"/>
      <c r="J4" s="4643"/>
      <c r="K4" s="4643"/>
      <c r="L4" s="4643"/>
      <c r="M4" s="4643"/>
      <c r="N4" s="4643"/>
      <c r="O4" s="4643"/>
      <c r="P4" s="4643"/>
      <c r="Q4" s="4643"/>
      <c r="R4" s="4643"/>
      <c r="S4" s="4643"/>
      <c r="T4" s="4643"/>
      <c r="U4" s="4644"/>
    </row>
    <row r="5" spans="1:23" x14ac:dyDescent="0.35">
      <c r="A5" s="140"/>
      <c r="B5" s="140"/>
      <c r="C5" s="1192"/>
    </row>
    <row r="6" spans="1:23" x14ac:dyDescent="0.35">
      <c r="A6" s="819">
        <v>5</v>
      </c>
      <c r="B6" s="1192" t="s">
        <v>6</v>
      </c>
      <c r="D6" s="90" t="s">
        <v>7</v>
      </c>
      <c r="E6" s="90"/>
      <c r="F6" s="90" t="s">
        <v>954</v>
      </c>
      <c r="G6" s="90"/>
      <c r="H6" s="90"/>
      <c r="I6" s="90"/>
      <c r="J6" s="90"/>
      <c r="K6" s="90"/>
      <c r="L6" s="90"/>
      <c r="M6" s="89"/>
      <c r="N6" s="89"/>
      <c r="O6" s="89"/>
      <c r="P6" s="1427"/>
    </row>
    <row r="7" spans="1:23" x14ac:dyDescent="0.35">
      <c r="D7" s="2131"/>
      <c r="E7" s="2471" t="s">
        <v>97</v>
      </c>
      <c r="F7" s="2472">
        <v>2002</v>
      </c>
      <c r="G7" s="2472">
        <v>2003</v>
      </c>
      <c r="H7" s="2472">
        <v>2004</v>
      </c>
      <c r="I7" s="2472">
        <v>2005</v>
      </c>
      <c r="J7" s="2472">
        <v>2006</v>
      </c>
      <c r="K7" s="2472">
        <v>2007</v>
      </c>
      <c r="L7" s="2473">
        <v>2008</v>
      </c>
      <c r="M7" s="2474">
        <v>2009</v>
      </c>
      <c r="N7" s="2474">
        <v>2010</v>
      </c>
      <c r="O7" s="2474">
        <v>2011</v>
      </c>
      <c r="P7" s="2475">
        <v>2012</v>
      </c>
      <c r="Q7" s="2475">
        <v>2013</v>
      </c>
      <c r="R7" s="2475">
        <v>2014</v>
      </c>
      <c r="S7" s="2475">
        <v>2015</v>
      </c>
      <c r="T7" s="2476">
        <v>2016</v>
      </c>
      <c r="U7" s="2476">
        <v>2017</v>
      </c>
      <c r="V7" s="2476">
        <v>2018</v>
      </c>
    </row>
    <row r="8" spans="1:23" x14ac:dyDescent="0.35">
      <c r="B8" s="4820"/>
      <c r="C8" s="2477"/>
      <c r="D8" s="217" t="s">
        <v>955</v>
      </c>
      <c r="E8" s="217"/>
      <c r="F8" s="2478">
        <v>7.3</v>
      </c>
      <c r="G8" s="2478">
        <v>11.6</v>
      </c>
      <c r="H8" s="2478">
        <v>11.5</v>
      </c>
      <c r="I8" s="2478">
        <v>14.3</v>
      </c>
      <c r="J8" s="2478">
        <v>16</v>
      </c>
      <c r="K8" s="2478">
        <v>16.100000000000001</v>
      </c>
      <c r="L8" s="2479">
        <v>16.7</v>
      </c>
      <c r="M8" s="2480">
        <v>29.8</v>
      </c>
      <c r="N8" s="2480">
        <v>32.200000000000003</v>
      </c>
      <c r="O8" s="2480">
        <v>34.5</v>
      </c>
      <c r="P8" s="2481">
        <v>36.5</v>
      </c>
      <c r="Q8" s="2481">
        <v>44.7</v>
      </c>
      <c r="R8" s="2481">
        <v>48.3</v>
      </c>
      <c r="S8" s="2481">
        <v>45.7</v>
      </c>
      <c r="T8" s="2482">
        <v>40.4</v>
      </c>
      <c r="U8" s="2482">
        <v>42.2</v>
      </c>
      <c r="V8" s="2482">
        <v>44.3</v>
      </c>
    </row>
    <row r="9" spans="1:23" ht="13.5" customHeight="1" x14ac:dyDescent="0.35">
      <c r="B9" s="4820"/>
      <c r="C9" s="2082"/>
      <c r="D9" s="217" t="s">
        <v>956</v>
      </c>
      <c r="E9" s="217"/>
      <c r="F9" s="2478"/>
      <c r="G9" s="2478"/>
      <c r="H9" s="2478"/>
      <c r="I9" s="2478"/>
      <c r="J9" s="2478"/>
      <c r="K9" s="2478"/>
      <c r="L9" s="2479"/>
      <c r="M9" s="2480">
        <v>60</v>
      </c>
      <c r="N9" s="2483">
        <v>64</v>
      </c>
      <c r="O9" s="2480">
        <v>66</v>
      </c>
      <c r="P9" s="2481">
        <v>67.387887449672405</v>
      </c>
      <c r="Q9" s="2481">
        <v>71.275629761606439</v>
      </c>
      <c r="R9" s="2481">
        <v>73.400000000000006</v>
      </c>
      <c r="S9" s="2481">
        <v>70.8</v>
      </c>
      <c r="T9" s="2484">
        <v>70.599999999999994</v>
      </c>
      <c r="U9" s="2484">
        <v>71.099999999999994</v>
      </c>
      <c r="V9" s="2484">
        <v>71.8</v>
      </c>
    </row>
    <row r="10" spans="1:23" ht="13.5" customHeight="1" x14ac:dyDescent="0.35">
      <c r="B10" s="4586"/>
      <c r="C10" s="2082"/>
      <c r="D10" s="217" t="s">
        <v>957</v>
      </c>
      <c r="E10" s="217"/>
      <c r="F10" s="2478">
        <v>39.299999999999997</v>
      </c>
      <c r="G10" s="2478">
        <v>48.1</v>
      </c>
      <c r="H10" s="2478">
        <v>51.9</v>
      </c>
      <c r="I10" s="2478">
        <v>59.3</v>
      </c>
      <c r="J10" s="2478">
        <v>61.6</v>
      </c>
      <c r="K10" s="2478">
        <v>60.2</v>
      </c>
      <c r="L10" s="2479">
        <v>63.2</v>
      </c>
      <c r="M10" s="2480">
        <v>78.3</v>
      </c>
      <c r="N10" s="2483">
        <v>83.4</v>
      </c>
      <c r="O10" s="2480">
        <v>84.8</v>
      </c>
      <c r="P10" s="2481">
        <v>84.6</v>
      </c>
      <c r="Q10" s="2481">
        <v>85.3</v>
      </c>
      <c r="R10" s="2481">
        <v>87.2</v>
      </c>
      <c r="S10" s="2481">
        <v>85.8</v>
      </c>
      <c r="T10" s="2484">
        <v>88.1</v>
      </c>
      <c r="U10" s="2484">
        <v>88</v>
      </c>
      <c r="V10" s="2484">
        <v>85.4</v>
      </c>
    </row>
    <row r="11" spans="1:23" ht="13" customHeight="1" x14ac:dyDescent="0.35">
      <c r="B11" s="4586"/>
      <c r="C11" s="2082"/>
      <c r="D11" s="217" t="s">
        <v>958</v>
      </c>
      <c r="E11" s="1427"/>
      <c r="F11" s="2485"/>
      <c r="G11" s="2485"/>
      <c r="H11" s="2485"/>
      <c r="I11" s="2485"/>
      <c r="J11" s="2485"/>
      <c r="K11" s="2485"/>
      <c r="L11" s="2485"/>
      <c r="M11" s="2480">
        <v>94.791239000000004</v>
      </c>
      <c r="N11" s="2483">
        <v>96.097873000000007</v>
      </c>
      <c r="O11" s="2481">
        <v>95.457340000000002</v>
      </c>
      <c r="P11" s="2481">
        <v>95.849581000000001</v>
      </c>
      <c r="Q11" s="2481">
        <v>95.459684999999993</v>
      </c>
      <c r="R11" s="2481">
        <v>95.888360000000006</v>
      </c>
      <c r="S11" s="2481">
        <v>98.2</v>
      </c>
      <c r="T11" s="2481">
        <v>97.3</v>
      </c>
      <c r="U11" s="2481">
        <v>96.6</v>
      </c>
      <c r="V11" s="2481">
        <v>97.3</v>
      </c>
    </row>
    <row r="12" spans="1:23" hidden="1" x14ac:dyDescent="0.35">
      <c r="B12" s="4586"/>
      <c r="C12" s="2105"/>
      <c r="D12" s="89" t="s">
        <v>959</v>
      </c>
      <c r="E12" s="89"/>
      <c r="F12" s="2486"/>
      <c r="G12" s="2486"/>
      <c r="H12" s="2486"/>
      <c r="I12" s="2486"/>
      <c r="J12" s="2486"/>
      <c r="K12" s="2486"/>
      <c r="L12" s="2486"/>
      <c r="M12" s="2480">
        <v>122.8</v>
      </c>
      <c r="N12" s="2483">
        <v>113.2</v>
      </c>
      <c r="O12" s="2481">
        <v>112.1</v>
      </c>
      <c r="P12" s="2481">
        <v>111.6502232873722</v>
      </c>
      <c r="Q12" s="2481">
        <v>104.64002801243709</v>
      </c>
      <c r="R12" s="2481">
        <v>101.4</v>
      </c>
      <c r="S12" s="2481">
        <v>108.2</v>
      </c>
      <c r="T12" s="2481">
        <v>95.4</v>
      </c>
      <c r="U12" s="2481"/>
      <c r="V12" s="2481"/>
    </row>
    <row r="13" spans="1:23" ht="21.5" x14ac:dyDescent="0.35">
      <c r="B13" s="4586"/>
      <c r="C13" s="2105"/>
      <c r="D13" s="2487" t="s">
        <v>960</v>
      </c>
      <c r="E13" s="90"/>
      <c r="F13" s="2098"/>
      <c r="G13" s="2098"/>
      <c r="H13" s="2098"/>
      <c r="I13" s="2098"/>
      <c r="J13" s="2098"/>
      <c r="K13" s="2098"/>
      <c r="L13" s="2098"/>
      <c r="M13" s="2099">
        <v>97.1</v>
      </c>
      <c r="N13" s="2488">
        <v>94.8</v>
      </c>
      <c r="O13" s="2489">
        <v>95</v>
      </c>
      <c r="P13" s="2489">
        <v>92.2</v>
      </c>
      <c r="Q13" s="2489">
        <v>94.9</v>
      </c>
      <c r="R13" s="2489">
        <v>94.8</v>
      </c>
      <c r="S13" s="2489">
        <v>94.8</v>
      </c>
      <c r="T13" s="2489">
        <v>93.9</v>
      </c>
      <c r="U13" s="2489">
        <v>94.4</v>
      </c>
      <c r="V13" s="2489">
        <v>94.1</v>
      </c>
    </row>
    <row r="14" spans="1:23" hidden="1" x14ac:dyDescent="0.35">
      <c r="B14" s="4586"/>
      <c r="C14" s="2105"/>
      <c r="D14" s="89"/>
      <c r="E14" s="89"/>
      <c r="F14" s="808"/>
      <c r="G14" s="808"/>
      <c r="H14" s="808"/>
      <c r="I14" s="808"/>
      <c r="J14" s="808"/>
      <c r="K14" s="808"/>
      <c r="L14" s="808"/>
      <c r="M14" s="808"/>
      <c r="N14" s="808"/>
      <c r="O14" s="808"/>
      <c r="Q14" s="2086"/>
      <c r="R14" s="2087"/>
    </row>
    <row r="15" spans="1:23" hidden="1" x14ac:dyDescent="0.35">
      <c r="B15" s="4586"/>
      <c r="C15" s="2105"/>
      <c r="D15" s="90" t="s">
        <v>35</v>
      </c>
      <c r="E15" s="90"/>
      <c r="F15" s="90" t="s">
        <v>961</v>
      </c>
      <c r="G15" s="2106"/>
      <c r="H15" s="2106"/>
      <c r="I15" s="90"/>
      <c r="J15" s="90"/>
      <c r="K15" s="90"/>
      <c r="L15" s="89"/>
      <c r="M15" s="89"/>
      <c r="N15" s="89"/>
      <c r="O15" s="89"/>
      <c r="Q15" s="2086"/>
      <c r="R15" s="2087"/>
    </row>
    <row r="16" spans="1:23" ht="21.75" hidden="1" customHeight="1" x14ac:dyDescent="0.35">
      <c r="B16" s="4586"/>
      <c r="C16" s="2105"/>
      <c r="D16" s="1270"/>
      <c r="E16" s="1270"/>
      <c r="F16" s="4862" t="s">
        <v>962</v>
      </c>
      <c r="G16" s="4863"/>
      <c r="H16" s="4864"/>
      <c r="I16" s="4862" t="s">
        <v>963</v>
      </c>
      <c r="J16" s="4863"/>
      <c r="K16" s="4864"/>
      <c r="L16" s="808"/>
      <c r="M16" s="808"/>
      <c r="N16" s="808"/>
      <c r="O16" s="808"/>
      <c r="Q16" s="2086"/>
      <c r="R16" s="2087"/>
    </row>
    <row r="17" spans="1:18" ht="21.65" hidden="1" customHeight="1" x14ac:dyDescent="0.35">
      <c r="B17" s="4586"/>
      <c r="C17" s="2105"/>
      <c r="D17" s="1272"/>
      <c r="E17" s="1272"/>
      <c r="F17" s="1272">
        <v>2009</v>
      </c>
      <c r="G17" s="2490">
        <v>2010</v>
      </c>
      <c r="H17" s="2490">
        <v>2011</v>
      </c>
      <c r="I17" s="1290">
        <v>2009</v>
      </c>
      <c r="J17" s="2491">
        <v>2010</v>
      </c>
      <c r="K17" s="2491">
        <v>2011</v>
      </c>
      <c r="L17" s="808"/>
      <c r="M17" s="808"/>
      <c r="N17" s="808"/>
      <c r="O17" s="808"/>
      <c r="Q17" s="2086"/>
      <c r="R17" s="2087"/>
    </row>
    <row r="18" spans="1:18" hidden="1" x14ac:dyDescent="0.35">
      <c r="B18" s="4586"/>
      <c r="C18" s="2105"/>
      <c r="D18" s="2044" t="s">
        <v>402</v>
      </c>
      <c r="E18" s="2044"/>
      <c r="F18" s="2492">
        <v>66.2</v>
      </c>
      <c r="G18" s="2493">
        <v>69.8</v>
      </c>
      <c r="H18" s="2493">
        <v>71.400000000000006</v>
      </c>
      <c r="I18" s="2494">
        <v>147.30000000000001</v>
      </c>
      <c r="J18" s="2495">
        <v>134.4</v>
      </c>
      <c r="K18" s="2495">
        <v>111.86137247341033</v>
      </c>
      <c r="L18" s="808"/>
      <c r="M18" s="808"/>
      <c r="N18" s="808"/>
      <c r="O18" s="808"/>
      <c r="Q18" s="2086"/>
      <c r="R18" s="2087"/>
    </row>
    <row r="19" spans="1:18" hidden="1" x14ac:dyDescent="0.35">
      <c r="B19" s="4586"/>
      <c r="C19" s="2105"/>
      <c r="D19" s="2044" t="s">
        <v>404</v>
      </c>
      <c r="E19" s="2044"/>
      <c r="F19" s="2492">
        <v>7.1</v>
      </c>
      <c r="G19" s="2493">
        <v>63.2</v>
      </c>
      <c r="H19" s="2493">
        <v>70.900000000000006</v>
      </c>
      <c r="I19" s="2494">
        <v>118.7</v>
      </c>
      <c r="J19" s="2495">
        <v>93.1</v>
      </c>
      <c r="K19" s="2495">
        <v>106.52713575706071</v>
      </c>
      <c r="L19" s="808"/>
      <c r="M19" s="808"/>
      <c r="N19" s="808"/>
      <c r="O19" s="808"/>
      <c r="Q19" s="2086"/>
      <c r="R19" s="2087"/>
    </row>
    <row r="20" spans="1:18" hidden="1" x14ac:dyDescent="0.35">
      <c r="B20" s="4586"/>
      <c r="C20" s="2105"/>
      <c r="D20" s="2044" t="s">
        <v>407</v>
      </c>
      <c r="E20" s="2044"/>
      <c r="F20" s="2492">
        <v>68.3</v>
      </c>
      <c r="G20" s="2493">
        <v>70.099999999999994</v>
      </c>
      <c r="H20" s="2493">
        <v>73.400000000000006</v>
      </c>
      <c r="I20" s="2494">
        <v>121.1</v>
      </c>
      <c r="J20" s="2495">
        <v>112</v>
      </c>
      <c r="K20" s="2495">
        <v>94.110006680386121</v>
      </c>
      <c r="L20" s="808"/>
      <c r="M20" s="808"/>
      <c r="N20" s="808"/>
      <c r="O20" s="808"/>
      <c r="Q20" s="2086"/>
      <c r="R20" s="2087"/>
    </row>
    <row r="21" spans="1:18" hidden="1" x14ac:dyDescent="0.35">
      <c r="D21" s="2044" t="s">
        <v>405</v>
      </c>
      <c r="E21" s="2044"/>
      <c r="F21" s="2492">
        <v>50</v>
      </c>
      <c r="G21" s="2493">
        <v>59.6</v>
      </c>
      <c r="H21" s="2493">
        <v>53.1</v>
      </c>
      <c r="I21" s="2494">
        <v>134.19999999999999</v>
      </c>
      <c r="J21" s="2495">
        <v>111.7</v>
      </c>
      <c r="K21" s="2495">
        <v>139.75708248778136</v>
      </c>
      <c r="L21" s="109"/>
      <c r="M21" s="109"/>
      <c r="N21" s="109"/>
      <c r="O21" s="109"/>
      <c r="Q21" s="2086"/>
      <c r="R21" s="2087"/>
    </row>
    <row r="22" spans="1:18" hidden="1" x14ac:dyDescent="0.35">
      <c r="D22" s="2044" t="s">
        <v>409</v>
      </c>
      <c r="E22" s="2044"/>
      <c r="F22" s="2492">
        <v>67.8</v>
      </c>
      <c r="G22" s="2493">
        <v>70.599999999999994</v>
      </c>
      <c r="H22" s="2493">
        <v>75.5</v>
      </c>
      <c r="I22" s="2494">
        <v>106.2</v>
      </c>
      <c r="J22" s="2495">
        <v>120</v>
      </c>
      <c r="K22" s="2495">
        <v>113.68510549561589</v>
      </c>
      <c r="L22" s="109"/>
      <c r="M22" s="109"/>
      <c r="N22" s="109"/>
      <c r="O22" s="109"/>
      <c r="Q22" s="2086"/>
      <c r="R22" s="2087"/>
    </row>
    <row r="23" spans="1:18" hidden="1" x14ac:dyDescent="0.35">
      <c r="D23" s="2044" t="s">
        <v>408</v>
      </c>
      <c r="E23" s="2044"/>
      <c r="F23" s="2492">
        <v>59.7</v>
      </c>
      <c r="G23" s="2493">
        <v>58.8</v>
      </c>
      <c r="H23" s="2493">
        <v>66.3</v>
      </c>
      <c r="I23" s="2494">
        <v>123.1</v>
      </c>
      <c r="J23" s="2495">
        <v>105.9</v>
      </c>
      <c r="K23" s="2495">
        <v>104.27941598012262</v>
      </c>
      <c r="L23" s="109"/>
      <c r="M23" s="109"/>
      <c r="N23" s="109"/>
      <c r="O23" s="109"/>
      <c r="Q23" s="2086"/>
      <c r="R23" s="2087"/>
    </row>
    <row r="24" spans="1:18" hidden="1" x14ac:dyDescent="0.35">
      <c r="D24" s="2044" t="s">
        <v>403</v>
      </c>
      <c r="E24" s="2044"/>
      <c r="F24" s="2492">
        <v>48.6</v>
      </c>
      <c r="G24" s="2493">
        <v>56</v>
      </c>
      <c r="H24" s="2493">
        <v>62.8</v>
      </c>
      <c r="I24" s="2494">
        <v>98.4</v>
      </c>
      <c r="J24" s="2495">
        <v>90.7</v>
      </c>
      <c r="K24" s="2495">
        <v>109.11354786418659</v>
      </c>
      <c r="L24" s="109"/>
      <c r="M24" s="109"/>
      <c r="N24" s="109"/>
      <c r="O24" s="109"/>
      <c r="Q24" s="2086"/>
      <c r="R24" s="2087"/>
    </row>
    <row r="25" spans="1:18" hidden="1" x14ac:dyDescent="0.35">
      <c r="D25" s="2044" t="s">
        <v>406</v>
      </c>
      <c r="E25" s="2044"/>
      <c r="F25" s="2492">
        <v>55.5</v>
      </c>
      <c r="G25" s="2493">
        <v>51.5</v>
      </c>
      <c r="H25" s="2493">
        <v>54.2</v>
      </c>
      <c r="I25" s="2494">
        <v>106.1</v>
      </c>
      <c r="J25" s="2495">
        <v>161.4</v>
      </c>
      <c r="K25" s="2495">
        <v>130.32400695853869</v>
      </c>
      <c r="L25" s="109"/>
      <c r="M25" s="109"/>
      <c r="N25" s="109"/>
      <c r="O25" s="109"/>
      <c r="Q25" s="2086"/>
      <c r="R25" s="2087"/>
    </row>
    <row r="26" spans="1:18" hidden="1" x14ac:dyDescent="0.35">
      <c r="D26" s="2044" t="s">
        <v>401</v>
      </c>
      <c r="E26" s="2044"/>
      <c r="F26" s="2492">
        <v>55.2</v>
      </c>
      <c r="G26" s="2493">
        <v>59.9</v>
      </c>
      <c r="H26" s="2493">
        <v>62.4</v>
      </c>
      <c r="I26" s="2494">
        <v>111.7</v>
      </c>
      <c r="J26" s="2495">
        <v>106.3</v>
      </c>
      <c r="K26" s="2495">
        <v>94.4536169782954</v>
      </c>
      <c r="L26" s="109"/>
      <c r="M26" s="109"/>
      <c r="N26" s="109"/>
      <c r="O26" s="109"/>
      <c r="Q26" s="2086"/>
      <c r="R26" s="2087"/>
    </row>
    <row r="27" spans="1:18" hidden="1" x14ac:dyDescent="0.35">
      <c r="C27" s="2105"/>
      <c r="D27" s="2496" t="s">
        <v>306</v>
      </c>
      <c r="E27" s="2496"/>
      <c r="F27" s="2497">
        <v>60</v>
      </c>
      <c r="G27" s="2498">
        <v>64</v>
      </c>
      <c r="H27" s="2498">
        <v>66</v>
      </c>
      <c r="I27" s="2124">
        <v>122.8</v>
      </c>
      <c r="J27" s="2123">
        <v>113.2</v>
      </c>
      <c r="K27" s="2123">
        <v>112.08118283120878</v>
      </c>
      <c r="L27" s="109"/>
      <c r="M27" s="109"/>
      <c r="N27" s="109"/>
      <c r="O27" s="109"/>
      <c r="Q27" s="2086"/>
      <c r="R27" s="2087"/>
    </row>
    <row r="28" spans="1:18" hidden="1" x14ac:dyDescent="0.35">
      <c r="C28" s="2105"/>
      <c r="D28" s="2044"/>
      <c r="E28" s="2044"/>
      <c r="F28" s="2492"/>
      <c r="G28" s="2492"/>
      <c r="H28" s="2492"/>
      <c r="I28" s="2492"/>
      <c r="J28" s="2492"/>
      <c r="K28" s="2492"/>
      <c r="L28" s="109"/>
      <c r="M28" s="109"/>
      <c r="N28" s="109"/>
      <c r="O28" s="109"/>
      <c r="Q28" s="2086"/>
      <c r="R28" s="2087"/>
    </row>
    <row r="29" spans="1:18" x14ac:dyDescent="0.35">
      <c r="A29" s="140"/>
      <c r="B29" s="140"/>
      <c r="C29" s="819"/>
      <c r="D29" s="2044"/>
      <c r="E29" s="2078"/>
      <c r="F29" s="109"/>
      <c r="G29" s="109"/>
      <c r="H29" s="109"/>
      <c r="I29" s="109"/>
      <c r="J29" s="109"/>
      <c r="K29" s="109"/>
      <c r="L29" s="109"/>
      <c r="M29" s="109"/>
      <c r="N29" s="109"/>
      <c r="O29" s="109"/>
    </row>
    <row r="30" spans="1:18" x14ac:dyDescent="0.35">
      <c r="A30" s="819">
        <v>6</v>
      </c>
      <c r="B30" s="819" t="s">
        <v>56</v>
      </c>
      <c r="D30" s="2078"/>
      <c r="E30" s="2078"/>
      <c r="F30" s="109"/>
      <c r="G30" s="109"/>
      <c r="H30" s="109"/>
      <c r="I30" s="109"/>
      <c r="J30" s="109"/>
      <c r="K30" s="109"/>
      <c r="L30" s="109"/>
      <c r="M30" s="109"/>
      <c r="N30" s="109"/>
      <c r="O30" s="109"/>
    </row>
    <row r="31" spans="1:18" x14ac:dyDescent="0.35">
      <c r="B31" s="4586"/>
      <c r="D31" s="2078"/>
      <c r="E31" s="2078"/>
      <c r="F31" s="109"/>
      <c r="G31" s="109"/>
      <c r="H31" s="109"/>
      <c r="I31" s="109"/>
      <c r="J31" s="109"/>
      <c r="K31" s="109"/>
      <c r="L31" s="109"/>
      <c r="M31" s="109"/>
      <c r="N31" s="109"/>
      <c r="O31" s="109"/>
    </row>
    <row r="32" spans="1:18" x14ac:dyDescent="0.35">
      <c r="B32" s="4586"/>
      <c r="D32" s="2078"/>
      <c r="E32" s="2078"/>
      <c r="F32" s="109"/>
      <c r="G32" s="109"/>
      <c r="H32" s="109"/>
      <c r="I32" s="109"/>
      <c r="J32" s="109"/>
      <c r="K32" s="109"/>
      <c r="L32" s="109"/>
      <c r="M32" s="109"/>
      <c r="N32" s="109"/>
      <c r="O32" s="109"/>
    </row>
    <row r="33" spans="1:21" x14ac:dyDescent="0.35">
      <c r="B33" s="4586"/>
      <c r="D33" s="2078"/>
      <c r="E33" s="2078"/>
      <c r="F33" s="109"/>
      <c r="G33" s="109"/>
      <c r="H33" s="109"/>
      <c r="I33" s="109"/>
      <c r="J33" s="109"/>
      <c r="K33" s="109"/>
      <c r="L33" s="109"/>
      <c r="M33" s="109"/>
      <c r="N33" s="109"/>
      <c r="O33" s="109"/>
    </row>
    <row r="34" spans="1:21" x14ac:dyDescent="0.35">
      <c r="B34" s="4586"/>
      <c r="D34" s="2078"/>
      <c r="E34" s="2078"/>
      <c r="F34" s="109"/>
      <c r="G34" s="109"/>
      <c r="H34" s="109"/>
      <c r="I34" s="109"/>
      <c r="J34" s="109"/>
      <c r="K34" s="109"/>
      <c r="L34" s="109"/>
      <c r="M34" s="109"/>
      <c r="N34" s="109"/>
      <c r="O34" s="109"/>
    </row>
    <row r="35" spans="1:21" x14ac:dyDescent="0.35">
      <c r="B35" s="4586"/>
      <c r="D35" s="2078"/>
      <c r="E35" s="2078"/>
      <c r="F35" s="109"/>
      <c r="G35" s="109"/>
      <c r="H35" s="109"/>
      <c r="I35" s="109"/>
      <c r="J35" s="109"/>
      <c r="K35" s="109"/>
      <c r="L35" s="109"/>
      <c r="M35" s="109"/>
      <c r="N35" s="109"/>
      <c r="O35" s="109"/>
    </row>
    <row r="36" spans="1:21" x14ac:dyDescent="0.35">
      <c r="B36" s="4586"/>
      <c r="D36" s="2078"/>
      <c r="E36" s="2078"/>
      <c r="F36" s="109"/>
      <c r="G36" s="109"/>
      <c r="H36" s="109"/>
      <c r="I36" s="109"/>
      <c r="J36" s="109"/>
      <c r="K36" s="109"/>
      <c r="L36" s="109"/>
      <c r="M36" s="109"/>
      <c r="N36" s="109"/>
      <c r="O36" s="109"/>
    </row>
    <row r="37" spans="1:21" x14ac:dyDescent="0.35">
      <c r="B37" s="4586"/>
      <c r="D37" s="2078"/>
      <c r="E37" s="2078"/>
      <c r="F37" s="109"/>
      <c r="G37" s="109"/>
      <c r="H37" s="109"/>
      <c r="I37" s="109"/>
      <c r="J37" s="109"/>
      <c r="K37" s="109"/>
      <c r="L37" s="109"/>
      <c r="M37" s="109"/>
      <c r="N37" s="109"/>
      <c r="O37" s="109"/>
    </row>
    <row r="38" spans="1:21" x14ac:dyDescent="0.35">
      <c r="B38" s="4586"/>
      <c r="D38" s="2078"/>
      <c r="E38" s="2078"/>
      <c r="F38" s="109"/>
      <c r="G38" s="109"/>
      <c r="H38" s="109"/>
      <c r="I38" s="109"/>
      <c r="J38" s="109"/>
      <c r="K38" s="109"/>
      <c r="L38" s="109"/>
      <c r="M38" s="109"/>
      <c r="N38" s="109"/>
      <c r="O38" s="109"/>
    </row>
    <row r="39" spans="1:21" x14ac:dyDescent="0.35">
      <c r="B39" s="4586"/>
      <c r="D39" s="2078"/>
      <c r="E39" s="2078"/>
      <c r="F39" s="109"/>
      <c r="G39" s="109"/>
      <c r="H39" s="109"/>
      <c r="I39" s="109"/>
      <c r="J39" s="109"/>
      <c r="K39" s="109"/>
      <c r="L39" s="109"/>
      <c r="M39" s="109"/>
      <c r="N39" s="109"/>
      <c r="O39" s="109"/>
    </row>
    <row r="40" spans="1:21" x14ac:dyDescent="0.35">
      <c r="D40" s="2078"/>
      <c r="E40" s="2078"/>
      <c r="F40" s="109"/>
      <c r="G40" s="109"/>
      <c r="H40" s="109"/>
      <c r="I40" s="109"/>
      <c r="J40" s="109"/>
      <c r="K40" s="109"/>
      <c r="L40" s="109"/>
      <c r="M40" s="109"/>
      <c r="N40" s="109"/>
      <c r="O40" s="109"/>
    </row>
    <row r="41" spans="1:21" x14ac:dyDescent="0.35">
      <c r="D41" s="2078"/>
      <c r="E41" s="2078"/>
      <c r="F41" s="109"/>
      <c r="G41" s="109"/>
      <c r="H41" s="109"/>
      <c r="I41" s="109"/>
      <c r="J41" s="109"/>
      <c r="K41" s="109"/>
      <c r="L41" s="109"/>
      <c r="M41" s="109"/>
      <c r="N41" s="109"/>
      <c r="O41" s="109"/>
    </row>
    <row r="42" spans="1:21" x14ac:dyDescent="0.35">
      <c r="B42" s="2125"/>
      <c r="C42" s="2125"/>
      <c r="D42" s="2078"/>
      <c r="E42" s="2078"/>
      <c r="F42" s="109"/>
      <c r="G42" s="109"/>
      <c r="H42" s="109"/>
      <c r="I42" s="109"/>
      <c r="J42" s="109"/>
      <c r="K42" s="109"/>
      <c r="L42" s="109"/>
      <c r="M42" s="109"/>
      <c r="N42" s="109"/>
      <c r="O42" s="109"/>
    </row>
    <row r="43" spans="1:21" x14ac:dyDescent="0.35">
      <c r="D43" s="2078"/>
      <c r="E43" s="2078"/>
      <c r="F43" s="109"/>
      <c r="G43" s="109"/>
      <c r="H43" s="109"/>
      <c r="I43" s="109"/>
      <c r="J43" s="109"/>
      <c r="K43" s="109"/>
      <c r="L43" s="109"/>
      <c r="M43" s="109"/>
      <c r="N43" s="109"/>
      <c r="O43" s="109"/>
    </row>
    <row r="44" spans="1:21" x14ac:dyDescent="0.35">
      <c r="D44" s="2078"/>
      <c r="E44" s="2078"/>
      <c r="F44" s="109"/>
      <c r="G44" s="109"/>
      <c r="H44" s="109"/>
      <c r="I44" s="109"/>
      <c r="J44" s="109"/>
      <c r="K44" s="109"/>
      <c r="L44" s="109"/>
      <c r="M44" s="109"/>
      <c r="N44" s="109"/>
      <c r="O44" s="109"/>
    </row>
    <row r="45" spans="1:21" x14ac:dyDescent="0.35">
      <c r="D45" s="2078"/>
      <c r="E45" s="2078"/>
      <c r="F45" s="2078"/>
      <c r="G45" s="2078"/>
      <c r="H45" s="2078"/>
      <c r="I45" s="2078"/>
      <c r="J45" s="2078"/>
      <c r="K45" s="2078"/>
      <c r="L45" s="2078"/>
      <c r="M45" s="2078"/>
      <c r="N45" s="2078"/>
      <c r="O45" s="2078"/>
    </row>
    <row r="46" spans="1:21" x14ac:dyDescent="0.35">
      <c r="D46" s="2078"/>
      <c r="E46" s="2078"/>
      <c r="F46" s="2078"/>
      <c r="G46" s="2078"/>
      <c r="H46" s="2078"/>
      <c r="I46" s="2078"/>
      <c r="J46" s="2078"/>
      <c r="K46" s="2078"/>
      <c r="L46" s="2078"/>
      <c r="M46" s="2078"/>
      <c r="N46" s="2078"/>
      <c r="O46" s="2078"/>
    </row>
    <row r="47" spans="1:21" x14ac:dyDescent="0.35">
      <c r="D47" s="2078"/>
      <c r="E47" s="2078"/>
      <c r="F47" s="2078"/>
      <c r="G47" s="2078"/>
      <c r="H47" s="2078"/>
      <c r="I47" s="2078"/>
      <c r="J47" s="2078"/>
      <c r="K47" s="2078"/>
      <c r="L47" s="2078"/>
      <c r="M47" s="2078"/>
      <c r="N47" s="2078"/>
      <c r="O47" s="2078"/>
    </row>
    <row r="48" spans="1:21" ht="16.5" customHeight="1" x14ac:dyDescent="0.35">
      <c r="A48" s="819">
        <v>7</v>
      </c>
      <c r="B48" s="819" t="s">
        <v>58</v>
      </c>
      <c r="C48" s="819"/>
      <c r="D48" s="4642" t="s">
        <v>363</v>
      </c>
      <c r="E48" s="4643"/>
      <c r="F48" s="4643"/>
      <c r="G48" s="4643"/>
      <c r="H48" s="4643"/>
      <c r="I48" s="4643"/>
      <c r="J48" s="4643"/>
      <c r="K48" s="4643"/>
      <c r="L48" s="4643"/>
      <c r="M48" s="4643"/>
      <c r="N48" s="4643"/>
      <c r="O48" s="4643"/>
      <c r="P48" s="4643"/>
      <c r="Q48" s="4643"/>
      <c r="R48" s="4643"/>
      <c r="S48" s="4643"/>
      <c r="T48" s="4643"/>
      <c r="U48" s="4644"/>
    </row>
    <row r="49" spans="1:21" ht="33.65" customHeight="1" x14ac:dyDescent="0.35">
      <c r="A49" s="870">
        <v>8</v>
      </c>
      <c r="B49" s="870" t="s">
        <v>60</v>
      </c>
      <c r="C49" s="870"/>
      <c r="D49" s="4642" t="s">
        <v>964</v>
      </c>
      <c r="E49" s="4643"/>
      <c r="F49" s="4643"/>
      <c r="G49" s="4643"/>
      <c r="H49" s="4643"/>
      <c r="I49" s="4643"/>
      <c r="J49" s="4643"/>
      <c r="K49" s="4643"/>
      <c r="L49" s="4643"/>
      <c r="M49" s="4643"/>
      <c r="N49" s="4643"/>
      <c r="O49" s="4643"/>
      <c r="P49" s="4643"/>
      <c r="Q49" s="4643"/>
      <c r="R49" s="4643"/>
      <c r="S49" s="4643"/>
      <c r="T49" s="4643"/>
      <c r="U49" s="4644"/>
    </row>
    <row r="50" spans="1:21" ht="13.5" customHeight="1" x14ac:dyDescent="0.35">
      <c r="A50" s="819">
        <v>9</v>
      </c>
      <c r="B50" s="819" t="s">
        <v>62</v>
      </c>
      <c r="C50" s="819"/>
      <c r="D50" s="4642" t="s">
        <v>965</v>
      </c>
      <c r="E50" s="4643"/>
      <c r="F50" s="4643"/>
      <c r="G50" s="4643"/>
      <c r="H50" s="4643"/>
      <c r="I50" s="4643"/>
      <c r="J50" s="4643"/>
      <c r="K50" s="4643"/>
      <c r="L50" s="4643"/>
      <c r="M50" s="4643"/>
      <c r="N50" s="4643"/>
      <c r="O50" s="4643"/>
      <c r="P50" s="4643"/>
      <c r="Q50" s="4643"/>
      <c r="R50" s="4643"/>
      <c r="S50" s="4643"/>
      <c r="T50" s="4643"/>
      <c r="U50" s="4644"/>
    </row>
    <row r="51" spans="1:21" x14ac:dyDescent="0.35">
      <c r="B51" s="819"/>
      <c r="D51" s="10"/>
      <c r="E51" s="10"/>
      <c r="F51" s="10"/>
      <c r="G51" s="10"/>
      <c r="H51" s="10"/>
      <c r="I51" s="10"/>
      <c r="J51" s="10"/>
      <c r="K51" s="10"/>
      <c r="L51" s="10"/>
      <c r="M51" s="10"/>
      <c r="N51" s="10"/>
      <c r="O51" s="10"/>
      <c r="P51" s="1427"/>
    </row>
    <row r="52" spans="1:21" x14ac:dyDescent="0.35">
      <c r="B52" s="819"/>
      <c r="D52" s="10"/>
      <c r="E52" s="10"/>
      <c r="F52" s="10"/>
      <c r="G52" s="10"/>
      <c r="H52" s="10"/>
      <c r="I52" s="10"/>
      <c r="J52" s="10"/>
      <c r="K52" s="10"/>
      <c r="L52" s="10"/>
      <c r="M52" s="10"/>
      <c r="N52" s="10"/>
      <c r="O52" s="10"/>
      <c r="P52" s="1427"/>
    </row>
    <row r="53" spans="1:21" x14ac:dyDescent="0.35">
      <c r="B53" s="819"/>
      <c r="D53" s="10"/>
      <c r="E53" s="10"/>
      <c r="F53" s="10"/>
      <c r="G53" s="10"/>
      <c r="H53" s="10"/>
      <c r="I53" s="10"/>
      <c r="J53" s="10"/>
      <c r="K53" s="10"/>
      <c r="L53" s="10"/>
      <c r="M53" s="10"/>
      <c r="N53" s="10"/>
      <c r="O53" s="10"/>
      <c r="P53" s="1427"/>
    </row>
    <row r="54" spans="1:21" x14ac:dyDescent="0.35">
      <c r="B54" s="819"/>
      <c r="D54" s="10"/>
      <c r="E54" s="10"/>
      <c r="F54" s="10"/>
      <c r="G54" s="10"/>
      <c r="H54" s="10"/>
      <c r="I54" s="10"/>
      <c r="J54" s="10"/>
      <c r="K54" s="10"/>
      <c r="L54" s="10"/>
      <c r="M54" s="10"/>
      <c r="N54" s="10"/>
      <c r="O54" s="10"/>
      <c r="P54" s="1427"/>
    </row>
    <row r="55" spans="1:21" x14ac:dyDescent="0.35">
      <c r="B55" s="819"/>
      <c r="D55" s="10"/>
      <c r="E55" s="10"/>
      <c r="F55" s="10"/>
      <c r="G55" s="10"/>
      <c r="H55" s="10"/>
      <c r="I55" s="10"/>
      <c r="J55" s="10"/>
      <c r="K55" s="10"/>
      <c r="L55" s="10"/>
      <c r="M55" s="10"/>
      <c r="N55" s="10"/>
      <c r="O55" s="10"/>
      <c r="P55" s="1427"/>
    </row>
  </sheetData>
  <mergeCells count="9">
    <mergeCell ref="D50:U50"/>
    <mergeCell ref="D2:U2"/>
    <mergeCell ref="D3:U3"/>
    <mergeCell ref="D4:U4"/>
    <mergeCell ref="B8:B9"/>
    <mergeCell ref="F16:H16"/>
    <mergeCell ref="I16:K16"/>
    <mergeCell ref="D48:U48"/>
    <mergeCell ref="D49:U49"/>
  </mergeCells>
  <pageMargins left="0.74803149606299202" right="0.74803149606299202" top="0.98425196850393704" bottom="0.98425196850393704" header="0.511811023622047" footer="0.511811023622047"/>
  <pageSetup paperSize="9" scale="6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105CA-E50C-4174-B07E-239EC9DDE647}">
  <sheetPr>
    <tabColor rgb="FF00B0F0"/>
    <pageSetUpPr fitToPage="1"/>
  </sheetPr>
  <dimension ref="A1:AU47"/>
  <sheetViews>
    <sheetView showGridLines="0" view="pageBreakPreview" zoomScale="110" zoomScaleNormal="100" zoomScaleSheetLayoutView="110" workbookViewId="0">
      <selection activeCell="D2" sqref="D2:AC2"/>
    </sheetView>
  </sheetViews>
  <sheetFormatPr defaultColWidth="9.1796875" defaultRowHeight="14.5" x14ac:dyDescent="0.35"/>
  <cols>
    <col min="1" max="1" width="3.7265625" style="819" customWidth="1"/>
    <col min="2" max="2" width="14.453125" style="2077" customWidth="1"/>
    <col min="3" max="3" width="5" style="2077" customWidth="1"/>
    <col min="4" max="4" width="17.08984375" style="140" customWidth="1"/>
    <col min="5" max="11" width="8.7265625" style="140" customWidth="1"/>
    <col min="12" max="12" width="7.90625" style="140" customWidth="1"/>
    <col min="13" max="13" width="11.453125" style="140" customWidth="1"/>
    <col min="14" max="14" width="8.7265625" style="140" customWidth="1"/>
    <col min="15" max="20" width="9.1796875" style="140"/>
    <col min="21" max="21" width="7.08984375" style="140" customWidth="1"/>
    <col min="22" max="22" width="13.26953125" style="140" customWidth="1"/>
    <col min="23" max="29" width="9.1796875" style="140"/>
    <col min="30" max="30" width="7.81640625" style="140" customWidth="1"/>
    <col min="31" max="38" width="9.1796875" style="140"/>
    <col min="39" max="39" width="8.08984375" style="140" customWidth="1"/>
    <col min="40" max="268" width="9.1796875" style="140"/>
    <col min="269" max="269" width="3.7265625" style="140" customWidth="1"/>
    <col min="270" max="270" width="14.453125" style="140" customWidth="1"/>
    <col min="271" max="271" width="3.7265625" style="140" customWidth="1"/>
    <col min="272" max="272" width="21.54296875" style="140" customWidth="1"/>
    <col min="273" max="282" width="8.7265625" style="140" customWidth="1"/>
    <col min="283" max="524" width="9.1796875" style="140"/>
    <col min="525" max="525" width="3.7265625" style="140" customWidth="1"/>
    <col min="526" max="526" width="14.453125" style="140" customWidth="1"/>
    <col min="527" max="527" width="3.7265625" style="140" customWidth="1"/>
    <col min="528" max="528" width="21.54296875" style="140" customWidth="1"/>
    <col min="529" max="538" width="8.7265625" style="140" customWidth="1"/>
    <col min="539" max="780" width="9.1796875" style="140"/>
    <col min="781" max="781" width="3.7265625" style="140" customWidth="1"/>
    <col min="782" max="782" width="14.453125" style="140" customWidth="1"/>
    <col min="783" max="783" width="3.7265625" style="140" customWidth="1"/>
    <col min="784" max="784" width="21.54296875" style="140" customWidth="1"/>
    <col min="785" max="794" width="8.7265625" style="140" customWidth="1"/>
    <col min="795" max="1036" width="9.1796875" style="140"/>
    <col min="1037" max="1037" width="3.7265625" style="140" customWidth="1"/>
    <col min="1038" max="1038" width="14.453125" style="140" customWidth="1"/>
    <col min="1039" max="1039" width="3.7265625" style="140" customWidth="1"/>
    <col min="1040" max="1040" width="21.54296875" style="140" customWidth="1"/>
    <col min="1041" max="1050" width="8.7265625" style="140" customWidth="1"/>
    <col min="1051" max="1292" width="9.1796875" style="140"/>
    <col min="1293" max="1293" width="3.7265625" style="140" customWidth="1"/>
    <col min="1294" max="1294" width="14.453125" style="140" customWidth="1"/>
    <col min="1295" max="1295" width="3.7265625" style="140" customWidth="1"/>
    <col min="1296" max="1296" width="21.54296875" style="140" customWidth="1"/>
    <col min="1297" max="1306" width="8.7265625" style="140" customWidth="1"/>
    <col min="1307" max="1548" width="9.1796875" style="140"/>
    <col min="1549" max="1549" width="3.7265625" style="140" customWidth="1"/>
    <col min="1550" max="1550" width="14.453125" style="140" customWidth="1"/>
    <col min="1551" max="1551" width="3.7265625" style="140" customWidth="1"/>
    <col min="1552" max="1552" width="21.54296875" style="140" customWidth="1"/>
    <col min="1553" max="1562" width="8.7265625" style="140" customWidth="1"/>
    <col min="1563" max="1804" width="9.1796875" style="140"/>
    <col min="1805" max="1805" width="3.7265625" style="140" customWidth="1"/>
    <col min="1806" max="1806" width="14.453125" style="140" customWidth="1"/>
    <col min="1807" max="1807" width="3.7265625" style="140" customWidth="1"/>
    <col min="1808" max="1808" width="21.54296875" style="140" customWidth="1"/>
    <col min="1809" max="1818" width="8.7265625" style="140" customWidth="1"/>
    <col min="1819" max="2060" width="9.1796875" style="140"/>
    <col min="2061" max="2061" width="3.7265625" style="140" customWidth="1"/>
    <col min="2062" max="2062" width="14.453125" style="140" customWidth="1"/>
    <col min="2063" max="2063" width="3.7265625" style="140" customWidth="1"/>
    <col min="2064" max="2064" width="21.54296875" style="140" customWidth="1"/>
    <col min="2065" max="2074" width="8.7265625" style="140" customWidth="1"/>
    <col min="2075" max="2316" width="9.1796875" style="140"/>
    <col min="2317" max="2317" width="3.7265625" style="140" customWidth="1"/>
    <col min="2318" max="2318" width="14.453125" style="140" customWidth="1"/>
    <col min="2319" max="2319" width="3.7265625" style="140" customWidth="1"/>
    <col min="2320" max="2320" width="21.54296875" style="140" customWidth="1"/>
    <col min="2321" max="2330" width="8.7265625" style="140" customWidth="1"/>
    <col min="2331" max="2572" width="9.1796875" style="140"/>
    <col min="2573" max="2573" width="3.7265625" style="140" customWidth="1"/>
    <col min="2574" max="2574" width="14.453125" style="140" customWidth="1"/>
    <col min="2575" max="2575" width="3.7265625" style="140" customWidth="1"/>
    <col min="2576" max="2576" width="21.54296875" style="140" customWidth="1"/>
    <col min="2577" max="2586" width="8.7265625" style="140" customWidth="1"/>
    <col min="2587" max="2828" width="9.1796875" style="140"/>
    <col min="2829" max="2829" width="3.7265625" style="140" customWidth="1"/>
    <col min="2830" max="2830" width="14.453125" style="140" customWidth="1"/>
    <col min="2831" max="2831" width="3.7265625" style="140" customWidth="1"/>
    <col min="2832" max="2832" width="21.54296875" style="140" customWidth="1"/>
    <col min="2833" max="2842" width="8.7265625" style="140" customWidth="1"/>
    <col min="2843" max="3084" width="9.1796875" style="140"/>
    <col min="3085" max="3085" width="3.7265625" style="140" customWidth="1"/>
    <col min="3086" max="3086" width="14.453125" style="140" customWidth="1"/>
    <col min="3087" max="3087" width="3.7265625" style="140" customWidth="1"/>
    <col min="3088" max="3088" width="21.54296875" style="140" customWidth="1"/>
    <col min="3089" max="3098" width="8.7265625" style="140" customWidth="1"/>
    <col min="3099" max="3340" width="9.1796875" style="140"/>
    <col min="3341" max="3341" width="3.7265625" style="140" customWidth="1"/>
    <col min="3342" max="3342" width="14.453125" style="140" customWidth="1"/>
    <col min="3343" max="3343" width="3.7265625" style="140" customWidth="1"/>
    <col min="3344" max="3344" width="21.54296875" style="140" customWidth="1"/>
    <col min="3345" max="3354" width="8.7265625" style="140" customWidth="1"/>
    <col min="3355" max="3596" width="9.1796875" style="140"/>
    <col min="3597" max="3597" width="3.7265625" style="140" customWidth="1"/>
    <col min="3598" max="3598" width="14.453125" style="140" customWidth="1"/>
    <col min="3599" max="3599" width="3.7265625" style="140" customWidth="1"/>
    <col min="3600" max="3600" width="21.54296875" style="140" customWidth="1"/>
    <col min="3601" max="3610" width="8.7265625" style="140" customWidth="1"/>
    <col min="3611" max="3852" width="9.1796875" style="140"/>
    <col min="3853" max="3853" width="3.7265625" style="140" customWidth="1"/>
    <col min="3854" max="3854" width="14.453125" style="140" customWidth="1"/>
    <col min="3855" max="3855" width="3.7265625" style="140" customWidth="1"/>
    <col min="3856" max="3856" width="21.54296875" style="140" customWidth="1"/>
    <col min="3857" max="3866" width="8.7265625" style="140" customWidth="1"/>
    <col min="3867" max="4108" width="9.1796875" style="140"/>
    <col min="4109" max="4109" width="3.7265625" style="140" customWidth="1"/>
    <col min="4110" max="4110" width="14.453125" style="140" customWidth="1"/>
    <col min="4111" max="4111" width="3.7265625" style="140" customWidth="1"/>
    <col min="4112" max="4112" width="21.54296875" style="140" customWidth="1"/>
    <col min="4113" max="4122" width="8.7265625" style="140" customWidth="1"/>
    <col min="4123" max="4364" width="9.1796875" style="140"/>
    <col min="4365" max="4365" width="3.7265625" style="140" customWidth="1"/>
    <col min="4366" max="4366" width="14.453125" style="140" customWidth="1"/>
    <col min="4367" max="4367" width="3.7265625" style="140" customWidth="1"/>
    <col min="4368" max="4368" width="21.54296875" style="140" customWidth="1"/>
    <col min="4369" max="4378" width="8.7265625" style="140" customWidth="1"/>
    <col min="4379" max="4620" width="9.1796875" style="140"/>
    <col min="4621" max="4621" width="3.7265625" style="140" customWidth="1"/>
    <col min="4622" max="4622" width="14.453125" style="140" customWidth="1"/>
    <col min="4623" max="4623" width="3.7265625" style="140" customWidth="1"/>
    <col min="4624" max="4624" width="21.54296875" style="140" customWidth="1"/>
    <col min="4625" max="4634" width="8.7265625" style="140" customWidth="1"/>
    <col min="4635" max="4876" width="9.1796875" style="140"/>
    <col min="4877" max="4877" width="3.7265625" style="140" customWidth="1"/>
    <col min="4878" max="4878" width="14.453125" style="140" customWidth="1"/>
    <col min="4879" max="4879" width="3.7265625" style="140" customWidth="1"/>
    <col min="4880" max="4880" width="21.54296875" style="140" customWidth="1"/>
    <col min="4881" max="4890" width="8.7265625" style="140" customWidth="1"/>
    <col min="4891" max="5132" width="9.1796875" style="140"/>
    <col min="5133" max="5133" width="3.7265625" style="140" customWidth="1"/>
    <col min="5134" max="5134" width="14.453125" style="140" customWidth="1"/>
    <col min="5135" max="5135" width="3.7265625" style="140" customWidth="1"/>
    <col min="5136" max="5136" width="21.54296875" style="140" customWidth="1"/>
    <col min="5137" max="5146" width="8.7265625" style="140" customWidth="1"/>
    <col min="5147" max="5388" width="9.1796875" style="140"/>
    <col min="5389" max="5389" width="3.7265625" style="140" customWidth="1"/>
    <col min="5390" max="5390" width="14.453125" style="140" customWidth="1"/>
    <col min="5391" max="5391" width="3.7265625" style="140" customWidth="1"/>
    <col min="5392" max="5392" width="21.54296875" style="140" customWidth="1"/>
    <col min="5393" max="5402" width="8.7265625" style="140" customWidth="1"/>
    <col min="5403" max="5644" width="9.1796875" style="140"/>
    <col min="5645" max="5645" width="3.7265625" style="140" customWidth="1"/>
    <col min="5646" max="5646" width="14.453125" style="140" customWidth="1"/>
    <col min="5647" max="5647" width="3.7265625" style="140" customWidth="1"/>
    <col min="5648" max="5648" width="21.54296875" style="140" customWidth="1"/>
    <col min="5649" max="5658" width="8.7265625" style="140" customWidth="1"/>
    <col min="5659" max="5900" width="9.1796875" style="140"/>
    <col min="5901" max="5901" width="3.7265625" style="140" customWidth="1"/>
    <col min="5902" max="5902" width="14.453125" style="140" customWidth="1"/>
    <col min="5903" max="5903" width="3.7265625" style="140" customWidth="1"/>
    <col min="5904" max="5904" width="21.54296875" style="140" customWidth="1"/>
    <col min="5905" max="5914" width="8.7265625" style="140" customWidth="1"/>
    <col min="5915" max="6156" width="9.1796875" style="140"/>
    <col min="6157" max="6157" width="3.7265625" style="140" customWidth="1"/>
    <col min="6158" max="6158" width="14.453125" style="140" customWidth="1"/>
    <col min="6159" max="6159" width="3.7265625" style="140" customWidth="1"/>
    <col min="6160" max="6160" width="21.54296875" style="140" customWidth="1"/>
    <col min="6161" max="6170" width="8.7265625" style="140" customWidth="1"/>
    <col min="6171" max="6412" width="9.1796875" style="140"/>
    <col min="6413" max="6413" width="3.7265625" style="140" customWidth="1"/>
    <col min="6414" max="6414" width="14.453125" style="140" customWidth="1"/>
    <col min="6415" max="6415" width="3.7265625" style="140" customWidth="1"/>
    <col min="6416" max="6416" width="21.54296875" style="140" customWidth="1"/>
    <col min="6417" max="6426" width="8.7265625" style="140" customWidth="1"/>
    <col min="6427" max="6668" width="9.1796875" style="140"/>
    <col min="6669" max="6669" width="3.7265625" style="140" customWidth="1"/>
    <col min="6670" max="6670" width="14.453125" style="140" customWidth="1"/>
    <col min="6671" max="6671" width="3.7265625" style="140" customWidth="1"/>
    <col min="6672" max="6672" width="21.54296875" style="140" customWidth="1"/>
    <col min="6673" max="6682" width="8.7265625" style="140" customWidth="1"/>
    <col min="6683" max="6924" width="9.1796875" style="140"/>
    <col min="6925" max="6925" width="3.7265625" style="140" customWidth="1"/>
    <col min="6926" max="6926" width="14.453125" style="140" customWidth="1"/>
    <col min="6927" max="6927" width="3.7265625" style="140" customWidth="1"/>
    <col min="6928" max="6928" width="21.54296875" style="140" customWidth="1"/>
    <col min="6929" max="6938" width="8.7265625" style="140" customWidth="1"/>
    <col min="6939" max="7180" width="9.1796875" style="140"/>
    <col min="7181" max="7181" width="3.7265625" style="140" customWidth="1"/>
    <col min="7182" max="7182" width="14.453125" style="140" customWidth="1"/>
    <col min="7183" max="7183" width="3.7265625" style="140" customWidth="1"/>
    <col min="7184" max="7184" width="21.54296875" style="140" customWidth="1"/>
    <col min="7185" max="7194" width="8.7265625" style="140" customWidth="1"/>
    <col min="7195" max="7436" width="9.1796875" style="140"/>
    <col min="7437" max="7437" width="3.7265625" style="140" customWidth="1"/>
    <col min="7438" max="7438" width="14.453125" style="140" customWidth="1"/>
    <col min="7439" max="7439" width="3.7265625" style="140" customWidth="1"/>
    <col min="7440" max="7440" width="21.54296875" style="140" customWidth="1"/>
    <col min="7441" max="7450" width="8.7265625" style="140" customWidth="1"/>
    <col min="7451" max="7692" width="9.1796875" style="140"/>
    <col min="7693" max="7693" width="3.7265625" style="140" customWidth="1"/>
    <col min="7694" max="7694" width="14.453125" style="140" customWidth="1"/>
    <col min="7695" max="7695" width="3.7265625" style="140" customWidth="1"/>
    <col min="7696" max="7696" width="21.54296875" style="140" customWidth="1"/>
    <col min="7697" max="7706" width="8.7265625" style="140" customWidth="1"/>
    <col min="7707" max="7948" width="9.1796875" style="140"/>
    <col min="7949" max="7949" width="3.7265625" style="140" customWidth="1"/>
    <col min="7950" max="7950" width="14.453125" style="140" customWidth="1"/>
    <col min="7951" max="7951" width="3.7265625" style="140" customWidth="1"/>
    <col min="7952" max="7952" width="21.54296875" style="140" customWidth="1"/>
    <col min="7953" max="7962" width="8.7265625" style="140" customWidth="1"/>
    <col min="7963" max="8204" width="9.1796875" style="140"/>
    <col min="8205" max="8205" width="3.7265625" style="140" customWidth="1"/>
    <col min="8206" max="8206" width="14.453125" style="140" customWidth="1"/>
    <col min="8207" max="8207" width="3.7265625" style="140" customWidth="1"/>
    <col min="8208" max="8208" width="21.54296875" style="140" customWidth="1"/>
    <col min="8209" max="8218" width="8.7265625" style="140" customWidth="1"/>
    <col min="8219" max="8460" width="9.1796875" style="140"/>
    <col min="8461" max="8461" width="3.7265625" style="140" customWidth="1"/>
    <col min="8462" max="8462" width="14.453125" style="140" customWidth="1"/>
    <col min="8463" max="8463" width="3.7265625" style="140" customWidth="1"/>
    <col min="8464" max="8464" width="21.54296875" style="140" customWidth="1"/>
    <col min="8465" max="8474" width="8.7265625" style="140" customWidth="1"/>
    <col min="8475" max="8716" width="9.1796875" style="140"/>
    <col min="8717" max="8717" width="3.7265625" style="140" customWidth="1"/>
    <col min="8718" max="8718" width="14.453125" style="140" customWidth="1"/>
    <col min="8719" max="8719" width="3.7265625" style="140" customWidth="1"/>
    <col min="8720" max="8720" width="21.54296875" style="140" customWidth="1"/>
    <col min="8721" max="8730" width="8.7265625" style="140" customWidth="1"/>
    <col min="8731" max="8972" width="9.1796875" style="140"/>
    <col min="8973" max="8973" width="3.7265625" style="140" customWidth="1"/>
    <col min="8974" max="8974" width="14.453125" style="140" customWidth="1"/>
    <col min="8975" max="8975" width="3.7265625" style="140" customWidth="1"/>
    <col min="8976" max="8976" width="21.54296875" style="140" customWidth="1"/>
    <col min="8977" max="8986" width="8.7265625" style="140" customWidth="1"/>
    <col min="8987" max="9228" width="9.1796875" style="140"/>
    <col min="9229" max="9229" width="3.7265625" style="140" customWidth="1"/>
    <col min="9230" max="9230" width="14.453125" style="140" customWidth="1"/>
    <col min="9231" max="9231" width="3.7265625" style="140" customWidth="1"/>
    <col min="9232" max="9232" width="21.54296875" style="140" customWidth="1"/>
    <col min="9233" max="9242" width="8.7265625" style="140" customWidth="1"/>
    <col min="9243" max="9484" width="9.1796875" style="140"/>
    <col min="9485" max="9485" width="3.7265625" style="140" customWidth="1"/>
    <col min="9486" max="9486" width="14.453125" style="140" customWidth="1"/>
    <col min="9487" max="9487" width="3.7265625" style="140" customWidth="1"/>
    <col min="9488" max="9488" width="21.54296875" style="140" customWidth="1"/>
    <col min="9489" max="9498" width="8.7265625" style="140" customWidth="1"/>
    <col min="9499" max="9740" width="9.1796875" style="140"/>
    <col min="9741" max="9741" width="3.7265625" style="140" customWidth="1"/>
    <col min="9742" max="9742" width="14.453125" style="140" customWidth="1"/>
    <col min="9743" max="9743" width="3.7265625" style="140" customWidth="1"/>
    <col min="9744" max="9744" width="21.54296875" style="140" customWidth="1"/>
    <col min="9745" max="9754" width="8.7265625" style="140" customWidth="1"/>
    <col min="9755" max="9996" width="9.1796875" style="140"/>
    <col min="9997" max="9997" width="3.7265625" style="140" customWidth="1"/>
    <col min="9998" max="9998" width="14.453125" style="140" customWidth="1"/>
    <col min="9999" max="9999" width="3.7265625" style="140" customWidth="1"/>
    <col min="10000" max="10000" width="21.54296875" style="140" customWidth="1"/>
    <col min="10001" max="10010" width="8.7265625" style="140" customWidth="1"/>
    <col min="10011" max="10252" width="9.1796875" style="140"/>
    <col min="10253" max="10253" width="3.7265625" style="140" customWidth="1"/>
    <col min="10254" max="10254" width="14.453125" style="140" customWidth="1"/>
    <col min="10255" max="10255" width="3.7265625" style="140" customWidth="1"/>
    <col min="10256" max="10256" width="21.54296875" style="140" customWidth="1"/>
    <col min="10257" max="10266" width="8.7265625" style="140" customWidth="1"/>
    <col min="10267" max="10508" width="9.1796875" style="140"/>
    <col min="10509" max="10509" width="3.7265625" style="140" customWidth="1"/>
    <col min="10510" max="10510" width="14.453125" style="140" customWidth="1"/>
    <col min="10511" max="10511" width="3.7265625" style="140" customWidth="1"/>
    <col min="10512" max="10512" width="21.54296875" style="140" customWidth="1"/>
    <col min="10513" max="10522" width="8.7265625" style="140" customWidth="1"/>
    <col min="10523" max="10764" width="9.1796875" style="140"/>
    <col min="10765" max="10765" width="3.7265625" style="140" customWidth="1"/>
    <col min="10766" max="10766" width="14.453125" style="140" customWidth="1"/>
    <col min="10767" max="10767" width="3.7265625" style="140" customWidth="1"/>
    <col min="10768" max="10768" width="21.54296875" style="140" customWidth="1"/>
    <col min="10769" max="10778" width="8.7265625" style="140" customWidth="1"/>
    <col min="10779" max="11020" width="9.1796875" style="140"/>
    <col min="11021" max="11021" width="3.7265625" style="140" customWidth="1"/>
    <col min="11022" max="11022" width="14.453125" style="140" customWidth="1"/>
    <col min="11023" max="11023" width="3.7265625" style="140" customWidth="1"/>
    <col min="11024" max="11024" width="21.54296875" style="140" customWidth="1"/>
    <col min="11025" max="11034" width="8.7265625" style="140" customWidth="1"/>
    <col min="11035" max="11276" width="9.1796875" style="140"/>
    <col min="11277" max="11277" width="3.7265625" style="140" customWidth="1"/>
    <col min="11278" max="11278" width="14.453125" style="140" customWidth="1"/>
    <col min="11279" max="11279" width="3.7265625" style="140" customWidth="1"/>
    <col min="11280" max="11280" width="21.54296875" style="140" customWidth="1"/>
    <col min="11281" max="11290" width="8.7265625" style="140" customWidth="1"/>
    <col min="11291" max="11532" width="9.1796875" style="140"/>
    <col min="11533" max="11533" width="3.7265625" style="140" customWidth="1"/>
    <col min="11534" max="11534" width="14.453125" style="140" customWidth="1"/>
    <col min="11535" max="11535" width="3.7265625" style="140" customWidth="1"/>
    <col min="11536" max="11536" width="21.54296875" style="140" customWidth="1"/>
    <col min="11537" max="11546" width="8.7265625" style="140" customWidth="1"/>
    <col min="11547" max="11788" width="9.1796875" style="140"/>
    <col min="11789" max="11789" width="3.7265625" style="140" customWidth="1"/>
    <col min="11790" max="11790" width="14.453125" style="140" customWidth="1"/>
    <col min="11791" max="11791" width="3.7265625" style="140" customWidth="1"/>
    <col min="11792" max="11792" width="21.54296875" style="140" customWidth="1"/>
    <col min="11793" max="11802" width="8.7265625" style="140" customWidth="1"/>
    <col min="11803" max="12044" width="9.1796875" style="140"/>
    <col min="12045" max="12045" width="3.7265625" style="140" customWidth="1"/>
    <col min="12046" max="12046" width="14.453125" style="140" customWidth="1"/>
    <col min="12047" max="12047" width="3.7265625" style="140" customWidth="1"/>
    <col min="12048" max="12048" width="21.54296875" style="140" customWidth="1"/>
    <col min="12049" max="12058" width="8.7265625" style="140" customWidth="1"/>
    <col min="12059" max="12300" width="9.1796875" style="140"/>
    <col min="12301" max="12301" width="3.7265625" style="140" customWidth="1"/>
    <col min="12302" max="12302" width="14.453125" style="140" customWidth="1"/>
    <col min="12303" max="12303" width="3.7265625" style="140" customWidth="1"/>
    <col min="12304" max="12304" width="21.54296875" style="140" customWidth="1"/>
    <col min="12305" max="12314" width="8.7265625" style="140" customWidth="1"/>
    <col min="12315" max="12556" width="9.1796875" style="140"/>
    <col min="12557" max="12557" width="3.7265625" style="140" customWidth="1"/>
    <col min="12558" max="12558" width="14.453125" style="140" customWidth="1"/>
    <col min="12559" max="12559" width="3.7265625" style="140" customWidth="1"/>
    <col min="12560" max="12560" width="21.54296875" style="140" customWidth="1"/>
    <col min="12561" max="12570" width="8.7265625" style="140" customWidth="1"/>
    <col min="12571" max="12812" width="9.1796875" style="140"/>
    <col min="12813" max="12813" width="3.7265625" style="140" customWidth="1"/>
    <col min="12814" max="12814" width="14.453125" style="140" customWidth="1"/>
    <col min="12815" max="12815" width="3.7265625" style="140" customWidth="1"/>
    <col min="12816" max="12816" width="21.54296875" style="140" customWidth="1"/>
    <col min="12817" max="12826" width="8.7265625" style="140" customWidth="1"/>
    <col min="12827" max="13068" width="9.1796875" style="140"/>
    <col min="13069" max="13069" width="3.7265625" style="140" customWidth="1"/>
    <col min="13070" max="13070" width="14.453125" style="140" customWidth="1"/>
    <col min="13071" max="13071" width="3.7265625" style="140" customWidth="1"/>
    <col min="13072" max="13072" width="21.54296875" style="140" customWidth="1"/>
    <col min="13073" max="13082" width="8.7265625" style="140" customWidth="1"/>
    <col min="13083" max="13324" width="9.1796875" style="140"/>
    <col min="13325" max="13325" width="3.7265625" style="140" customWidth="1"/>
    <col min="13326" max="13326" width="14.453125" style="140" customWidth="1"/>
    <col min="13327" max="13327" width="3.7265625" style="140" customWidth="1"/>
    <col min="13328" max="13328" width="21.54296875" style="140" customWidth="1"/>
    <col min="13329" max="13338" width="8.7265625" style="140" customWidth="1"/>
    <col min="13339" max="13580" width="9.1796875" style="140"/>
    <col min="13581" max="13581" width="3.7265625" style="140" customWidth="1"/>
    <col min="13582" max="13582" width="14.453125" style="140" customWidth="1"/>
    <col min="13583" max="13583" width="3.7265625" style="140" customWidth="1"/>
    <col min="13584" max="13584" width="21.54296875" style="140" customWidth="1"/>
    <col min="13585" max="13594" width="8.7265625" style="140" customWidth="1"/>
    <col min="13595" max="13836" width="9.1796875" style="140"/>
    <col min="13837" max="13837" width="3.7265625" style="140" customWidth="1"/>
    <col min="13838" max="13838" width="14.453125" style="140" customWidth="1"/>
    <col min="13839" max="13839" width="3.7265625" style="140" customWidth="1"/>
    <col min="13840" max="13840" width="21.54296875" style="140" customWidth="1"/>
    <col min="13841" max="13850" width="8.7265625" style="140" customWidth="1"/>
    <col min="13851" max="14092" width="9.1796875" style="140"/>
    <col min="14093" max="14093" width="3.7265625" style="140" customWidth="1"/>
    <col min="14094" max="14094" width="14.453125" style="140" customWidth="1"/>
    <col min="14095" max="14095" width="3.7265625" style="140" customWidth="1"/>
    <col min="14096" max="14096" width="21.54296875" style="140" customWidth="1"/>
    <col min="14097" max="14106" width="8.7265625" style="140" customWidth="1"/>
    <col min="14107" max="14348" width="9.1796875" style="140"/>
    <col min="14349" max="14349" width="3.7265625" style="140" customWidth="1"/>
    <col min="14350" max="14350" width="14.453125" style="140" customWidth="1"/>
    <col min="14351" max="14351" width="3.7265625" style="140" customWidth="1"/>
    <col min="14352" max="14352" width="21.54296875" style="140" customWidth="1"/>
    <col min="14353" max="14362" width="8.7265625" style="140" customWidth="1"/>
    <col min="14363" max="14604" width="9.1796875" style="140"/>
    <col min="14605" max="14605" width="3.7265625" style="140" customWidth="1"/>
    <col min="14606" max="14606" width="14.453125" style="140" customWidth="1"/>
    <col min="14607" max="14607" width="3.7265625" style="140" customWidth="1"/>
    <col min="14608" max="14608" width="21.54296875" style="140" customWidth="1"/>
    <col min="14609" max="14618" width="8.7265625" style="140" customWidth="1"/>
    <col min="14619" max="14860" width="9.1796875" style="140"/>
    <col min="14861" max="14861" width="3.7265625" style="140" customWidth="1"/>
    <col min="14862" max="14862" width="14.453125" style="140" customWidth="1"/>
    <col min="14863" max="14863" width="3.7265625" style="140" customWidth="1"/>
    <col min="14864" max="14864" width="21.54296875" style="140" customWidth="1"/>
    <col min="14865" max="14874" width="8.7265625" style="140" customWidth="1"/>
    <col min="14875" max="15116" width="9.1796875" style="140"/>
    <col min="15117" max="15117" width="3.7265625" style="140" customWidth="1"/>
    <col min="15118" max="15118" width="14.453125" style="140" customWidth="1"/>
    <col min="15119" max="15119" width="3.7265625" style="140" customWidth="1"/>
    <col min="15120" max="15120" width="21.54296875" style="140" customWidth="1"/>
    <col min="15121" max="15130" width="8.7265625" style="140" customWidth="1"/>
    <col min="15131" max="15372" width="9.1796875" style="140"/>
    <col min="15373" max="15373" width="3.7265625" style="140" customWidth="1"/>
    <col min="15374" max="15374" width="14.453125" style="140" customWidth="1"/>
    <col min="15375" max="15375" width="3.7265625" style="140" customWidth="1"/>
    <col min="15376" max="15376" width="21.54296875" style="140" customWidth="1"/>
    <col min="15377" max="15386" width="8.7265625" style="140" customWidth="1"/>
    <col min="15387" max="15628" width="9.1796875" style="140"/>
    <col min="15629" max="15629" width="3.7265625" style="140" customWidth="1"/>
    <col min="15630" max="15630" width="14.453125" style="140" customWidth="1"/>
    <col min="15631" max="15631" width="3.7265625" style="140" customWidth="1"/>
    <col min="15632" max="15632" width="21.54296875" style="140" customWidth="1"/>
    <col min="15633" max="15642" width="8.7265625" style="140" customWidth="1"/>
    <col min="15643" max="15884" width="9.1796875" style="140"/>
    <col min="15885" max="15885" width="3.7265625" style="140" customWidth="1"/>
    <col min="15886" max="15886" width="14.453125" style="140" customWidth="1"/>
    <col min="15887" max="15887" width="3.7265625" style="140" customWidth="1"/>
    <col min="15888" max="15888" width="21.54296875" style="140" customWidth="1"/>
    <col min="15889" max="15898" width="8.7265625" style="140" customWidth="1"/>
    <col min="15899" max="16140" width="9.1796875" style="140"/>
    <col min="16141" max="16141" width="3.7265625" style="140" customWidth="1"/>
    <col min="16142" max="16142" width="14.453125" style="140" customWidth="1"/>
    <col min="16143" max="16143" width="3.7265625" style="140" customWidth="1"/>
    <col min="16144" max="16144" width="21.54296875" style="140" customWidth="1"/>
    <col min="16145" max="16154" width="8.7265625" style="140" customWidth="1"/>
    <col min="16155" max="16384" width="9.1796875" style="140"/>
  </cols>
  <sheetData>
    <row r="1" spans="1:47" x14ac:dyDescent="0.35">
      <c r="D1" s="2078"/>
      <c r="E1" s="2078"/>
      <c r="F1" s="2078"/>
      <c r="G1" s="2078"/>
      <c r="H1" s="2078"/>
      <c r="I1" s="2078"/>
      <c r="J1" s="2078"/>
      <c r="K1" s="2078"/>
      <c r="L1" s="2078"/>
      <c r="M1" s="2078"/>
      <c r="N1" s="2078"/>
      <c r="O1" s="2078"/>
      <c r="P1" s="2078"/>
      <c r="Q1" s="2078"/>
      <c r="R1" s="2078"/>
      <c r="S1" s="2078"/>
      <c r="T1" s="2078"/>
    </row>
    <row r="2" spans="1:47" ht="14.5" customHeight="1" x14ac:dyDescent="0.35">
      <c r="A2" s="819">
        <v>1</v>
      </c>
      <c r="B2" s="819" t="s">
        <v>0</v>
      </c>
      <c r="C2" s="819">
        <v>42</v>
      </c>
      <c r="D2" s="4757" t="s">
        <v>966</v>
      </c>
      <c r="E2" s="4758"/>
      <c r="F2" s="4758"/>
      <c r="G2" s="4758"/>
      <c r="H2" s="4758"/>
      <c r="I2" s="4758"/>
      <c r="J2" s="4758"/>
      <c r="K2" s="4758"/>
      <c r="L2" s="4758"/>
      <c r="M2" s="4758"/>
      <c r="N2" s="4758"/>
      <c r="O2" s="4758"/>
      <c r="P2" s="4758"/>
      <c r="Q2" s="4758"/>
      <c r="R2" s="4758"/>
      <c r="S2" s="4758"/>
      <c r="T2" s="4758"/>
      <c r="U2" s="4758"/>
      <c r="V2" s="4758"/>
      <c r="W2" s="4758"/>
      <c r="X2" s="4758"/>
      <c r="Y2" s="4758"/>
      <c r="Z2" s="4758"/>
      <c r="AA2" s="4758"/>
      <c r="AB2" s="4758"/>
      <c r="AC2" s="4759"/>
      <c r="AD2" s="2470"/>
    </row>
    <row r="3" spans="1:47" x14ac:dyDescent="0.35">
      <c r="A3" s="819">
        <v>2</v>
      </c>
      <c r="B3" s="819" t="s">
        <v>2</v>
      </c>
      <c r="C3" s="819"/>
      <c r="D3" s="4757" t="s">
        <v>952</v>
      </c>
      <c r="E3" s="4758"/>
      <c r="F3" s="4758"/>
      <c r="G3" s="4758"/>
      <c r="H3" s="4758"/>
      <c r="I3" s="4758"/>
      <c r="J3" s="4758"/>
      <c r="K3" s="4758"/>
      <c r="L3" s="4758"/>
      <c r="M3" s="4758"/>
      <c r="N3" s="4758"/>
      <c r="O3" s="4758"/>
      <c r="P3" s="4758"/>
      <c r="Q3" s="4758"/>
      <c r="R3" s="4758"/>
      <c r="S3" s="4758"/>
      <c r="T3" s="4758"/>
      <c r="U3" s="4758"/>
      <c r="V3" s="4758"/>
      <c r="W3" s="4758"/>
      <c r="X3" s="4758"/>
      <c r="Y3" s="4758"/>
      <c r="Z3" s="4758"/>
      <c r="AA3" s="4758"/>
      <c r="AB3" s="4758"/>
      <c r="AC3" s="4759"/>
    </row>
    <row r="4" spans="1:47" ht="19.5" customHeight="1" x14ac:dyDescent="0.35">
      <c r="A4" s="819">
        <v>3</v>
      </c>
      <c r="B4" s="819" t="s">
        <v>4</v>
      </c>
      <c r="C4" s="819"/>
      <c r="D4" s="4757" t="s">
        <v>967</v>
      </c>
      <c r="E4" s="4758"/>
      <c r="F4" s="4758"/>
      <c r="G4" s="4758"/>
      <c r="H4" s="4758"/>
      <c r="I4" s="4758"/>
      <c r="J4" s="4758"/>
      <c r="K4" s="4758"/>
      <c r="L4" s="4758"/>
      <c r="M4" s="4758"/>
      <c r="N4" s="4758"/>
      <c r="O4" s="4758"/>
      <c r="P4" s="4758"/>
      <c r="Q4" s="4758"/>
      <c r="R4" s="4758"/>
      <c r="S4" s="4758"/>
      <c r="T4" s="4758"/>
      <c r="U4" s="4758"/>
      <c r="V4" s="4758"/>
      <c r="W4" s="4758"/>
      <c r="X4" s="4758"/>
      <c r="Y4" s="4758"/>
      <c r="Z4" s="4758"/>
      <c r="AA4" s="4758"/>
      <c r="AB4" s="4758"/>
      <c r="AC4" s="4759"/>
    </row>
    <row r="5" spans="1:47" x14ac:dyDescent="0.35">
      <c r="C5" s="1192"/>
    </row>
    <row r="6" spans="1:47" x14ac:dyDescent="0.35">
      <c r="A6" s="819">
        <v>4</v>
      </c>
      <c r="B6" s="1192" t="s">
        <v>6</v>
      </c>
      <c r="D6" s="90" t="s">
        <v>7</v>
      </c>
      <c r="E6" s="90" t="s">
        <v>968</v>
      </c>
      <c r="F6" s="90"/>
      <c r="G6" s="90"/>
      <c r="H6" s="90"/>
      <c r="I6" s="90"/>
      <c r="J6" s="90"/>
      <c r="K6" s="90"/>
      <c r="L6" s="90"/>
      <c r="M6" s="2499"/>
      <c r="N6" s="2499"/>
      <c r="O6" s="2499"/>
      <c r="P6" s="2079"/>
      <c r="Q6" s="2079"/>
      <c r="R6" s="2079"/>
      <c r="S6" s="2079"/>
      <c r="T6" s="2079"/>
    </row>
    <row r="7" spans="1:47" x14ac:dyDescent="0.35">
      <c r="D7" s="108"/>
      <c r="E7" s="2500">
        <v>1999</v>
      </c>
      <c r="F7" s="2500">
        <v>2000</v>
      </c>
      <c r="G7" s="2500">
        <v>2001</v>
      </c>
      <c r="H7" s="2500">
        <v>2002</v>
      </c>
      <c r="I7" s="2474">
        <v>2003</v>
      </c>
      <c r="J7" s="2474">
        <v>2004</v>
      </c>
      <c r="K7" s="2474">
        <v>2005</v>
      </c>
      <c r="L7" s="2474">
        <v>2006</v>
      </c>
      <c r="M7" s="2474">
        <v>2007</v>
      </c>
      <c r="N7" s="2474">
        <v>2008</v>
      </c>
      <c r="O7" s="2474">
        <v>2009</v>
      </c>
      <c r="P7" s="2474">
        <v>2010</v>
      </c>
      <c r="Q7" s="2474">
        <v>2011</v>
      </c>
      <c r="R7" s="2474">
        <v>2012</v>
      </c>
      <c r="S7" s="2474">
        <v>2013</v>
      </c>
      <c r="T7" s="2474">
        <v>2014</v>
      </c>
      <c r="U7" s="2501">
        <v>2015</v>
      </c>
      <c r="V7" s="2502">
        <v>2016</v>
      </c>
      <c r="W7" s="2502">
        <v>2017</v>
      </c>
      <c r="X7" s="2502">
        <v>2018</v>
      </c>
      <c r="Y7" s="2502">
        <v>2019</v>
      </c>
      <c r="Z7" s="2503"/>
      <c r="AA7" s="2503"/>
      <c r="AB7" s="2503"/>
      <c r="AC7" s="2503"/>
      <c r="AD7" s="2503"/>
      <c r="AE7" s="2504"/>
    </row>
    <row r="8" spans="1:47" x14ac:dyDescent="0.35">
      <c r="D8" s="107" t="s">
        <v>969</v>
      </c>
      <c r="E8" s="2505">
        <v>365447</v>
      </c>
      <c r="F8" s="2505">
        <v>363343</v>
      </c>
      <c r="G8" s="2505">
        <v>354201</v>
      </c>
      <c r="H8" s="2505">
        <v>360155</v>
      </c>
      <c r="I8" s="2506">
        <v>362598</v>
      </c>
      <c r="J8" s="2506">
        <v>362042</v>
      </c>
      <c r="K8" s="2506">
        <v>382133</v>
      </c>
      <c r="L8" s="2506">
        <v>386595</v>
      </c>
      <c r="M8" s="2506">
        <v>395452</v>
      </c>
      <c r="N8" s="2506">
        <v>400953</v>
      </c>
      <c r="O8" s="2506">
        <v>386587</v>
      </c>
      <c r="P8" s="2506">
        <v>389329</v>
      </c>
      <c r="Q8" s="2506">
        <v>390074</v>
      </c>
      <c r="R8" s="2506">
        <v>392377</v>
      </c>
      <c r="S8" s="2506">
        <v>391829</v>
      </c>
      <c r="T8" s="2506">
        <v>390608</v>
      </c>
      <c r="U8" s="2507">
        <v>379613</v>
      </c>
      <c r="V8" s="2506">
        <v>418611</v>
      </c>
      <c r="W8" s="2507">
        <v>433320</v>
      </c>
      <c r="X8" s="2507">
        <v>437449</v>
      </c>
      <c r="Y8" s="2508">
        <v>444857</v>
      </c>
      <c r="Z8" s="2509"/>
      <c r="AA8" s="2510"/>
      <c r="AB8" s="2510"/>
      <c r="AC8" s="2510"/>
      <c r="AD8" s="2510"/>
      <c r="AE8" s="2511"/>
      <c r="AF8" s="2512"/>
    </row>
    <row r="9" spans="1:47" x14ac:dyDescent="0.35">
      <c r="D9" s="2513" t="s">
        <v>970</v>
      </c>
      <c r="E9" s="2505">
        <v>12313899</v>
      </c>
      <c r="F9" s="2505">
        <v>11903455</v>
      </c>
      <c r="G9" s="2505">
        <v>11738126</v>
      </c>
      <c r="H9" s="2505">
        <v>11917017</v>
      </c>
      <c r="I9" s="2506">
        <v>12038922</v>
      </c>
      <c r="J9" s="2506">
        <v>12176391</v>
      </c>
      <c r="K9" s="2506">
        <v>12217765</v>
      </c>
      <c r="L9" s="2506">
        <v>12302236</v>
      </c>
      <c r="M9" s="2506">
        <v>12410501</v>
      </c>
      <c r="N9" s="2506">
        <v>12239363</v>
      </c>
      <c r="O9" s="2506">
        <v>11828747</v>
      </c>
      <c r="P9" s="2506">
        <v>11809355</v>
      </c>
      <c r="Q9" s="2506">
        <v>11804066</v>
      </c>
      <c r="R9" s="2506">
        <v>11923674</v>
      </c>
      <c r="S9" s="2506">
        <v>11975844</v>
      </c>
      <c r="T9" s="2506">
        <v>12117015</v>
      </c>
      <c r="U9" s="2507">
        <v>12248279</v>
      </c>
      <c r="V9" s="2506">
        <v>12932565</v>
      </c>
      <c r="W9" s="2507">
        <v>12892273</v>
      </c>
      <c r="X9" s="2507">
        <v>12819542</v>
      </c>
      <c r="Y9" s="2507">
        <v>13041198</v>
      </c>
      <c r="Z9" s="2510"/>
      <c r="AA9" s="2510"/>
      <c r="AB9" s="2510"/>
      <c r="AC9" s="2510"/>
      <c r="AD9" s="2510"/>
      <c r="AE9" s="2511"/>
    </row>
    <row r="10" spans="1:47" x14ac:dyDescent="0.35">
      <c r="D10" s="881" t="s">
        <v>971</v>
      </c>
      <c r="E10" s="2514">
        <f t="shared" ref="E10:P10" si="0">E9/E8</f>
        <v>33.695444209420245</v>
      </c>
      <c r="F10" s="2514">
        <f t="shared" si="0"/>
        <v>32.760931131190091</v>
      </c>
      <c r="G10" s="2514">
        <f t="shared" si="0"/>
        <v>33.139731395450603</v>
      </c>
      <c r="H10" s="2514">
        <f t="shared" si="0"/>
        <v>33.088578528689034</v>
      </c>
      <c r="I10" s="2515">
        <f t="shared" si="0"/>
        <v>33.201843363725118</v>
      </c>
      <c r="J10" s="2516">
        <f t="shared" si="0"/>
        <v>33.63253710895421</v>
      </c>
      <c r="K10" s="2515">
        <f t="shared" si="0"/>
        <v>31.972546207733956</v>
      </c>
      <c r="L10" s="2515">
        <f t="shared" si="0"/>
        <v>31.822025634061486</v>
      </c>
      <c r="M10" s="2515">
        <f t="shared" si="0"/>
        <v>31.383078097973964</v>
      </c>
      <c r="N10" s="2515">
        <f t="shared" si="0"/>
        <v>30.525680067239801</v>
      </c>
      <c r="O10" s="2515">
        <f t="shared" si="0"/>
        <v>30.597891289670891</v>
      </c>
      <c r="P10" s="2515">
        <f t="shared" si="0"/>
        <v>30.332585037333462</v>
      </c>
      <c r="Q10" s="2515">
        <v>30.261094048821505</v>
      </c>
      <c r="R10" s="2515">
        <f>+R9/R8</f>
        <v>30.388310222056848</v>
      </c>
      <c r="S10" s="2515">
        <v>30.261094048821505</v>
      </c>
      <c r="T10" s="2515">
        <f>+T9/T8</f>
        <v>31.02090842993487</v>
      </c>
      <c r="U10" s="2517">
        <v>32</v>
      </c>
      <c r="V10" s="2515">
        <f>(V9/V8)</f>
        <v>30.893992274450504</v>
      </c>
      <c r="W10" s="2515">
        <f>(W9/W8)</f>
        <v>29.752314686605743</v>
      </c>
      <c r="X10" s="2515">
        <v>29</v>
      </c>
      <c r="Y10" s="2517">
        <v>29.315483402531601</v>
      </c>
      <c r="Z10" s="2518"/>
      <c r="AA10" s="2518"/>
      <c r="AB10" s="2518"/>
      <c r="AC10" s="2518"/>
      <c r="AD10" s="2518"/>
      <c r="AE10" s="2519"/>
    </row>
    <row r="11" spans="1:47" x14ac:dyDescent="0.35">
      <c r="D11" s="2078"/>
      <c r="E11" s="109"/>
      <c r="F11" s="109"/>
      <c r="G11" s="109"/>
      <c r="H11" s="109"/>
      <c r="I11" s="109"/>
      <c r="J11" s="109"/>
      <c r="L11" s="109"/>
      <c r="M11" s="109"/>
      <c r="N11" s="109"/>
      <c r="O11" s="2078"/>
      <c r="P11" s="109"/>
      <c r="Q11" s="109"/>
      <c r="R11" s="109"/>
      <c r="S11" s="109"/>
      <c r="T11" s="109"/>
      <c r="U11" s="2520"/>
      <c r="V11" s="2521"/>
      <c r="W11" s="2521"/>
      <c r="X11" s="2521"/>
      <c r="Y11" s="2521"/>
      <c r="Z11" s="2521"/>
      <c r="AA11" s="2521"/>
      <c r="AB11" s="2521"/>
      <c r="AC11" s="2521"/>
    </row>
    <row r="12" spans="1:47" x14ac:dyDescent="0.35">
      <c r="D12" s="2078"/>
      <c r="E12" s="109"/>
      <c r="F12" s="109"/>
      <c r="G12" s="109"/>
      <c r="H12" s="109"/>
      <c r="I12" s="109"/>
      <c r="J12" s="109"/>
      <c r="K12" s="109"/>
      <c r="L12" s="109"/>
      <c r="M12" s="109"/>
      <c r="N12" s="109"/>
      <c r="O12" s="2078"/>
      <c r="P12" s="109"/>
      <c r="Q12" s="109"/>
      <c r="R12" s="109"/>
      <c r="S12" s="109"/>
      <c r="T12" s="109"/>
      <c r="U12" s="2521"/>
      <c r="V12" s="2521"/>
      <c r="W12" s="2521"/>
      <c r="X12" s="2521"/>
      <c r="Y12" s="2521"/>
      <c r="Z12" s="2521"/>
      <c r="AA12" s="2521"/>
      <c r="AB12" s="2521"/>
      <c r="AC12" s="2521"/>
    </row>
    <row r="13" spans="1:47" ht="14.25" customHeight="1" x14ac:dyDescent="0.35">
      <c r="B13" s="1192"/>
      <c r="D13" s="90" t="s">
        <v>35</v>
      </c>
      <c r="E13" s="90" t="s">
        <v>972</v>
      </c>
      <c r="F13" s="2522"/>
      <c r="G13" s="2522"/>
      <c r="H13" s="2522"/>
      <c r="I13" s="2522"/>
      <c r="J13" s="2522"/>
      <c r="K13" s="2522"/>
      <c r="L13" s="109"/>
      <c r="M13" s="4595" t="s">
        <v>234</v>
      </c>
      <c r="N13" s="90" t="s">
        <v>973</v>
      </c>
      <c r="O13" s="2522"/>
      <c r="P13" s="2522"/>
      <c r="Q13" s="2522"/>
      <c r="R13" s="2522"/>
      <c r="S13" s="2522"/>
      <c r="T13" s="2522"/>
      <c r="U13" s="2521"/>
      <c r="V13" s="90" t="s">
        <v>252</v>
      </c>
      <c r="W13" s="90" t="s">
        <v>974</v>
      </c>
      <c r="X13" s="2522"/>
      <c r="Y13" s="2522"/>
      <c r="Z13" s="2522"/>
      <c r="AA13" s="2522"/>
      <c r="AB13" s="2522"/>
      <c r="AC13" s="2522"/>
      <c r="AD13" s="2195"/>
      <c r="AE13" s="4595" t="s">
        <v>975</v>
      </c>
      <c r="AF13" s="90" t="s">
        <v>976</v>
      </c>
      <c r="AG13" s="2522"/>
      <c r="AH13" s="2522"/>
      <c r="AI13" s="2522"/>
      <c r="AJ13" s="2522"/>
      <c r="AK13" s="2522"/>
      <c r="AL13" s="2522"/>
      <c r="AN13" s="4595" t="s">
        <v>977</v>
      </c>
      <c r="AO13" s="90" t="s">
        <v>978</v>
      </c>
      <c r="AP13" s="2522"/>
      <c r="AQ13" s="2522"/>
      <c r="AR13" s="2522"/>
      <c r="AS13" s="2522"/>
      <c r="AT13" s="2522"/>
      <c r="AU13" s="2522"/>
    </row>
    <row r="14" spans="1:47" ht="30" x14ac:dyDescent="0.35">
      <c r="D14" s="2523"/>
      <c r="E14" s="2524" t="s">
        <v>970</v>
      </c>
      <c r="F14" s="2525" t="s">
        <v>979</v>
      </c>
      <c r="G14" s="2526" t="s">
        <v>980</v>
      </c>
      <c r="H14" s="2527" t="s">
        <v>979</v>
      </c>
      <c r="I14" s="2526" t="s">
        <v>981</v>
      </c>
      <c r="J14" s="2527" t="s">
        <v>979</v>
      </c>
      <c r="K14" s="2528" t="s">
        <v>971</v>
      </c>
      <c r="L14" s="109"/>
      <c r="M14" s="4596"/>
      <c r="N14" s="2524" t="s">
        <v>970</v>
      </c>
      <c r="O14" s="2525" t="s">
        <v>979</v>
      </c>
      <c r="P14" s="2526" t="s">
        <v>980</v>
      </c>
      <c r="Q14" s="2527" t="s">
        <v>979</v>
      </c>
      <c r="R14" s="2526" t="s">
        <v>981</v>
      </c>
      <c r="S14" s="2527" t="s">
        <v>979</v>
      </c>
      <c r="T14" s="2528" t="s">
        <v>971</v>
      </c>
      <c r="U14" s="2521"/>
      <c r="V14" s="4597"/>
      <c r="W14" s="2524" t="s">
        <v>970</v>
      </c>
      <c r="X14" s="2525" t="s">
        <v>979</v>
      </c>
      <c r="Y14" s="2526" t="s">
        <v>980</v>
      </c>
      <c r="Z14" s="2527" t="s">
        <v>979</v>
      </c>
      <c r="AA14" s="2526" t="s">
        <v>981</v>
      </c>
      <c r="AB14" s="2527" t="s">
        <v>979</v>
      </c>
      <c r="AC14" s="2528" t="s">
        <v>971</v>
      </c>
      <c r="AD14" s="1427"/>
      <c r="AE14" s="4596"/>
      <c r="AF14" s="2524" t="s">
        <v>970</v>
      </c>
      <c r="AG14" s="2525" t="s">
        <v>979</v>
      </c>
      <c r="AH14" s="2526" t="s">
        <v>980</v>
      </c>
      <c r="AI14" s="2527" t="s">
        <v>979</v>
      </c>
      <c r="AJ14" s="2526" t="s">
        <v>981</v>
      </c>
      <c r="AK14" s="2527" t="s">
        <v>979</v>
      </c>
      <c r="AL14" s="2528" t="s">
        <v>971</v>
      </c>
      <c r="AN14" s="4596"/>
      <c r="AO14" s="2524" t="s">
        <v>970</v>
      </c>
      <c r="AP14" s="2525" t="s">
        <v>979</v>
      </c>
      <c r="AQ14" s="2526" t="s">
        <v>980</v>
      </c>
      <c r="AR14" s="2527" t="s">
        <v>979</v>
      </c>
      <c r="AS14" s="2526" t="s">
        <v>981</v>
      </c>
      <c r="AT14" s="2527" t="s">
        <v>979</v>
      </c>
      <c r="AU14" s="2528" t="s">
        <v>971</v>
      </c>
    </row>
    <row r="15" spans="1:47" ht="21.5" x14ac:dyDescent="0.35">
      <c r="D15" s="2195" t="s">
        <v>402</v>
      </c>
      <c r="E15" s="2529">
        <v>1953397</v>
      </c>
      <c r="F15" s="2530">
        <f t="shared" ref="F15:F23" si="1">+E15/$E$24</f>
        <v>0.15948338538010115</v>
      </c>
      <c r="G15" s="2531">
        <v>64256</v>
      </c>
      <c r="H15" s="2532">
        <f t="shared" ref="H15:H20" si="2">+G15/$G$24</f>
        <v>0.16926712204271191</v>
      </c>
      <c r="I15" s="2531">
        <v>5727</v>
      </c>
      <c r="J15" s="2532">
        <f t="shared" ref="J15:J23" si="3">+I15/$I$24</f>
        <v>0.23957331102279858</v>
      </c>
      <c r="K15" s="2533">
        <f>+E15/G15</f>
        <v>30.400227216135459</v>
      </c>
      <c r="L15" s="109"/>
      <c r="M15" s="4598" t="s">
        <v>402</v>
      </c>
      <c r="N15" s="2529">
        <v>1961547</v>
      </c>
      <c r="O15" s="2530">
        <f t="shared" ref="O15:O20" si="4">+N15/$N$24</f>
        <v>0.15167501574513639</v>
      </c>
      <c r="P15" s="2531">
        <v>61629</v>
      </c>
      <c r="Q15" s="2532">
        <f t="shared" ref="Q15:Q20" si="5">+P15/$P$24</f>
        <v>0.16171558272871595</v>
      </c>
      <c r="R15" s="2531">
        <v>5727</v>
      </c>
      <c r="S15" s="2532">
        <f t="shared" ref="S15:S23" si="6">+R15/$R$24</f>
        <v>0.2385454848383872</v>
      </c>
      <c r="T15" s="2533">
        <f>+N15/P15</f>
        <v>31.828311346930828</v>
      </c>
      <c r="U15" s="2521"/>
      <c r="V15" s="4599" t="s">
        <v>402</v>
      </c>
      <c r="W15" s="2529">
        <v>1795563</v>
      </c>
      <c r="X15" s="2530">
        <f t="shared" ref="X15:X20" si="7">+W15/$W$24</f>
        <v>0.13927435449125225</v>
      </c>
      <c r="Y15" s="2531">
        <v>63459</v>
      </c>
      <c r="Z15" s="2532">
        <f t="shared" ref="Z15:Z20" si="8">+Y15/$Y$24</f>
        <v>0.14644835225699251</v>
      </c>
      <c r="AA15" s="2531">
        <v>5569</v>
      </c>
      <c r="AB15" s="2534">
        <f t="shared" ref="AB15:AB23" si="9">+AA15/$AA$24</f>
        <v>0.2161711047278938</v>
      </c>
      <c r="AC15" s="2533">
        <f>+W15/Y15</f>
        <v>28.294851794071764</v>
      </c>
      <c r="AE15" s="4598" t="s">
        <v>402</v>
      </c>
      <c r="AF15" s="2529">
        <v>1840780</v>
      </c>
      <c r="AG15" s="2535">
        <v>0.14399999999999999</v>
      </c>
      <c r="AH15" s="2531">
        <v>62613</v>
      </c>
      <c r="AI15" s="2534">
        <v>0.14299999999999999</v>
      </c>
      <c r="AJ15" s="2531">
        <v>5409</v>
      </c>
      <c r="AK15" s="2534">
        <v>0.215</v>
      </c>
      <c r="AL15" s="2533">
        <f>+AF15/AH15</f>
        <v>29.399326018558448</v>
      </c>
      <c r="AN15" s="4598" t="s">
        <v>402</v>
      </c>
      <c r="AO15" s="2529">
        <v>1843814</v>
      </c>
      <c r="AP15" s="2535">
        <f>AO15/AO24</f>
        <v>0.14138379004750945</v>
      </c>
      <c r="AQ15" s="2531">
        <v>64273</v>
      </c>
      <c r="AR15" s="2534">
        <f>AQ15/$AQ$24</f>
        <v>0.14448013631346701</v>
      </c>
      <c r="AS15" s="2531">
        <v>5430</v>
      </c>
      <c r="AT15" s="2534">
        <f>AS15/$AS$24</f>
        <v>0.2172173773901912</v>
      </c>
      <c r="AU15" s="2533">
        <f t="shared" ref="AU15:AU22" si="10">AO15/AQ15</f>
        <v>28.687224806683989</v>
      </c>
    </row>
    <row r="16" spans="1:47" x14ac:dyDescent="0.35">
      <c r="D16" s="2195" t="s">
        <v>404</v>
      </c>
      <c r="E16" s="2529">
        <v>682704</v>
      </c>
      <c r="F16" s="2530">
        <f t="shared" si="1"/>
        <v>5.5738769503862542E-2</v>
      </c>
      <c r="G16" s="2531">
        <v>23661</v>
      </c>
      <c r="H16" s="2532">
        <f t="shared" si="2"/>
        <v>6.2329266911301771E-2</v>
      </c>
      <c r="I16" s="2531">
        <v>1332</v>
      </c>
      <c r="J16" s="2532">
        <f t="shared" si="3"/>
        <v>5.5720560552185737E-2</v>
      </c>
      <c r="K16" s="2533">
        <f t="shared" ref="K16:K23" si="11">+E16/G16</f>
        <v>28.85355648535565</v>
      </c>
      <c r="L16" s="109"/>
      <c r="M16" s="4598" t="s">
        <v>404</v>
      </c>
      <c r="N16" s="2529">
        <v>688349</v>
      </c>
      <c r="O16" s="2530">
        <f t="shared" si="4"/>
        <v>5.322602283460396E-2</v>
      </c>
      <c r="P16" s="2531">
        <v>23523</v>
      </c>
      <c r="Q16" s="2532">
        <f t="shared" si="5"/>
        <v>6.1724766790432831E-2</v>
      </c>
      <c r="R16" s="2531">
        <v>1332</v>
      </c>
      <c r="S16" s="2532">
        <f t="shared" si="6"/>
        <v>5.5481506164611796E-2</v>
      </c>
      <c r="T16" s="2533">
        <f t="shared" ref="T16:T23" si="12">+N16/P16</f>
        <v>29.262806614802535</v>
      </c>
      <c r="U16" s="2521"/>
      <c r="V16" s="4599" t="s">
        <v>404</v>
      </c>
      <c r="W16" s="2529">
        <v>701487</v>
      </c>
      <c r="X16" s="2530">
        <f t="shared" si="7"/>
        <v>5.4411429233619239E-2</v>
      </c>
      <c r="Y16" s="2531">
        <v>23590</v>
      </c>
      <c r="Z16" s="2532">
        <f t="shared" si="8"/>
        <v>5.4440136619588297E-2</v>
      </c>
      <c r="AA16" s="2531">
        <v>1255</v>
      </c>
      <c r="AB16" s="2534">
        <f t="shared" si="9"/>
        <v>4.8715161866314728E-2</v>
      </c>
      <c r="AC16" s="2533">
        <f t="shared" ref="AC16:AC24" si="13">+W16/Y16</f>
        <v>29.736625688851209</v>
      </c>
      <c r="AE16" s="4598" t="s">
        <v>404</v>
      </c>
      <c r="AF16" s="2529">
        <v>707166</v>
      </c>
      <c r="AG16" s="2535">
        <v>5.5E-2</v>
      </c>
      <c r="AH16" s="2531">
        <v>23741</v>
      </c>
      <c r="AI16" s="2534">
        <v>5.3999999999999999E-2</v>
      </c>
      <c r="AJ16" s="2531">
        <v>1187</v>
      </c>
      <c r="AK16" s="2534">
        <v>4.7E-2</v>
      </c>
      <c r="AL16" s="2533">
        <f>+AF16/AH16</f>
        <v>29.786698117181249</v>
      </c>
      <c r="AN16" s="4598" t="s">
        <v>404</v>
      </c>
      <c r="AO16" s="2529">
        <v>716080</v>
      </c>
      <c r="AP16" s="2535">
        <f>AO16/$AO$24</f>
        <v>5.4909065869561985E-2</v>
      </c>
      <c r="AQ16" s="2531">
        <v>24027</v>
      </c>
      <c r="AR16" s="2534">
        <f t="shared" ref="AR16:AR23" si="14">AQ16/$AQ$24</f>
        <v>5.4010614646953968E-2</v>
      </c>
      <c r="AS16" s="2531">
        <v>1156</v>
      </c>
      <c r="AT16" s="2534">
        <f t="shared" ref="AT16:AT24" si="15">AS16/$AS$24</f>
        <v>4.6243699495959675E-2</v>
      </c>
      <c r="AU16" s="2533">
        <f t="shared" si="10"/>
        <v>29.803138136263371</v>
      </c>
    </row>
    <row r="17" spans="1:47" x14ac:dyDescent="0.35">
      <c r="D17" s="2195" t="s">
        <v>407</v>
      </c>
      <c r="E17" s="2529">
        <v>2262319</v>
      </c>
      <c r="F17" s="2530">
        <f t="shared" si="1"/>
        <v>0.18470505121576672</v>
      </c>
      <c r="G17" s="2531">
        <v>79354</v>
      </c>
      <c r="H17" s="2532">
        <f t="shared" si="2"/>
        <v>0.20903920571740167</v>
      </c>
      <c r="I17" s="2531">
        <v>2780</v>
      </c>
      <c r="J17" s="2532">
        <f t="shared" si="3"/>
        <v>0.11629366241372098</v>
      </c>
      <c r="K17" s="2533">
        <f t="shared" si="11"/>
        <v>28.509199284220077</v>
      </c>
      <c r="L17" s="109"/>
      <c r="M17" s="4598" t="s">
        <v>407</v>
      </c>
      <c r="N17" s="2529">
        <v>2326584</v>
      </c>
      <c r="O17" s="2530">
        <f t="shared" si="4"/>
        <v>0.17990120289362552</v>
      </c>
      <c r="P17" s="2531">
        <v>82078</v>
      </c>
      <c r="Q17" s="2532">
        <f t="shared" si="5"/>
        <v>0.21537411931408179</v>
      </c>
      <c r="R17" s="2531">
        <v>2780</v>
      </c>
      <c r="S17" s="2532">
        <f t="shared" si="6"/>
        <v>0.1157947350883039</v>
      </c>
      <c r="T17" s="2533">
        <f t="shared" si="12"/>
        <v>28.346012329735132</v>
      </c>
      <c r="U17" s="2521"/>
      <c r="V17" s="4599" t="s">
        <v>407</v>
      </c>
      <c r="W17" s="2529">
        <v>2413225</v>
      </c>
      <c r="X17" s="2530">
        <f t="shared" si="7"/>
        <v>0.18718382708774473</v>
      </c>
      <c r="Y17" s="2531">
        <v>88599</v>
      </c>
      <c r="Z17" s="2532">
        <f t="shared" si="8"/>
        <v>0.20446552201606202</v>
      </c>
      <c r="AA17" s="2531">
        <v>3067</v>
      </c>
      <c r="AB17" s="2534">
        <f t="shared" si="9"/>
        <v>0.11905131589162332</v>
      </c>
      <c r="AC17" s="2533">
        <f t="shared" si="13"/>
        <v>27.237609905303671</v>
      </c>
      <c r="AE17" s="4598" t="s">
        <v>407</v>
      </c>
      <c r="AF17" s="2529">
        <v>2402576</v>
      </c>
      <c r="AG17" s="2535">
        <v>0.187</v>
      </c>
      <c r="AH17" s="2531">
        <v>89242</v>
      </c>
      <c r="AI17" s="2534">
        <v>0.20399999999999999</v>
      </c>
      <c r="AJ17" s="2531">
        <v>2836</v>
      </c>
      <c r="AK17" s="2534">
        <v>0.113</v>
      </c>
      <c r="AL17" s="2533">
        <f t="shared" ref="AL17:AL23" si="16">+AF17/AH17</f>
        <v>26.922032226978327</v>
      </c>
      <c r="AN17" s="4598" t="s">
        <v>407</v>
      </c>
      <c r="AO17" s="2529">
        <v>2447377</v>
      </c>
      <c r="AP17" s="2535">
        <f t="shared" ref="AP17:AP24" si="17">AO17/$AO$24</f>
        <v>0.1876650442697059</v>
      </c>
      <c r="AQ17" s="2531">
        <v>87728</v>
      </c>
      <c r="AR17" s="2534">
        <f t="shared" si="14"/>
        <v>0.19720494451025836</v>
      </c>
      <c r="AS17" s="2531">
        <v>2813</v>
      </c>
      <c r="AT17" s="2534">
        <f t="shared" si="15"/>
        <v>0.11252900232018562</v>
      </c>
      <c r="AU17" s="2533">
        <f t="shared" si="10"/>
        <v>27.897330384825825</v>
      </c>
    </row>
    <row r="18" spans="1:47" ht="21.5" x14ac:dyDescent="0.35">
      <c r="D18" s="2195" t="s">
        <v>405</v>
      </c>
      <c r="E18" s="2529">
        <v>2881518</v>
      </c>
      <c r="F18" s="2530">
        <f t="shared" si="1"/>
        <v>0.23525901067407104</v>
      </c>
      <c r="G18" s="2531">
        <v>86493</v>
      </c>
      <c r="H18" s="2532">
        <f t="shared" si="2"/>
        <v>0.22784520024340579</v>
      </c>
      <c r="I18" s="2531">
        <v>6137</v>
      </c>
      <c r="J18" s="2532">
        <f t="shared" si="3"/>
        <v>0.2567245346161891</v>
      </c>
      <c r="K18" s="2533">
        <f t="shared" si="11"/>
        <v>33.315042835836429</v>
      </c>
      <c r="L18" s="109"/>
      <c r="M18" s="4598" t="s">
        <v>405</v>
      </c>
      <c r="N18" s="2529">
        <v>2877544</v>
      </c>
      <c r="O18" s="2530">
        <f t="shared" si="4"/>
        <v>0.22250373379140179</v>
      </c>
      <c r="P18" s="2531">
        <v>89799</v>
      </c>
      <c r="Q18" s="2532">
        <f t="shared" si="5"/>
        <v>0.23563415946155158</v>
      </c>
      <c r="R18" s="2531">
        <v>6137</v>
      </c>
      <c r="S18" s="2532">
        <f t="shared" si="6"/>
        <v>0.25562312562479172</v>
      </c>
      <c r="T18" s="2533">
        <f t="shared" si="12"/>
        <v>32.044276662323632</v>
      </c>
      <c r="U18" s="2521"/>
      <c r="V18" s="4599" t="s">
        <v>405</v>
      </c>
      <c r="W18" s="2529">
        <v>2863316</v>
      </c>
      <c r="X18" s="2530">
        <f t="shared" si="7"/>
        <v>0.22209551411143713</v>
      </c>
      <c r="Y18" s="2531">
        <v>93340</v>
      </c>
      <c r="Z18" s="2532">
        <f t="shared" si="8"/>
        <v>0.21540662789624296</v>
      </c>
      <c r="AA18" s="2531">
        <v>6099</v>
      </c>
      <c r="AB18" s="2534">
        <f t="shared" si="9"/>
        <v>0.23674404161167611</v>
      </c>
      <c r="AC18" s="2533">
        <f t="shared" si="13"/>
        <v>30.676194557531606</v>
      </c>
      <c r="AE18" s="4598" t="s">
        <v>405</v>
      </c>
      <c r="AF18" s="2529">
        <v>2821221</v>
      </c>
      <c r="AG18" s="2535">
        <v>0.22</v>
      </c>
      <c r="AH18" s="2531">
        <v>93878</v>
      </c>
      <c r="AI18" s="2534">
        <v>0.215</v>
      </c>
      <c r="AJ18" s="2531">
        <v>6038</v>
      </c>
      <c r="AK18" s="2534">
        <v>0.24</v>
      </c>
      <c r="AL18" s="2533">
        <f t="shared" si="16"/>
        <v>30.051993012207333</v>
      </c>
      <c r="AN18" s="4598" t="s">
        <v>405</v>
      </c>
      <c r="AO18" s="2529">
        <v>2844764</v>
      </c>
      <c r="AP18" s="2535">
        <f t="shared" si="17"/>
        <v>0.21813670799262461</v>
      </c>
      <c r="AQ18" s="2531">
        <v>97563</v>
      </c>
      <c r="AR18" s="2534">
        <f t="shared" si="14"/>
        <v>0.2193131725475827</v>
      </c>
      <c r="AS18" s="2531">
        <v>6036</v>
      </c>
      <c r="AT18" s="2534">
        <f t="shared" si="15"/>
        <v>0.24145931674533963</v>
      </c>
      <c r="AU18" s="2533">
        <f t="shared" si="10"/>
        <v>29.158225966811187</v>
      </c>
    </row>
    <row r="19" spans="1:47" x14ac:dyDescent="0.35">
      <c r="D19" s="2195" t="s">
        <v>409</v>
      </c>
      <c r="E19" s="2529">
        <v>1753734</v>
      </c>
      <c r="F19" s="2530">
        <f t="shared" si="1"/>
        <v>0.14318207480414188</v>
      </c>
      <c r="G19" s="2531">
        <v>55930</v>
      </c>
      <c r="H19" s="2532">
        <f t="shared" si="2"/>
        <v>0.14733425883728957</v>
      </c>
      <c r="I19" s="2531">
        <v>4045</v>
      </c>
      <c r="J19" s="2532">
        <f t="shared" si="3"/>
        <v>0.1692114620372307</v>
      </c>
      <c r="K19" s="2533">
        <f t="shared" si="11"/>
        <v>31.355873413195066</v>
      </c>
      <c r="L19" s="109"/>
      <c r="M19" s="4598" t="s">
        <v>409</v>
      </c>
      <c r="N19" s="2529">
        <v>1765555</v>
      </c>
      <c r="O19" s="2530">
        <f t="shared" si="4"/>
        <v>0.13652009481491104</v>
      </c>
      <c r="P19" s="2531">
        <v>54418</v>
      </c>
      <c r="Q19" s="2532">
        <f t="shared" si="5"/>
        <v>0.14279379157427938</v>
      </c>
      <c r="R19" s="2531">
        <v>4045</v>
      </c>
      <c r="S19" s="2532">
        <f t="shared" si="6"/>
        <v>0.16848550483172275</v>
      </c>
      <c r="T19" s="2533">
        <f t="shared" si="12"/>
        <v>32.44431989415267</v>
      </c>
      <c r="U19" s="2521"/>
      <c r="V19" s="4599" t="s">
        <v>409</v>
      </c>
      <c r="W19" s="2529">
        <v>1776467</v>
      </c>
      <c r="X19" s="2530">
        <f t="shared" si="7"/>
        <v>0.13779315718803037</v>
      </c>
      <c r="Y19" s="2531">
        <v>53736</v>
      </c>
      <c r="Z19" s="2532">
        <f t="shared" si="8"/>
        <v>0.12400996953752423</v>
      </c>
      <c r="AA19" s="2531">
        <v>4025</v>
      </c>
      <c r="AB19" s="2534">
        <f t="shared" si="9"/>
        <v>0.15623786973061099</v>
      </c>
      <c r="AC19" s="2533">
        <f t="shared" si="13"/>
        <v>33.059159595057316</v>
      </c>
      <c r="AE19" s="4598" t="s">
        <v>409</v>
      </c>
      <c r="AF19" s="2529">
        <v>1724791</v>
      </c>
      <c r="AG19" s="2535">
        <v>0.13500000000000001</v>
      </c>
      <c r="AH19" s="2531">
        <v>54729</v>
      </c>
      <c r="AI19" s="2534">
        <v>0.125</v>
      </c>
      <c r="AJ19" s="2531">
        <v>4006</v>
      </c>
      <c r="AK19" s="2534">
        <v>0.159</v>
      </c>
      <c r="AL19" s="2533">
        <f t="shared" si="16"/>
        <v>31.515119954685815</v>
      </c>
      <c r="AN19" s="4598" t="s">
        <v>409</v>
      </c>
      <c r="AO19" s="2529">
        <v>1753819</v>
      </c>
      <c r="AP19" s="2535">
        <f t="shared" si="17"/>
        <v>0.13448296697895393</v>
      </c>
      <c r="AQ19" s="2531">
        <v>54019</v>
      </c>
      <c r="AR19" s="2534">
        <f t="shared" si="14"/>
        <v>0.1214300325722648</v>
      </c>
      <c r="AS19" s="2531">
        <v>3931</v>
      </c>
      <c r="AT19" s="2534">
        <f t="shared" si="15"/>
        <v>0.15725258020641653</v>
      </c>
      <c r="AU19" s="2533">
        <f t="shared" si="10"/>
        <v>32.466706158944078</v>
      </c>
    </row>
    <row r="20" spans="1:47" x14ac:dyDescent="0.35">
      <c r="D20" s="2195" t="s">
        <v>408</v>
      </c>
      <c r="E20" s="2529">
        <v>1079280</v>
      </c>
      <c r="F20" s="2530">
        <f t="shared" si="1"/>
        <v>8.8116869316905669E-2</v>
      </c>
      <c r="G20" s="2531">
        <v>35153</v>
      </c>
      <c r="H20" s="2532">
        <f t="shared" si="2"/>
        <v>9.2602202769662786E-2</v>
      </c>
      <c r="I20" s="2531">
        <v>1862</v>
      </c>
      <c r="J20" s="2532">
        <f t="shared" si="3"/>
        <v>7.7891654465592972E-2</v>
      </c>
      <c r="K20" s="2533">
        <f t="shared" si="11"/>
        <v>30.702358262452705</v>
      </c>
      <c r="L20" s="109"/>
      <c r="M20" s="4598" t="s">
        <v>408</v>
      </c>
      <c r="N20" s="2529">
        <v>1074352</v>
      </c>
      <c r="O20" s="2530">
        <f t="shared" si="4"/>
        <v>8.3073388767038861E-2</v>
      </c>
      <c r="P20" s="2531">
        <v>34404</v>
      </c>
      <c r="Q20" s="2532">
        <f t="shared" si="5"/>
        <v>9.0276702659441876E-2</v>
      </c>
      <c r="R20" s="2531">
        <v>1862</v>
      </c>
      <c r="S20" s="2532">
        <f t="shared" si="6"/>
        <v>7.7557480839720097E-2</v>
      </c>
      <c r="T20" s="2533">
        <f t="shared" si="12"/>
        <v>31.227531682362518</v>
      </c>
      <c r="U20" s="2521"/>
      <c r="V20" s="4599" t="s">
        <v>408</v>
      </c>
      <c r="W20" s="2529">
        <v>1096428</v>
      </c>
      <c r="X20" s="2530">
        <f t="shared" si="7"/>
        <v>8.5045360116094343E-2</v>
      </c>
      <c r="Y20" s="2531">
        <v>34546</v>
      </c>
      <c r="Z20" s="2532">
        <f t="shared" si="8"/>
        <v>7.9723991507430994E-2</v>
      </c>
      <c r="AA20" s="2531">
        <v>1836</v>
      </c>
      <c r="AB20" s="2534">
        <f t="shared" si="9"/>
        <v>7.1267758714385523E-2</v>
      </c>
      <c r="AC20" s="2533">
        <f t="shared" si="13"/>
        <v>31.738204133618943</v>
      </c>
      <c r="AE20" s="4598" t="s">
        <v>408</v>
      </c>
      <c r="AF20" s="2529">
        <v>1045972</v>
      </c>
      <c r="AG20" s="2535">
        <v>8.2000000000000003E-2</v>
      </c>
      <c r="AH20" s="2531">
        <v>34825</v>
      </c>
      <c r="AI20" s="2534">
        <v>0.08</v>
      </c>
      <c r="AJ20" s="2531">
        <v>1863</v>
      </c>
      <c r="AK20" s="2534">
        <v>7.3999999999999996E-2</v>
      </c>
      <c r="AL20" s="2533">
        <f t="shared" si="16"/>
        <v>30.035089734386215</v>
      </c>
      <c r="AN20" s="4598" t="s">
        <v>408</v>
      </c>
      <c r="AO20" s="2529">
        <v>1094941</v>
      </c>
      <c r="AP20" s="2535">
        <f t="shared" si="17"/>
        <v>8.3960154580890498E-2</v>
      </c>
      <c r="AQ20" s="2531">
        <v>36979</v>
      </c>
      <c r="AR20" s="2534">
        <f t="shared" si="14"/>
        <v>8.3125588672314926E-2</v>
      </c>
      <c r="AS20" s="2531">
        <v>1795</v>
      </c>
      <c r="AT20" s="2534">
        <f t="shared" si="15"/>
        <v>7.1805744459556758E-2</v>
      </c>
      <c r="AU20" s="2533">
        <f t="shared" si="10"/>
        <v>29.609805565320858</v>
      </c>
    </row>
    <row r="21" spans="1:47" ht="21.5" x14ac:dyDescent="0.35">
      <c r="D21" s="2195" t="s">
        <v>403</v>
      </c>
      <c r="E21" s="2536">
        <v>290139</v>
      </c>
      <c r="F21" s="2537">
        <f t="shared" si="1"/>
        <v>2.3688144269084662E-2</v>
      </c>
      <c r="G21" s="2531">
        <v>9162</v>
      </c>
      <c r="H21" s="2532">
        <f>+G22/$G$24</f>
        <v>6.6188460353043752E-2</v>
      </c>
      <c r="I21" s="2531">
        <v>581</v>
      </c>
      <c r="J21" s="2532">
        <f t="shared" si="3"/>
        <v>2.4304538799414348E-2</v>
      </c>
      <c r="K21" s="2533">
        <f t="shared" si="11"/>
        <v>31.667648984937788</v>
      </c>
      <c r="M21" s="4598" t="s">
        <v>403</v>
      </c>
      <c r="N21" s="2536">
        <v>292595</v>
      </c>
      <c r="O21" s="2530">
        <f>+N22/$N$24</f>
        <v>6.4137856643287694E-2</v>
      </c>
      <c r="P21" s="2531">
        <v>9179</v>
      </c>
      <c r="Q21" s="2532">
        <f>+P22/$P$24</f>
        <v>6.8395019614531816E-2</v>
      </c>
      <c r="R21" s="2531">
        <v>1544</v>
      </c>
      <c r="S21" s="2532">
        <f t="shared" si="6"/>
        <v>6.4311896034655119E-2</v>
      </c>
      <c r="T21" s="2533">
        <f t="shared" si="12"/>
        <v>31.876566074735809</v>
      </c>
      <c r="U21" s="2521"/>
      <c r="V21" s="4599" t="s">
        <v>403</v>
      </c>
      <c r="W21" s="2536">
        <v>292377</v>
      </c>
      <c r="X21" s="2530">
        <f>+W22/$W$24</f>
        <v>6.4052010068356452E-2</v>
      </c>
      <c r="Y21" s="2531">
        <v>10233</v>
      </c>
      <c r="Z21" s="2532">
        <f>+Y22/$Y$24</f>
        <v>6.5152773931505578E-2</v>
      </c>
      <c r="AA21" s="2531">
        <v>1556</v>
      </c>
      <c r="AB21" s="2534">
        <f t="shared" si="9"/>
        <v>6.0399037341821289E-2</v>
      </c>
      <c r="AC21" s="2533">
        <f t="shared" si="13"/>
        <v>28.571973028437409</v>
      </c>
      <c r="AE21" s="4598" t="s">
        <v>403</v>
      </c>
      <c r="AF21" s="2536">
        <v>295339</v>
      </c>
      <c r="AG21" s="2535">
        <v>2.3E-2</v>
      </c>
      <c r="AH21" s="2531">
        <v>10603</v>
      </c>
      <c r="AI21" s="2534">
        <v>2.4E-2</v>
      </c>
      <c r="AJ21" s="2531">
        <v>582</v>
      </c>
      <c r="AK21" s="2534">
        <v>2.3E-2</v>
      </c>
      <c r="AL21" s="2533">
        <f t="shared" si="16"/>
        <v>27.854286522682258</v>
      </c>
      <c r="AN21" s="4598" t="s">
        <v>403</v>
      </c>
      <c r="AO21" s="2536">
        <v>298888</v>
      </c>
      <c r="AP21" s="2535">
        <f t="shared" si="17"/>
        <v>2.2918753323122616E-2</v>
      </c>
      <c r="AQ21" s="2531">
        <v>10653</v>
      </c>
      <c r="AR21" s="2534">
        <f t="shared" si="14"/>
        <v>2.3947021177591902E-2</v>
      </c>
      <c r="AS21" s="2531">
        <v>583</v>
      </c>
      <c r="AT21" s="2534">
        <f t="shared" si="15"/>
        <v>2.3321865749259939E-2</v>
      </c>
      <c r="AU21" s="2533">
        <f t="shared" si="10"/>
        <v>28.056697643856189</v>
      </c>
    </row>
    <row r="22" spans="1:47" x14ac:dyDescent="0.35">
      <c r="D22" s="2195" t="s">
        <v>406</v>
      </c>
      <c r="E22" s="2536">
        <v>813873</v>
      </c>
      <c r="F22" s="2537">
        <f t="shared" si="1"/>
        <v>6.6447947503481916E-2</v>
      </c>
      <c r="G22" s="2531">
        <v>25126</v>
      </c>
      <c r="H22" s="2532">
        <f>+G21/$G$24</f>
        <v>2.4135106015863526E-2</v>
      </c>
      <c r="I22" s="2531">
        <v>1544</v>
      </c>
      <c r="J22" s="2532">
        <f t="shared" si="3"/>
        <v>6.4588998117548632E-2</v>
      </c>
      <c r="K22" s="2533">
        <f t="shared" si="11"/>
        <v>32.391666003343154</v>
      </c>
      <c r="M22" s="4598" t="s">
        <v>406</v>
      </c>
      <c r="N22" s="2536">
        <v>829467</v>
      </c>
      <c r="O22" s="2530">
        <f>+N21/$N$24</f>
        <v>2.2624668810866212E-2</v>
      </c>
      <c r="P22" s="2531">
        <v>26065</v>
      </c>
      <c r="Q22" s="2532">
        <f>+P21/$P$24</f>
        <v>2.40858578569648E-2</v>
      </c>
      <c r="R22" s="2531">
        <v>581</v>
      </c>
      <c r="S22" s="2532">
        <f t="shared" si="6"/>
        <v>2.4200266577807397E-2</v>
      </c>
      <c r="T22" s="2533">
        <f t="shared" si="12"/>
        <v>31.823019374640321</v>
      </c>
      <c r="U22" s="2521"/>
      <c r="V22" s="4599" t="s">
        <v>406</v>
      </c>
      <c r="W22" s="2536">
        <v>825776</v>
      </c>
      <c r="X22" s="2530">
        <f>+W21/$W$24</f>
        <v>2.2678467947428664E-2</v>
      </c>
      <c r="Y22" s="2531">
        <v>28232</v>
      </c>
      <c r="Z22" s="2532">
        <f>+Y21/$Y$24</f>
        <v>2.3615342010523399E-2</v>
      </c>
      <c r="AA22" s="2531">
        <v>579</v>
      </c>
      <c r="AB22" s="2534">
        <f t="shared" si="9"/>
        <v>2.2474963123981059E-2</v>
      </c>
      <c r="AC22" s="2533">
        <f t="shared" si="13"/>
        <v>29.249645792009069</v>
      </c>
      <c r="AE22" s="4598" t="s">
        <v>406</v>
      </c>
      <c r="AF22" s="2536">
        <v>840640</v>
      </c>
      <c r="AG22" s="2535">
        <v>6.6000000000000003E-2</v>
      </c>
      <c r="AH22" s="2531">
        <v>27352</v>
      </c>
      <c r="AI22" s="2534">
        <v>6.3E-2</v>
      </c>
      <c r="AJ22" s="2531">
        <v>1523</v>
      </c>
      <c r="AK22" s="2534">
        <v>6.0999999999999999E-2</v>
      </c>
      <c r="AL22" s="2533">
        <f t="shared" si="16"/>
        <v>30.734132787364725</v>
      </c>
      <c r="AN22" s="4598" t="s">
        <v>406</v>
      </c>
      <c r="AO22" s="2536">
        <v>852589</v>
      </c>
      <c r="AP22" s="2535">
        <f t="shared" si="17"/>
        <v>6.5376585801396464E-2</v>
      </c>
      <c r="AQ22" s="2531">
        <v>28012</v>
      </c>
      <c r="AR22" s="2534">
        <f t="shared" si="14"/>
        <v>6.296854944397863E-2</v>
      </c>
      <c r="AS22" s="2531">
        <v>1536</v>
      </c>
      <c r="AT22" s="2534">
        <f t="shared" si="15"/>
        <v>6.1444915593247461E-2</v>
      </c>
      <c r="AU22" s="2533">
        <f t="shared" si="10"/>
        <v>30.436562901613595</v>
      </c>
    </row>
    <row r="23" spans="1:47" ht="21.5" x14ac:dyDescent="0.35">
      <c r="D23" s="2195" t="s">
        <v>401</v>
      </c>
      <c r="E23" s="2529">
        <v>1097509</v>
      </c>
      <c r="F23" s="2530">
        <f t="shared" si="1"/>
        <v>8.9605160039218576E-2</v>
      </c>
      <c r="G23" s="2531">
        <v>36958</v>
      </c>
      <c r="H23" s="2532">
        <f>+G23/$G$24</f>
        <v>9.7357045201297107E-2</v>
      </c>
      <c r="I23" s="2531">
        <v>1683</v>
      </c>
      <c r="J23" s="2532">
        <f t="shared" si="3"/>
        <v>7.0403681238234678E-2</v>
      </c>
      <c r="K23" s="2533">
        <f t="shared" si="11"/>
        <v>29.696114508360843</v>
      </c>
      <c r="M23" s="4598" t="s">
        <v>401</v>
      </c>
      <c r="N23" s="2529">
        <v>1116572</v>
      </c>
      <c r="O23" s="2530">
        <f>+N23/$N$24</f>
        <v>8.6338015699128523E-2</v>
      </c>
      <c r="P23" s="2531">
        <v>37516</v>
      </c>
      <c r="Q23" s="2532">
        <f>+P23/$P$24</f>
        <v>9.8442645534577988E-2</v>
      </c>
      <c r="R23" s="2531">
        <v>1683</v>
      </c>
      <c r="S23" s="2532">
        <f t="shared" si="6"/>
        <v>7.0101632789070306E-2</v>
      </c>
      <c r="T23" s="2533">
        <f t="shared" si="12"/>
        <v>29.762554643352171</v>
      </c>
      <c r="U23" s="2521"/>
      <c r="V23" s="4599" t="s">
        <v>401</v>
      </c>
      <c r="W23" s="2529">
        <v>1127634</v>
      </c>
      <c r="X23" s="2530">
        <f>+W23/$W$24</f>
        <v>8.7465879756036813E-2</v>
      </c>
      <c r="Y23" s="2531">
        <v>37585</v>
      </c>
      <c r="Z23" s="2532">
        <f>+Y23/$Y$24</f>
        <v>8.6737284224129976E-2</v>
      </c>
      <c r="AA23" s="2531">
        <v>1776</v>
      </c>
      <c r="AB23" s="2534">
        <f t="shared" si="9"/>
        <v>6.8938746991693195E-2</v>
      </c>
      <c r="AC23" s="2533">
        <f t="shared" si="13"/>
        <v>30.002234934149261</v>
      </c>
      <c r="AE23" s="4598" t="s">
        <v>401</v>
      </c>
      <c r="AF23" s="2529">
        <v>1141057</v>
      </c>
      <c r="AG23" s="2535">
        <v>8.8999999999999996E-2</v>
      </c>
      <c r="AH23" s="2531">
        <v>40466</v>
      </c>
      <c r="AI23" s="2534">
        <v>9.2999999999999999E-2</v>
      </c>
      <c r="AJ23" s="2531">
        <v>1710</v>
      </c>
      <c r="AK23" s="2534">
        <v>6.8000000000000005E-2</v>
      </c>
      <c r="AL23" s="2533">
        <f t="shared" si="16"/>
        <v>28.197919240844165</v>
      </c>
      <c r="AN23" s="4598" t="s">
        <v>401</v>
      </c>
      <c r="AO23" s="2529">
        <v>1188926</v>
      </c>
      <c r="AP23" s="2535">
        <f t="shared" si="17"/>
        <v>9.1166931136234572E-2</v>
      </c>
      <c r="AQ23" s="2531">
        <v>41603</v>
      </c>
      <c r="AR23" s="2534">
        <f t="shared" si="14"/>
        <v>9.3519940115587702E-2</v>
      </c>
      <c r="AS23" s="2531">
        <v>1718</v>
      </c>
      <c r="AT23" s="2534">
        <f t="shared" si="15"/>
        <v>6.8725498039843194E-2</v>
      </c>
      <c r="AU23" s="2533">
        <f>AO23/AQ23</f>
        <v>28.577891017474702</v>
      </c>
    </row>
    <row r="24" spans="1:47" x14ac:dyDescent="0.35">
      <c r="D24" s="2538" t="s">
        <v>982</v>
      </c>
      <c r="E24" s="2539">
        <v>12248279</v>
      </c>
      <c r="F24" s="2540">
        <f>SUM(F15:F20)</f>
        <v>0.86648516089484906</v>
      </c>
      <c r="G24" s="2541">
        <v>379613</v>
      </c>
      <c r="H24" s="2542">
        <f>SUM(H15:H20)</f>
        <v>0.90841725652177352</v>
      </c>
      <c r="I24" s="2541">
        <v>23905</v>
      </c>
      <c r="J24" s="2542">
        <f>SUM(J15:J20)</f>
        <v>0.91541518510771813</v>
      </c>
      <c r="K24" s="2543">
        <f>+E24/G24</f>
        <v>32.265172689028034</v>
      </c>
      <c r="M24" s="4600" t="s">
        <v>982</v>
      </c>
      <c r="N24" s="2539">
        <f>SUM(N15:N23)</f>
        <v>12932565</v>
      </c>
      <c r="O24" s="2540">
        <f>SUM(O15:O22)</f>
        <v>0.91366198430087131</v>
      </c>
      <c r="P24" s="2539">
        <f>SUM(P15:P22)</f>
        <v>381095</v>
      </c>
      <c r="Q24" s="2542">
        <f>SUM(Q15:Q22)</f>
        <v>1</v>
      </c>
      <c r="R24" s="2539">
        <f>SUM(R15:R22)</f>
        <v>24008</v>
      </c>
      <c r="S24" s="2542">
        <f>SUM(S15:S22)</f>
        <v>1.0000000000000002</v>
      </c>
      <c r="T24" s="2544">
        <f>+N24/P24</f>
        <v>33.935278605072227</v>
      </c>
      <c r="U24" s="2521"/>
      <c r="V24" s="4601" t="s">
        <v>982</v>
      </c>
      <c r="W24" s="2539">
        <f t="shared" ref="W24:AB24" si="18">SUM(W15:W23)</f>
        <v>12892273</v>
      </c>
      <c r="X24" s="2540">
        <f t="shared" si="18"/>
        <v>1</v>
      </c>
      <c r="Y24" s="2539">
        <f t="shared" si="18"/>
        <v>433320</v>
      </c>
      <c r="Z24" s="2542">
        <f t="shared" si="18"/>
        <v>0.99999999999999989</v>
      </c>
      <c r="AA24" s="2539">
        <f t="shared" si="18"/>
        <v>25762</v>
      </c>
      <c r="AB24" s="2542">
        <f t="shared" si="18"/>
        <v>1</v>
      </c>
      <c r="AC24" s="2544">
        <f t="shared" si="13"/>
        <v>29.752314686605743</v>
      </c>
      <c r="AE24" s="4600" t="s">
        <v>982</v>
      </c>
      <c r="AF24" s="2539">
        <f t="shared" ref="AF24:AK24" si="19">SUM(AF15:AF23)</f>
        <v>12819542</v>
      </c>
      <c r="AG24" s="2540">
        <f t="shared" si="19"/>
        <v>1.0009999999999999</v>
      </c>
      <c r="AH24" s="2539">
        <f t="shared" si="19"/>
        <v>437449</v>
      </c>
      <c r="AI24" s="2542">
        <f t="shared" si="19"/>
        <v>1.0009999999999999</v>
      </c>
      <c r="AJ24" s="2539">
        <f t="shared" si="19"/>
        <v>25154</v>
      </c>
      <c r="AK24" s="2542">
        <f t="shared" si="19"/>
        <v>1</v>
      </c>
      <c r="AL24" s="2544">
        <f>+AF24/AH24</f>
        <v>29.305226437824754</v>
      </c>
      <c r="AN24" s="4600" t="s">
        <v>982</v>
      </c>
      <c r="AO24" s="2539">
        <f>SUM(AO15:AO23)</f>
        <v>13041198</v>
      </c>
      <c r="AP24" s="2545">
        <f t="shared" si="17"/>
        <v>1</v>
      </c>
      <c r="AQ24" s="2539">
        <f>SUM(AQ15:AQ23)</f>
        <v>444857</v>
      </c>
      <c r="AR24" s="2545">
        <f>AQ24/$AQ$24</f>
        <v>1</v>
      </c>
      <c r="AS24" s="2539">
        <f>SUM(AS15:AS23)</f>
        <v>24998</v>
      </c>
      <c r="AT24" s="2545">
        <f t="shared" si="15"/>
        <v>1</v>
      </c>
      <c r="AU24" s="2546">
        <f>AO24/AQ24</f>
        <v>29.315483402531601</v>
      </c>
    </row>
    <row r="25" spans="1:47" x14ac:dyDescent="0.35">
      <c r="D25" s="2078"/>
      <c r="E25" s="109"/>
      <c r="F25" s="109"/>
      <c r="G25" s="109"/>
      <c r="H25" s="109"/>
      <c r="I25" s="109"/>
      <c r="J25" s="109"/>
      <c r="K25" s="109"/>
      <c r="L25" s="109"/>
      <c r="M25" s="109"/>
      <c r="N25" s="109"/>
      <c r="O25" s="2078"/>
      <c r="P25" s="109"/>
      <c r="Q25" s="109"/>
      <c r="R25" s="109"/>
      <c r="S25" s="109"/>
      <c r="T25" s="109"/>
      <c r="U25" s="2521"/>
      <c r="V25" s="2521"/>
      <c r="W25" s="2521"/>
      <c r="X25" s="2521"/>
      <c r="Y25" s="2521"/>
      <c r="Z25" s="2521"/>
      <c r="AA25" s="2521"/>
      <c r="AB25" s="2521"/>
      <c r="AC25" s="2521"/>
    </row>
    <row r="26" spans="1:47" x14ac:dyDescent="0.35">
      <c r="A26" s="819">
        <v>5</v>
      </c>
      <c r="B26" s="819" t="s">
        <v>56</v>
      </c>
      <c r="C26" s="819"/>
      <c r="D26" s="2078"/>
      <c r="E26" s="2078"/>
      <c r="F26" s="2078"/>
      <c r="G26" s="2078"/>
      <c r="H26" s="2078"/>
      <c r="I26" s="2078"/>
      <c r="J26" s="2078"/>
      <c r="K26" s="2078"/>
      <c r="L26" s="2078"/>
      <c r="M26" s="2078"/>
      <c r="N26" s="2078"/>
      <c r="O26" s="2078"/>
      <c r="Q26" s="2078"/>
      <c r="S26" s="2078"/>
      <c r="T26" s="2078"/>
    </row>
    <row r="27" spans="1:47" x14ac:dyDescent="0.35">
      <c r="B27" s="819"/>
      <c r="C27" s="819"/>
      <c r="D27" s="2078"/>
      <c r="E27" s="2078"/>
      <c r="F27" s="2078"/>
      <c r="G27" s="2078"/>
      <c r="H27" s="2078"/>
      <c r="I27" s="2078"/>
      <c r="J27" s="2078"/>
      <c r="K27" s="2078"/>
      <c r="L27" s="2078"/>
      <c r="M27" s="2078"/>
      <c r="N27" s="2078"/>
      <c r="O27" s="2078"/>
      <c r="P27" s="2078"/>
      <c r="Q27" s="2078"/>
      <c r="R27" s="2078"/>
      <c r="S27" s="2078"/>
      <c r="T27" s="2078"/>
    </row>
    <row r="28" spans="1:47" x14ac:dyDescent="0.35">
      <c r="B28" s="819"/>
      <c r="C28" s="819"/>
      <c r="D28" s="2078"/>
      <c r="E28" s="2078"/>
      <c r="F28" s="2078"/>
      <c r="G28" s="2078"/>
      <c r="H28" s="2078"/>
      <c r="I28" s="2078"/>
      <c r="J28" s="2078"/>
      <c r="K28" s="2078"/>
      <c r="L28" s="2078"/>
      <c r="M28" s="2078"/>
      <c r="N28" s="2078"/>
      <c r="O28" s="2078"/>
      <c r="P28" s="2078"/>
      <c r="Q28" s="2078"/>
      <c r="R28" s="2078"/>
      <c r="S28" s="2078"/>
      <c r="T28" s="2078"/>
    </row>
    <row r="29" spans="1:47" x14ac:dyDescent="0.35">
      <c r="B29" s="819"/>
      <c r="C29" s="819"/>
      <c r="D29" s="2078"/>
      <c r="E29" s="2078"/>
      <c r="F29" s="2078"/>
      <c r="G29" s="2078"/>
      <c r="H29" s="2078"/>
      <c r="I29" s="2078"/>
      <c r="J29" s="2078"/>
      <c r="K29" s="2078"/>
      <c r="L29" s="2078"/>
      <c r="M29" s="2078"/>
      <c r="N29" s="2078"/>
      <c r="O29" s="2078"/>
    </row>
    <row r="30" spans="1:47" x14ac:dyDescent="0.35">
      <c r="B30" s="819"/>
      <c r="C30" s="819"/>
      <c r="D30" s="2078"/>
      <c r="E30" s="2078"/>
      <c r="F30" s="2078"/>
      <c r="G30" s="2078"/>
      <c r="H30" s="2078"/>
      <c r="I30" s="2078"/>
      <c r="J30" s="2078"/>
      <c r="K30" s="2078"/>
      <c r="L30" s="2078"/>
      <c r="M30" s="2078"/>
      <c r="N30" s="2078"/>
      <c r="O30" s="2078"/>
    </row>
    <row r="31" spans="1:47" x14ac:dyDescent="0.35">
      <c r="B31" s="819"/>
      <c r="C31" s="819"/>
      <c r="D31" s="2078"/>
      <c r="E31" s="2078"/>
      <c r="F31" s="2078"/>
      <c r="G31" s="2078"/>
      <c r="H31" s="2078"/>
      <c r="I31" s="2078"/>
      <c r="J31" s="2078"/>
      <c r="K31" s="2078"/>
      <c r="L31" s="2078"/>
      <c r="M31" s="2078"/>
      <c r="N31" s="2078"/>
      <c r="O31" s="2078"/>
    </row>
    <row r="32" spans="1:47" x14ac:dyDescent="0.35">
      <c r="B32" s="819"/>
      <c r="C32" s="819"/>
      <c r="D32" s="2078"/>
      <c r="E32" s="2078"/>
      <c r="F32" s="2078"/>
      <c r="G32" s="2078"/>
      <c r="H32" s="2078"/>
      <c r="I32" s="2078"/>
      <c r="J32" s="2078"/>
      <c r="K32" s="2078"/>
      <c r="L32" s="2078"/>
      <c r="M32" s="2078"/>
      <c r="N32" s="2078"/>
      <c r="O32" s="2078"/>
    </row>
    <row r="33" spans="1:29" x14ac:dyDescent="0.35">
      <c r="B33" s="819"/>
      <c r="C33" s="819"/>
      <c r="D33" s="2078"/>
      <c r="E33" s="2078"/>
      <c r="F33" s="2078"/>
      <c r="G33" s="2078"/>
      <c r="H33" s="2078"/>
      <c r="I33" s="2078"/>
      <c r="J33" s="2078"/>
      <c r="K33" s="2078"/>
      <c r="L33" s="2078"/>
      <c r="M33" s="2078"/>
      <c r="N33" s="2078"/>
      <c r="O33" s="2078"/>
      <c r="P33" s="2078"/>
      <c r="Q33" s="2078"/>
      <c r="R33" s="2078"/>
      <c r="S33" s="2078"/>
      <c r="T33" s="2078"/>
    </row>
    <row r="34" spans="1:29" x14ac:dyDescent="0.35">
      <c r="B34" s="819"/>
      <c r="C34" s="819"/>
      <c r="D34" s="2078"/>
      <c r="E34" s="2078"/>
      <c r="F34" s="2078"/>
      <c r="G34" s="2078"/>
      <c r="H34" s="2078"/>
      <c r="I34" s="2078"/>
      <c r="J34" s="2078"/>
      <c r="K34" s="2078"/>
      <c r="L34" s="2078"/>
      <c r="M34" s="2078"/>
      <c r="N34" s="2078"/>
      <c r="O34" s="2078"/>
      <c r="P34" s="2078"/>
      <c r="Q34" s="2078"/>
      <c r="R34" s="2078"/>
      <c r="S34" s="2078"/>
      <c r="T34" s="2078"/>
    </row>
    <row r="35" spans="1:29" x14ac:dyDescent="0.35">
      <c r="B35" s="819"/>
      <c r="C35" s="819"/>
      <c r="D35" s="2078"/>
      <c r="E35" s="2078"/>
      <c r="F35" s="2078"/>
      <c r="G35" s="2078"/>
      <c r="H35" s="2078"/>
      <c r="I35" s="2078"/>
      <c r="J35" s="2078"/>
      <c r="K35" s="2078"/>
      <c r="L35" s="2078"/>
      <c r="M35" s="2078"/>
      <c r="N35" s="2078"/>
      <c r="O35" s="2078"/>
      <c r="P35" s="2078"/>
      <c r="Q35" s="2078"/>
      <c r="R35" s="2078"/>
      <c r="S35" s="2078"/>
      <c r="T35" s="2078"/>
    </row>
    <row r="36" spans="1:29" x14ac:dyDescent="0.35">
      <c r="B36" s="819"/>
      <c r="C36" s="819"/>
      <c r="D36" s="2078"/>
      <c r="E36" s="2078"/>
      <c r="F36" s="2078"/>
      <c r="G36" s="2078"/>
      <c r="H36" s="2078"/>
      <c r="I36" s="2078"/>
      <c r="J36" s="2078"/>
      <c r="K36" s="2078"/>
      <c r="L36" s="2078"/>
      <c r="M36" s="2078"/>
      <c r="N36" s="2078"/>
      <c r="O36" s="2078"/>
      <c r="P36" s="2078"/>
      <c r="Q36" s="2078"/>
      <c r="R36" s="2078"/>
      <c r="S36" s="2078"/>
      <c r="T36" s="2078"/>
    </row>
    <row r="37" spans="1:29" x14ac:dyDescent="0.35">
      <c r="B37" s="819"/>
      <c r="C37" s="819"/>
      <c r="D37" s="2078"/>
      <c r="E37" s="2078"/>
      <c r="F37" s="2078"/>
      <c r="G37" s="2078"/>
      <c r="H37" s="2078"/>
      <c r="I37" s="2078"/>
      <c r="J37" s="2078"/>
      <c r="K37" s="2078"/>
      <c r="L37" s="2078"/>
      <c r="M37" s="2078"/>
      <c r="N37" s="2078"/>
      <c r="O37" s="2078"/>
      <c r="P37" s="2078"/>
      <c r="Q37" s="2078"/>
      <c r="R37" s="2078"/>
      <c r="S37" s="2078"/>
      <c r="T37" s="2078"/>
    </row>
    <row r="38" spans="1:29" x14ac:dyDescent="0.35">
      <c r="B38" s="819"/>
      <c r="C38" s="819"/>
      <c r="D38" s="2078"/>
      <c r="E38" s="2078"/>
      <c r="F38" s="2078"/>
      <c r="G38" s="2078"/>
      <c r="H38" s="2078"/>
      <c r="I38" s="2078"/>
      <c r="J38" s="2078"/>
      <c r="K38" s="2078"/>
      <c r="L38" s="2078"/>
      <c r="M38" s="2078"/>
      <c r="N38" s="2078"/>
      <c r="O38" s="2078"/>
      <c r="P38" s="2078"/>
      <c r="Q38" s="2078"/>
      <c r="R38" s="2078"/>
      <c r="S38" s="2078"/>
      <c r="T38" s="2078"/>
    </row>
    <row r="39" spans="1:29" x14ac:dyDescent="0.35">
      <c r="B39" s="819"/>
      <c r="C39" s="819"/>
      <c r="D39" s="2078"/>
      <c r="E39" s="2078"/>
      <c r="F39" s="2078"/>
      <c r="G39" s="2078"/>
      <c r="H39" s="2078"/>
      <c r="I39" s="2078"/>
      <c r="J39" s="2078"/>
      <c r="K39" s="2078"/>
      <c r="L39" s="2078"/>
      <c r="M39" s="2078"/>
      <c r="N39" s="2078"/>
      <c r="O39" s="2078"/>
      <c r="P39" s="2078"/>
      <c r="Q39" s="2078"/>
      <c r="R39" s="2078"/>
      <c r="S39" s="2078"/>
      <c r="T39" s="2078"/>
    </row>
    <row r="40" spans="1:29" x14ac:dyDescent="0.35">
      <c r="B40" s="819"/>
      <c r="C40" s="819"/>
      <c r="D40" s="2078"/>
      <c r="E40" s="2078"/>
      <c r="F40" s="2078"/>
      <c r="G40" s="2078"/>
      <c r="H40" s="2078"/>
      <c r="I40" s="2078"/>
      <c r="J40" s="2078"/>
      <c r="K40" s="2078"/>
      <c r="L40" s="2078"/>
      <c r="M40" s="2078"/>
      <c r="N40" s="2078"/>
      <c r="O40" s="2078"/>
      <c r="P40" s="2078"/>
      <c r="Q40" s="2078"/>
      <c r="R40" s="2078"/>
      <c r="S40" s="2078"/>
      <c r="T40" s="2078"/>
    </row>
    <row r="41" spans="1:29" x14ac:dyDescent="0.35">
      <c r="B41" s="819"/>
      <c r="C41" s="819"/>
      <c r="D41" s="2078"/>
      <c r="E41" s="2078"/>
      <c r="F41" s="2078"/>
      <c r="G41" s="2078"/>
      <c r="H41" s="2078"/>
      <c r="I41" s="2078"/>
      <c r="J41" s="2078"/>
      <c r="K41" s="2078"/>
      <c r="L41" s="2078"/>
      <c r="M41" s="2078"/>
      <c r="N41" s="2078"/>
      <c r="O41" s="2078"/>
      <c r="P41" s="2078"/>
      <c r="Q41" s="2078"/>
      <c r="R41" s="2078"/>
      <c r="S41" s="2078"/>
      <c r="T41" s="2078"/>
    </row>
    <row r="42" spans="1:29" x14ac:dyDescent="0.35">
      <c r="B42" s="819"/>
      <c r="C42" s="819"/>
      <c r="D42" s="2078"/>
      <c r="E42" s="2078"/>
      <c r="F42" s="2078"/>
      <c r="G42" s="2078"/>
      <c r="H42" s="2078"/>
      <c r="I42" s="2078"/>
      <c r="J42" s="2078"/>
      <c r="K42" s="2078"/>
      <c r="L42" s="2078"/>
      <c r="M42" s="2078"/>
      <c r="N42" s="2078"/>
      <c r="O42" s="2078"/>
      <c r="P42" s="2078"/>
      <c r="Q42" s="2078"/>
      <c r="R42" s="2078"/>
      <c r="S42" s="2078"/>
      <c r="T42" s="2078"/>
    </row>
    <row r="43" spans="1:29" x14ac:dyDescent="0.35">
      <c r="A43" s="819">
        <v>6</v>
      </c>
      <c r="B43" s="819" t="s">
        <v>58</v>
      </c>
      <c r="C43" s="819"/>
      <c r="D43" s="4642" t="s">
        <v>858</v>
      </c>
      <c r="E43" s="4643"/>
      <c r="F43" s="4643"/>
      <c r="G43" s="4643"/>
      <c r="H43" s="4643"/>
      <c r="I43" s="4643"/>
      <c r="J43" s="4643"/>
      <c r="K43" s="4643"/>
      <c r="L43" s="4643"/>
      <c r="M43" s="4643"/>
      <c r="N43" s="4643"/>
      <c r="O43" s="4643"/>
      <c r="P43" s="4643"/>
      <c r="Q43" s="4643"/>
      <c r="R43" s="4643"/>
      <c r="S43" s="4643"/>
      <c r="T43" s="4643"/>
      <c r="U43" s="4644"/>
      <c r="V43" s="4593"/>
      <c r="W43" s="4593"/>
      <c r="X43" s="4593"/>
      <c r="Y43" s="4593"/>
      <c r="Z43" s="4593"/>
      <c r="AA43" s="4593"/>
      <c r="AB43" s="4593"/>
      <c r="AC43" s="4593"/>
    </row>
    <row r="44" spans="1:29" ht="32.15" customHeight="1" x14ac:dyDescent="0.35">
      <c r="A44" s="870">
        <v>7</v>
      </c>
      <c r="B44" s="870" t="s">
        <v>60</v>
      </c>
      <c r="C44" s="870"/>
      <c r="D44" s="4642" t="s">
        <v>983</v>
      </c>
      <c r="E44" s="4643"/>
      <c r="F44" s="4643"/>
      <c r="G44" s="4643"/>
      <c r="H44" s="4643"/>
      <c r="I44" s="4643"/>
      <c r="J44" s="4643"/>
      <c r="K44" s="4643"/>
      <c r="L44" s="4643"/>
      <c r="M44" s="4643"/>
      <c r="N44" s="4643"/>
      <c r="O44" s="4643"/>
      <c r="P44" s="4643"/>
      <c r="Q44" s="4643"/>
      <c r="R44" s="4643"/>
      <c r="S44" s="4643"/>
      <c r="T44" s="4643"/>
      <c r="U44" s="4644"/>
      <c r="V44" s="4593"/>
      <c r="W44" s="4593"/>
      <c r="X44" s="4593"/>
      <c r="Y44" s="4593"/>
      <c r="Z44" s="4593"/>
      <c r="AA44" s="4593"/>
      <c r="AB44" s="4593"/>
      <c r="AC44" s="4593"/>
    </row>
    <row r="45" spans="1:29" ht="42" customHeight="1" x14ac:dyDescent="0.35">
      <c r="A45" s="819">
        <v>8</v>
      </c>
      <c r="B45" s="819" t="s">
        <v>62</v>
      </c>
      <c r="C45" s="819"/>
      <c r="D45" s="4691" t="s">
        <v>984</v>
      </c>
      <c r="E45" s="4692"/>
      <c r="F45" s="4692"/>
      <c r="G45" s="4692"/>
      <c r="H45" s="4692"/>
      <c r="I45" s="4692"/>
      <c r="J45" s="4692"/>
      <c r="K45" s="4692"/>
      <c r="L45" s="4692"/>
      <c r="M45" s="4692"/>
      <c r="N45" s="4692"/>
      <c r="O45" s="4692"/>
      <c r="P45" s="4692"/>
      <c r="Q45" s="4692"/>
      <c r="R45" s="4692"/>
      <c r="S45" s="4692"/>
      <c r="T45" s="4692"/>
      <c r="U45" s="4693"/>
      <c r="V45" s="482"/>
      <c r="W45" s="482"/>
      <c r="X45" s="482"/>
      <c r="Y45" s="482"/>
      <c r="Z45" s="482"/>
      <c r="AA45" s="482"/>
      <c r="AB45" s="482"/>
      <c r="AC45" s="482"/>
    </row>
    <row r="46" spans="1:29" ht="30.65" customHeight="1" x14ac:dyDescent="0.35">
      <c r="A46" s="819">
        <v>9</v>
      </c>
      <c r="B46" s="819" t="s">
        <v>64</v>
      </c>
      <c r="C46" s="819"/>
      <c r="D46" s="4691" t="s">
        <v>985</v>
      </c>
      <c r="E46" s="4692"/>
      <c r="F46" s="4692"/>
      <c r="G46" s="4692"/>
      <c r="H46" s="4692"/>
      <c r="I46" s="4692"/>
      <c r="J46" s="4692"/>
      <c r="K46" s="4692"/>
      <c r="L46" s="4692"/>
      <c r="M46" s="4692"/>
      <c r="N46" s="4692"/>
      <c r="O46" s="4692"/>
      <c r="P46" s="4692"/>
      <c r="Q46" s="4692"/>
      <c r="R46" s="4692"/>
      <c r="S46" s="4692"/>
      <c r="T46" s="4692"/>
      <c r="U46" s="4693"/>
      <c r="V46" s="482"/>
      <c r="W46" s="482"/>
      <c r="X46" s="482"/>
      <c r="Y46" s="482"/>
      <c r="Z46" s="482"/>
      <c r="AA46" s="482"/>
      <c r="AB46" s="482"/>
      <c r="AC46" s="482"/>
    </row>
    <row r="47" spans="1:29" x14ac:dyDescent="0.35">
      <c r="B47" s="2547"/>
      <c r="C47" s="2547"/>
    </row>
  </sheetData>
  <mergeCells count="7">
    <mergeCell ref="D46:U46"/>
    <mergeCell ref="D2:AC2"/>
    <mergeCell ref="D3:AC3"/>
    <mergeCell ref="D4:AC4"/>
    <mergeCell ref="D43:U43"/>
    <mergeCell ref="D44:U44"/>
    <mergeCell ref="D45:U45"/>
  </mergeCells>
  <pageMargins left="0.74803149606299202" right="0.74803149606299202" top="0.98425196850393704" bottom="0.98425196850393704" header="0.511811023622047" footer="0.511811023622047"/>
  <pageSetup paperSize="9" scale="28"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22FF9-B243-495E-A2FA-E3EC421FF571}">
  <sheetPr>
    <tabColor rgb="FF00B0F0"/>
    <pageSetUpPr fitToPage="1"/>
  </sheetPr>
  <dimension ref="A1:AB88"/>
  <sheetViews>
    <sheetView showGridLines="0" view="pageBreakPreview" zoomScaleNormal="100" zoomScaleSheetLayoutView="100" workbookViewId="0">
      <selection activeCell="X9" sqref="X9"/>
    </sheetView>
  </sheetViews>
  <sheetFormatPr defaultColWidth="9.1796875" defaultRowHeight="14.5" x14ac:dyDescent="0.35"/>
  <cols>
    <col min="1" max="1" width="3.81640625" style="819" customWidth="1"/>
    <col min="2" max="2" width="14.453125" style="2077" customWidth="1"/>
    <col min="3" max="3" width="3.81640625" style="2077" customWidth="1"/>
    <col min="4" max="4" width="23.453125" style="140" bestFit="1" customWidth="1"/>
    <col min="5" max="262" width="9.1796875" style="140"/>
    <col min="263" max="263" width="3.81640625" style="140" customWidth="1"/>
    <col min="264" max="264" width="14.453125" style="140" customWidth="1"/>
    <col min="265" max="265" width="3.81640625" style="140" customWidth="1"/>
    <col min="266" max="266" width="23.453125" style="140" bestFit="1" customWidth="1"/>
    <col min="267" max="518" width="9.1796875" style="140"/>
    <col min="519" max="519" width="3.81640625" style="140" customWidth="1"/>
    <col min="520" max="520" width="14.453125" style="140" customWidth="1"/>
    <col min="521" max="521" width="3.81640625" style="140" customWidth="1"/>
    <col min="522" max="522" width="23.453125" style="140" bestFit="1" customWidth="1"/>
    <col min="523" max="774" width="9.1796875" style="140"/>
    <col min="775" max="775" width="3.81640625" style="140" customWidth="1"/>
    <col min="776" max="776" width="14.453125" style="140" customWidth="1"/>
    <col min="777" max="777" width="3.81640625" style="140" customWidth="1"/>
    <col min="778" max="778" width="23.453125" style="140" bestFit="1" customWidth="1"/>
    <col min="779" max="1030" width="9.1796875" style="140"/>
    <col min="1031" max="1031" width="3.81640625" style="140" customWidth="1"/>
    <col min="1032" max="1032" width="14.453125" style="140" customWidth="1"/>
    <col min="1033" max="1033" width="3.81640625" style="140" customWidth="1"/>
    <col min="1034" max="1034" width="23.453125" style="140" bestFit="1" customWidth="1"/>
    <col min="1035" max="1286" width="9.1796875" style="140"/>
    <col min="1287" max="1287" width="3.81640625" style="140" customWidth="1"/>
    <col min="1288" max="1288" width="14.453125" style="140" customWidth="1"/>
    <col min="1289" max="1289" width="3.81640625" style="140" customWidth="1"/>
    <col min="1290" max="1290" width="23.453125" style="140" bestFit="1" customWidth="1"/>
    <col min="1291" max="1542" width="9.1796875" style="140"/>
    <col min="1543" max="1543" width="3.81640625" style="140" customWidth="1"/>
    <col min="1544" max="1544" width="14.453125" style="140" customWidth="1"/>
    <col min="1545" max="1545" width="3.81640625" style="140" customWidth="1"/>
    <col min="1546" max="1546" width="23.453125" style="140" bestFit="1" customWidth="1"/>
    <col min="1547" max="1798" width="9.1796875" style="140"/>
    <col min="1799" max="1799" width="3.81640625" style="140" customWidth="1"/>
    <col min="1800" max="1800" width="14.453125" style="140" customWidth="1"/>
    <col min="1801" max="1801" width="3.81640625" style="140" customWidth="1"/>
    <col min="1802" max="1802" width="23.453125" style="140" bestFit="1" customWidth="1"/>
    <col min="1803" max="2054" width="9.1796875" style="140"/>
    <col min="2055" max="2055" width="3.81640625" style="140" customWidth="1"/>
    <col min="2056" max="2056" width="14.453125" style="140" customWidth="1"/>
    <col min="2057" max="2057" width="3.81640625" style="140" customWidth="1"/>
    <col min="2058" max="2058" width="23.453125" style="140" bestFit="1" customWidth="1"/>
    <col min="2059" max="2310" width="9.1796875" style="140"/>
    <col min="2311" max="2311" width="3.81640625" style="140" customWidth="1"/>
    <col min="2312" max="2312" width="14.453125" style="140" customWidth="1"/>
    <col min="2313" max="2313" width="3.81640625" style="140" customWidth="1"/>
    <col min="2314" max="2314" width="23.453125" style="140" bestFit="1" customWidth="1"/>
    <col min="2315" max="2566" width="9.1796875" style="140"/>
    <col min="2567" max="2567" width="3.81640625" style="140" customWidth="1"/>
    <col min="2568" max="2568" width="14.453125" style="140" customWidth="1"/>
    <col min="2569" max="2569" width="3.81640625" style="140" customWidth="1"/>
    <col min="2570" max="2570" width="23.453125" style="140" bestFit="1" customWidth="1"/>
    <col min="2571" max="2822" width="9.1796875" style="140"/>
    <col min="2823" max="2823" width="3.81640625" style="140" customWidth="1"/>
    <col min="2824" max="2824" width="14.453125" style="140" customWidth="1"/>
    <col min="2825" max="2825" width="3.81640625" style="140" customWidth="1"/>
    <col min="2826" max="2826" width="23.453125" style="140" bestFit="1" customWidth="1"/>
    <col min="2827" max="3078" width="9.1796875" style="140"/>
    <col min="3079" max="3079" width="3.81640625" style="140" customWidth="1"/>
    <col min="3080" max="3080" width="14.453125" style="140" customWidth="1"/>
    <col min="3081" max="3081" width="3.81640625" style="140" customWidth="1"/>
    <col min="3082" max="3082" width="23.453125" style="140" bestFit="1" customWidth="1"/>
    <col min="3083" max="3334" width="9.1796875" style="140"/>
    <col min="3335" max="3335" width="3.81640625" style="140" customWidth="1"/>
    <col min="3336" max="3336" width="14.453125" style="140" customWidth="1"/>
    <col min="3337" max="3337" width="3.81640625" style="140" customWidth="1"/>
    <col min="3338" max="3338" width="23.453125" style="140" bestFit="1" customWidth="1"/>
    <col min="3339" max="3590" width="9.1796875" style="140"/>
    <col min="3591" max="3591" width="3.81640625" style="140" customWidth="1"/>
    <col min="3592" max="3592" width="14.453125" style="140" customWidth="1"/>
    <col min="3593" max="3593" width="3.81640625" style="140" customWidth="1"/>
    <col min="3594" max="3594" width="23.453125" style="140" bestFit="1" customWidth="1"/>
    <col min="3595" max="3846" width="9.1796875" style="140"/>
    <col min="3847" max="3847" width="3.81640625" style="140" customWidth="1"/>
    <col min="3848" max="3848" width="14.453125" style="140" customWidth="1"/>
    <col min="3849" max="3849" width="3.81640625" style="140" customWidth="1"/>
    <col min="3850" max="3850" width="23.453125" style="140" bestFit="1" customWidth="1"/>
    <col min="3851" max="4102" width="9.1796875" style="140"/>
    <col min="4103" max="4103" width="3.81640625" style="140" customWidth="1"/>
    <col min="4104" max="4104" width="14.453125" style="140" customWidth="1"/>
    <col min="4105" max="4105" width="3.81640625" style="140" customWidth="1"/>
    <col min="4106" max="4106" width="23.453125" style="140" bestFit="1" customWidth="1"/>
    <col min="4107" max="4358" width="9.1796875" style="140"/>
    <col min="4359" max="4359" width="3.81640625" style="140" customWidth="1"/>
    <col min="4360" max="4360" width="14.453125" style="140" customWidth="1"/>
    <col min="4361" max="4361" width="3.81640625" style="140" customWidth="1"/>
    <col min="4362" max="4362" width="23.453125" style="140" bestFit="1" customWidth="1"/>
    <col min="4363" max="4614" width="9.1796875" style="140"/>
    <col min="4615" max="4615" width="3.81640625" style="140" customWidth="1"/>
    <col min="4616" max="4616" width="14.453125" style="140" customWidth="1"/>
    <col min="4617" max="4617" width="3.81640625" style="140" customWidth="1"/>
    <col min="4618" max="4618" width="23.453125" style="140" bestFit="1" customWidth="1"/>
    <col min="4619" max="4870" width="9.1796875" style="140"/>
    <col min="4871" max="4871" width="3.81640625" style="140" customWidth="1"/>
    <col min="4872" max="4872" width="14.453125" style="140" customWidth="1"/>
    <col min="4873" max="4873" width="3.81640625" style="140" customWidth="1"/>
    <col min="4874" max="4874" width="23.453125" style="140" bestFit="1" customWidth="1"/>
    <col min="4875" max="5126" width="9.1796875" style="140"/>
    <col min="5127" max="5127" width="3.81640625" style="140" customWidth="1"/>
    <col min="5128" max="5128" width="14.453125" style="140" customWidth="1"/>
    <col min="5129" max="5129" width="3.81640625" style="140" customWidth="1"/>
    <col min="5130" max="5130" width="23.453125" style="140" bestFit="1" customWidth="1"/>
    <col min="5131" max="5382" width="9.1796875" style="140"/>
    <col min="5383" max="5383" width="3.81640625" style="140" customWidth="1"/>
    <col min="5384" max="5384" width="14.453125" style="140" customWidth="1"/>
    <col min="5385" max="5385" width="3.81640625" style="140" customWidth="1"/>
    <col min="5386" max="5386" width="23.453125" style="140" bestFit="1" customWidth="1"/>
    <col min="5387" max="5638" width="9.1796875" style="140"/>
    <col min="5639" max="5639" width="3.81640625" style="140" customWidth="1"/>
    <col min="5640" max="5640" width="14.453125" style="140" customWidth="1"/>
    <col min="5641" max="5641" width="3.81640625" style="140" customWidth="1"/>
    <col min="5642" max="5642" width="23.453125" style="140" bestFit="1" customWidth="1"/>
    <col min="5643" max="5894" width="9.1796875" style="140"/>
    <col min="5895" max="5895" width="3.81640625" style="140" customWidth="1"/>
    <col min="5896" max="5896" width="14.453125" style="140" customWidth="1"/>
    <col min="5897" max="5897" width="3.81640625" style="140" customWidth="1"/>
    <col min="5898" max="5898" width="23.453125" style="140" bestFit="1" customWidth="1"/>
    <col min="5899" max="6150" width="9.1796875" style="140"/>
    <col min="6151" max="6151" width="3.81640625" style="140" customWidth="1"/>
    <col min="6152" max="6152" width="14.453125" style="140" customWidth="1"/>
    <col min="6153" max="6153" width="3.81640625" style="140" customWidth="1"/>
    <col min="6154" max="6154" width="23.453125" style="140" bestFit="1" customWidth="1"/>
    <col min="6155" max="6406" width="9.1796875" style="140"/>
    <col min="6407" max="6407" width="3.81640625" style="140" customWidth="1"/>
    <col min="6408" max="6408" width="14.453125" style="140" customWidth="1"/>
    <col min="6409" max="6409" width="3.81640625" style="140" customWidth="1"/>
    <col min="6410" max="6410" width="23.453125" style="140" bestFit="1" customWidth="1"/>
    <col min="6411" max="6662" width="9.1796875" style="140"/>
    <col min="6663" max="6663" width="3.81640625" style="140" customWidth="1"/>
    <col min="6664" max="6664" width="14.453125" style="140" customWidth="1"/>
    <col min="6665" max="6665" width="3.81640625" style="140" customWidth="1"/>
    <col min="6666" max="6666" width="23.453125" style="140" bestFit="1" customWidth="1"/>
    <col min="6667" max="6918" width="9.1796875" style="140"/>
    <col min="6919" max="6919" width="3.81640625" style="140" customWidth="1"/>
    <col min="6920" max="6920" width="14.453125" style="140" customWidth="1"/>
    <col min="6921" max="6921" width="3.81640625" style="140" customWidth="1"/>
    <col min="6922" max="6922" width="23.453125" style="140" bestFit="1" customWidth="1"/>
    <col min="6923" max="7174" width="9.1796875" style="140"/>
    <col min="7175" max="7175" width="3.81640625" style="140" customWidth="1"/>
    <col min="7176" max="7176" width="14.453125" style="140" customWidth="1"/>
    <col min="7177" max="7177" width="3.81640625" style="140" customWidth="1"/>
    <col min="7178" max="7178" width="23.453125" style="140" bestFit="1" customWidth="1"/>
    <col min="7179" max="7430" width="9.1796875" style="140"/>
    <col min="7431" max="7431" width="3.81640625" style="140" customWidth="1"/>
    <col min="7432" max="7432" width="14.453125" style="140" customWidth="1"/>
    <col min="7433" max="7433" width="3.81640625" style="140" customWidth="1"/>
    <col min="7434" max="7434" width="23.453125" style="140" bestFit="1" customWidth="1"/>
    <col min="7435" max="7686" width="9.1796875" style="140"/>
    <col min="7687" max="7687" width="3.81640625" style="140" customWidth="1"/>
    <col min="7688" max="7688" width="14.453125" style="140" customWidth="1"/>
    <col min="7689" max="7689" width="3.81640625" style="140" customWidth="1"/>
    <col min="7690" max="7690" width="23.453125" style="140" bestFit="1" customWidth="1"/>
    <col min="7691" max="7942" width="9.1796875" style="140"/>
    <col min="7943" max="7943" width="3.81640625" style="140" customWidth="1"/>
    <col min="7944" max="7944" width="14.453125" style="140" customWidth="1"/>
    <col min="7945" max="7945" width="3.81640625" style="140" customWidth="1"/>
    <col min="7946" max="7946" width="23.453125" style="140" bestFit="1" customWidth="1"/>
    <col min="7947" max="8198" width="9.1796875" style="140"/>
    <col min="8199" max="8199" width="3.81640625" style="140" customWidth="1"/>
    <col min="8200" max="8200" width="14.453125" style="140" customWidth="1"/>
    <col min="8201" max="8201" width="3.81640625" style="140" customWidth="1"/>
    <col min="8202" max="8202" width="23.453125" style="140" bestFit="1" customWidth="1"/>
    <col min="8203" max="8454" width="9.1796875" style="140"/>
    <col min="8455" max="8455" width="3.81640625" style="140" customWidth="1"/>
    <col min="8456" max="8456" width="14.453125" style="140" customWidth="1"/>
    <col min="8457" max="8457" width="3.81640625" style="140" customWidth="1"/>
    <col min="8458" max="8458" width="23.453125" style="140" bestFit="1" customWidth="1"/>
    <col min="8459" max="8710" width="9.1796875" style="140"/>
    <col min="8711" max="8711" width="3.81640625" style="140" customWidth="1"/>
    <col min="8712" max="8712" width="14.453125" style="140" customWidth="1"/>
    <col min="8713" max="8713" width="3.81640625" style="140" customWidth="1"/>
    <col min="8714" max="8714" width="23.453125" style="140" bestFit="1" customWidth="1"/>
    <col min="8715" max="8966" width="9.1796875" style="140"/>
    <col min="8967" max="8967" width="3.81640625" style="140" customWidth="1"/>
    <col min="8968" max="8968" width="14.453125" style="140" customWidth="1"/>
    <col min="8969" max="8969" width="3.81640625" style="140" customWidth="1"/>
    <col min="8970" max="8970" width="23.453125" style="140" bestFit="1" customWidth="1"/>
    <col min="8971" max="9222" width="9.1796875" style="140"/>
    <col min="9223" max="9223" width="3.81640625" style="140" customWidth="1"/>
    <col min="9224" max="9224" width="14.453125" style="140" customWidth="1"/>
    <col min="9225" max="9225" width="3.81640625" style="140" customWidth="1"/>
    <col min="9226" max="9226" width="23.453125" style="140" bestFit="1" customWidth="1"/>
    <col min="9227" max="9478" width="9.1796875" style="140"/>
    <col min="9479" max="9479" width="3.81640625" style="140" customWidth="1"/>
    <col min="9480" max="9480" width="14.453125" style="140" customWidth="1"/>
    <col min="9481" max="9481" width="3.81640625" style="140" customWidth="1"/>
    <col min="9482" max="9482" width="23.453125" style="140" bestFit="1" customWidth="1"/>
    <col min="9483" max="9734" width="9.1796875" style="140"/>
    <col min="9735" max="9735" width="3.81640625" style="140" customWidth="1"/>
    <col min="9736" max="9736" width="14.453125" style="140" customWidth="1"/>
    <col min="9737" max="9737" width="3.81640625" style="140" customWidth="1"/>
    <col min="9738" max="9738" width="23.453125" style="140" bestFit="1" customWidth="1"/>
    <col min="9739" max="9990" width="9.1796875" style="140"/>
    <col min="9991" max="9991" width="3.81640625" style="140" customWidth="1"/>
    <col min="9992" max="9992" width="14.453125" style="140" customWidth="1"/>
    <col min="9993" max="9993" width="3.81640625" style="140" customWidth="1"/>
    <col min="9994" max="9994" width="23.453125" style="140" bestFit="1" customWidth="1"/>
    <col min="9995" max="10246" width="9.1796875" style="140"/>
    <col min="10247" max="10247" width="3.81640625" style="140" customWidth="1"/>
    <col min="10248" max="10248" width="14.453125" style="140" customWidth="1"/>
    <col min="10249" max="10249" width="3.81640625" style="140" customWidth="1"/>
    <col min="10250" max="10250" width="23.453125" style="140" bestFit="1" customWidth="1"/>
    <col min="10251" max="10502" width="9.1796875" style="140"/>
    <col min="10503" max="10503" width="3.81640625" style="140" customWidth="1"/>
    <col min="10504" max="10504" width="14.453125" style="140" customWidth="1"/>
    <col min="10505" max="10505" width="3.81640625" style="140" customWidth="1"/>
    <col min="10506" max="10506" width="23.453125" style="140" bestFit="1" customWidth="1"/>
    <col min="10507" max="10758" width="9.1796875" style="140"/>
    <col min="10759" max="10759" width="3.81640625" style="140" customWidth="1"/>
    <col min="10760" max="10760" width="14.453125" style="140" customWidth="1"/>
    <col min="10761" max="10761" width="3.81640625" style="140" customWidth="1"/>
    <col min="10762" max="10762" width="23.453125" style="140" bestFit="1" customWidth="1"/>
    <col min="10763" max="11014" width="9.1796875" style="140"/>
    <col min="11015" max="11015" width="3.81640625" style="140" customWidth="1"/>
    <col min="11016" max="11016" width="14.453125" style="140" customWidth="1"/>
    <col min="11017" max="11017" width="3.81640625" style="140" customWidth="1"/>
    <col min="11018" max="11018" width="23.453125" style="140" bestFit="1" customWidth="1"/>
    <col min="11019" max="11270" width="9.1796875" style="140"/>
    <col min="11271" max="11271" width="3.81640625" style="140" customWidth="1"/>
    <col min="11272" max="11272" width="14.453125" style="140" customWidth="1"/>
    <col min="11273" max="11273" width="3.81640625" style="140" customWidth="1"/>
    <col min="11274" max="11274" width="23.453125" style="140" bestFit="1" customWidth="1"/>
    <col min="11275" max="11526" width="9.1796875" style="140"/>
    <col min="11527" max="11527" width="3.81640625" style="140" customWidth="1"/>
    <col min="11528" max="11528" width="14.453125" style="140" customWidth="1"/>
    <col min="11529" max="11529" width="3.81640625" style="140" customWidth="1"/>
    <col min="11530" max="11530" width="23.453125" style="140" bestFit="1" customWidth="1"/>
    <col min="11531" max="11782" width="9.1796875" style="140"/>
    <col min="11783" max="11783" width="3.81640625" style="140" customWidth="1"/>
    <col min="11784" max="11784" width="14.453125" style="140" customWidth="1"/>
    <col min="11785" max="11785" width="3.81640625" style="140" customWidth="1"/>
    <col min="11786" max="11786" width="23.453125" style="140" bestFit="1" customWidth="1"/>
    <col min="11787" max="12038" width="9.1796875" style="140"/>
    <col min="12039" max="12039" width="3.81640625" style="140" customWidth="1"/>
    <col min="12040" max="12040" width="14.453125" style="140" customWidth="1"/>
    <col min="12041" max="12041" width="3.81640625" style="140" customWidth="1"/>
    <col min="12042" max="12042" width="23.453125" style="140" bestFit="1" customWidth="1"/>
    <col min="12043" max="12294" width="9.1796875" style="140"/>
    <col min="12295" max="12295" width="3.81640625" style="140" customWidth="1"/>
    <col min="12296" max="12296" width="14.453125" style="140" customWidth="1"/>
    <col min="12297" max="12297" width="3.81640625" style="140" customWidth="1"/>
    <col min="12298" max="12298" width="23.453125" style="140" bestFit="1" customWidth="1"/>
    <col min="12299" max="12550" width="9.1796875" style="140"/>
    <col min="12551" max="12551" width="3.81640625" style="140" customWidth="1"/>
    <col min="12552" max="12552" width="14.453125" style="140" customWidth="1"/>
    <col min="12553" max="12553" width="3.81640625" style="140" customWidth="1"/>
    <col min="12554" max="12554" width="23.453125" style="140" bestFit="1" customWidth="1"/>
    <col min="12555" max="12806" width="9.1796875" style="140"/>
    <col min="12807" max="12807" width="3.81640625" style="140" customWidth="1"/>
    <col min="12808" max="12808" width="14.453125" style="140" customWidth="1"/>
    <col min="12809" max="12809" width="3.81640625" style="140" customWidth="1"/>
    <col min="12810" max="12810" width="23.453125" style="140" bestFit="1" customWidth="1"/>
    <col min="12811" max="13062" width="9.1796875" style="140"/>
    <col min="13063" max="13063" width="3.81640625" style="140" customWidth="1"/>
    <col min="13064" max="13064" width="14.453125" style="140" customWidth="1"/>
    <col min="13065" max="13065" width="3.81640625" style="140" customWidth="1"/>
    <col min="13066" max="13066" width="23.453125" style="140" bestFit="1" customWidth="1"/>
    <col min="13067" max="13318" width="9.1796875" style="140"/>
    <col min="13319" max="13319" width="3.81640625" style="140" customWidth="1"/>
    <col min="13320" max="13320" width="14.453125" style="140" customWidth="1"/>
    <col min="13321" max="13321" width="3.81640625" style="140" customWidth="1"/>
    <col min="13322" max="13322" width="23.453125" style="140" bestFit="1" customWidth="1"/>
    <col min="13323" max="13574" width="9.1796875" style="140"/>
    <col min="13575" max="13575" width="3.81640625" style="140" customWidth="1"/>
    <col min="13576" max="13576" width="14.453125" style="140" customWidth="1"/>
    <col min="13577" max="13577" width="3.81640625" style="140" customWidth="1"/>
    <col min="13578" max="13578" width="23.453125" style="140" bestFit="1" customWidth="1"/>
    <col min="13579" max="13830" width="9.1796875" style="140"/>
    <col min="13831" max="13831" width="3.81640625" style="140" customWidth="1"/>
    <col min="13832" max="13832" width="14.453125" style="140" customWidth="1"/>
    <col min="13833" max="13833" width="3.81640625" style="140" customWidth="1"/>
    <col min="13834" max="13834" width="23.453125" style="140" bestFit="1" customWidth="1"/>
    <col min="13835" max="14086" width="9.1796875" style="140"/>
    <col min="14087" max="14087" width="3.81640625" style="140" customWidth="1"/>
    <col min="14088" max="14088" width="14.453125" style="140" customWidth="1"/>
    <col min="14089" max="14089" width="3.81640625" style="140" customWidth="1"/>
    <col min="14090" max="14090" width="23.453125" style="140" bestFit="1" customWidth="1"/>
    <col min="14091" max="14342" width="9.1796875" style="140"/>
    <col min="14343" max="14343" width="3.81640625" style="140" customWidth="1"/>
    <col min="14344" max="14344" width="14.453125" style="140" customWidth="1"/>
    <col min="14345" max="14345" width="3.81640625" style="140" customWidth="1"/>
    <col min="14346" max="14346" width="23.453125" style="140" bestFit="1" customWidth="1"/>
    <col min="14347" max="14598" width="9.1796875" style="140"/>
    <col min="14599" max="14599" width="3.81640625" style="140" customWidth="1"/>
    <col min="14600" max="14600" width="14.453125" style="140" customWidth="1"/>
    <col min="14601" max="14601" width="3.81640625" style="140" customWidth="1"/>
    <col min="14602" max="14602" width="23.453125" style="140" bestFit="1" customWidth="1"/>
    <col min="14603" max="14854" width="9.1796875" style="140"/>
    <col min="14855" max="14855" width="3.81640625" style="140" customWidth="1"/>
    <col min="14856" max="14856" width="14.453125" style="140" customWidth="1"/>
    <col min="14857" max="14857" width="3.81640625" style="140" customWidth="1"/>
    <col min="14858" max="14858" width="23.453125" style="140" bestFit="1" customWidth="1"/>
    <col min="14859" max="15110" width="9.1796875" style="140"/>
    <col min="15111" max="15111" width="3.81640625" style="140" customWidth="1"/>
    <col min="15112" max="15112" width="14.453125" style="140" customWidth="1"/>
    <col min="15113" max="15113" width="3.81640625" style="140" customWidth="1"/>
    <col min="15114" max="15114" width="23.453125" style="140" bestFit="1" customWidth="1"/>
    <col min="15115" max="15366" width="9.1796875" style="140"/>
    <col min="15367" max="15367" width="3.81640625" style="140" customWidth="1"/>
    <col min="15368" max="15368" width="14.453125" style="140" customWidth="1"/>
    <col min="15369" max="15369" width="3.81640625" style="140" customWidth="1"/>
    <col min="15370" max="15370" width="23.453125" style="140" bestFit="1" customWidth="1"/>
    <col min="15371" max="15622" width="9.1796875" style="140"/>
    <col min="15623" max="15623" width="3.81640625" style="140" customWidth="1"/>
    <col min="15624" max="15624" width="14.453125" style="140" customWidth="1"/>
    <col min="15625" max="15625" width="3.81640625" style="140" customWidth="1"/>
    <col min="15626" max="15626" width="23.453125" style="140" bestFit="1" customWidth="1"/>
    <col min="15627" max="15878" width="9.1796875" style="140"/>
    <col min="15879" max="15879" width="3.81640625" style="140" customWidth="1"/>
    <col min="15880" max="15880" width="14.453125" style="140" customWidth="1"/>
    <col min="15881" max="15881" width="3.81640625" style="140" customWidth="1"/>
    <col min="15882" max="15882" width="23.453125" style="140" bestFit="1" customWidth="1"/>
    <col min="15883" max="16134" width="9.1796875" style="140"/>
    <col min="16135" max="16135" width="3.81640625" style="140" customWidth="1"/>
    <col min="16136" max="16136" width="14.453125" style="140" customWidth="1"/>
    <col min="16137" max="16137" width="3.81640625" style="140" customWidth="1"/>
    <col min="16138" max="16138" width="23.453125" style="140" bestFit="1" customWidth="1"/>
    <col min="16139" max="16384" width="9.1796875" style="140"/>
  </cols>
  <sheetData>
    <row r="1" spans="1:28" x14ac:dyDescent="0.35">
      <c r="D1" s="2078"/>
      <c r="E1" s="2078"/>
      <c r="F1" s="2078"/>
      <c r="G1" s="2078"/>
      <c r="H1" s="2078"/>
      <c r="I1" s="2078"/>
      <c r="J1" s="2078"/>
      <c r="K1" s="2078"/>
      <c r="L1" s="2078"/>
      <c r="M1" s="2078"/>
      <c r="N1" s="2078"/>
      <c r="O1" s="2078"/>
      <c r="P1" s="2078"/>
      <c r="Q1" s="2078"/>
      <c r="R1" s="2078"/>
      <c r="S1" s="2078"/>
      <c r="T1" s="2078"/>
      <c r="U1" s="2078"/>
    </row>
    <row r="2" spans="1:28" ht="14.5" customHeight="1" x14ac:dyDescent="0.35">
      <c r="A2" s="819">
        <v>1</v>
      </c>
      <c r="B2" s="819" t="s">
        <v>0</v>
      </c>
      <c r="C2" s="819">
        <f>1+'Educator Learner ratio '!C2</f>
        <v>43</v>
      </c>
      <c r="D2" s="4694" t="s">
        <v>986</v>
      </c>
      <c r="E2" s="4695"/>
      <c r="F2" s="4695"/>
      <c r="G2" s="4695"/>
      <c r="H2" s="4695"/>
      <c r="I2" s="4695"/>
      <c r="J2" s="4695"/>
      <c r="K2" s="4695"/>
      <c r="L2" s="4695"/>
      <c r="M2" s="4695"/>
      <c r="N2" s="4695"/>
      <c r="O2" s="4695"/>
      <c r="P2" s="4695"/>
      <c r="Q2" s="4695"/>
      <c r="R2" s="4695"/>
      <c r="S2" s="4695"/>
      <c r="T2" s="4695"/>
      <c r="U2" s="4695"/>
      <c r="V2" s="4695"/>
      <c r="W2" s="4695"/>
      <c r="X2" s="4695"/>
      <c r="Y2" s="4695"/>
      <c r="Z2" s="4696"/>
    </row>
    <row r="3" spans="1:28" x14ac:dyDescent="0.35">
      <c r="A3" s="819">
        <v>2</v>
      </c>
      <c r="B3" s="819" t="s">
        <v>2</v>
      </c>
      <c r="C3" s="819"/>
      <c r="D3" s="4694" t="s">
        <v>952</v>
      </c>
      <c r="E3" s="4695"/>
      <c r="F3" s="4695"/>
      <c r="G3" s="4695"/>
      <c r="H3" s="4695"/>
      <c r="I3" s="4695"/>
      <c r="J3" s="4695"/>
      <c r="K3" s="4695"/>
      <c r="L3" s="4695"/>
      <c r="M3" s="4695"/>
      <c r="N3" s="4695"/>
      <c r="O3" s="4695"/>
      <c r="P3" s="4695"/>
      <c r="Q3" s="4695"/>
      <c r="R3" s="4695"/>
      <c r="S3" s="4695"/>
      <c r="T3" s="4695"/>
      <c r="U3" s="4695"/>
      <c r="V3" s="4695"/>
      <c r="W3" s="4695"/>
      <c r="X3" s="4695"/>
      <c r="Y3" s="4695"/>
      <c r="Z3" s="4696"/>
    </row>
    <row r="4" spans="1:28" ht="15" customHeight="1" x14ac:dyDescent="0.35">
      <c r="A4" s="819">
        <v>3</v>
      </c>
      <c r="B4" s="819" t="s">
        <v>4</v>
      </c>
      <c r="C4" s="819"/>
      <c r="D4" s="4694" t="s">
        <v>987</v>
      </c>
      <c r="E4" s="4695"/>
      <c r="F4" s="4695"/>
      <c r="G4" s="4695"/>
      <c r="H4" s="4695"/>
      <c r="I4" s="4695"/>
      <c r="J4" s="4695"/>
      <c r="K4" s="4695"/>
      <c r="L4" s="4695"/>
      <c r="M4" s="4695"/>
      <c r="N4" s="4695"/>
      <c r="O4" s="4695"/>
      <c r="P4" s="4695"/>
      <c r="Q4" s="4695"/>
      <c r="R4" s="4695"/>
      <c r="S4" s="4695"/>
      <c r="T4" s="4695"/>
      <c r="U4" s="4695"/>
      <c r="V4" s="4695"/>
      <c r="W4" s="4695"/>
      <c r="X4" s="4695"/>
      <c r="Y4" s="4695"/>
      <c r="Z4" s="4696"/>
    </row>
    <row r="5" spans="1:28" x14ac:dyDescent="0.35">
      <c r="C5" s="1192"/>
      <c r="D5" s="2512"/>
    </row>
    <row r="6" spans="1:28" x14ac:dyDescent="0.35">
      <c r="A6" s="819">
        <v>4</v>
      </c>
      <c r="B6" s="1192" t="s">
        <v>6</v>
      </c>
      <c r="D6" s="90" t="s">
        <v>7</v>
      </c>
      <c r="E6" s="89" t="s">
        <v>988</v>
      </c>
      <c r="F6" s="89"/>
      <c r="G6" s="89"/>
      <c r="H6" s="89"/>
      <c r="I6" s="89"/>
      <c r="J6" s="89"/>
      <c r="K6" s="89"/>
      <c r="L6" s="89"/>
      <c r="M6" s="2078"/>
      <c r="N6" s="2078"/>
      <c r="O6" s="2078"/>
      <c r="P6" s="2078"/>
      <c r="Q6" s="2078"/>
      <c r="R6" s="2078"/>
      <c r="S6" s="2078"/>
      <c r="T6" s="2078"/>
      <c r="U6" s="2078"/>
    </row>
    <row r="7" spans="1:28" s="2555" customFormat="1" x14ac:dyDescent="0.35">
      <c r="A7" s="2548"/>
      <c r="B7" s="2125"/>
      <c r="C7" s="2125"/>
      <c r="D7" s="2549"/>
      <c r="E7" s="2550">
        <v>1997</v>
      </c>
      <c r="F7" s="2550">
        <v>1998</v>
      </c>
      <c r="G7" s="2550">
        <v>1999</v>
      </c>
      <c r="H7" s="2550">
        <v>2000</v>
      </c>
      <c r="I7" s="2550">
        <v>2001</v>
      </c>
      <c r="J7" s="2550">
        <v>2002</v>
      </c>
      <c r="K7" s="2550">
        <v>2003</v>
      </c>
      <c r="L7" s="2550">
        <v>2004</v>
      </c>
      <c r="M7" s="2550">
        <v>2005</v>
      </c>
      <c r="N7" s="2551">
        <v>2006</v>
      </c>
      <c r="O7" s="2551">
        <v>2007</v>
      </c>
      <c r="P7" s="2551">
        <v>2008</v>
      </c>
      <c r="Q7" s="2551">
        <v>2009</v>
      </c>
      <c r="R7" s="2551">
        <v>2010</v>
      </c>
      <c r="S7" s="2551">
        <v>2011</v>
      </c>
      <c r="T7" s="2551">
        <v>2012</v>
      </c>
      <c r="U7" s="2551">
        <v>2013</v>
      </c>
      <c r="V7" s="2551">
        <v>2014</v>
      </c>
      <c r="W7" s="2552">
        <v>2015</v>
      </c>
      <c r="X7" s="2552">
        <v>2016</v>
      </c>
      <c r="Y7" s="2553">
        <v>2017</v>
      </c>
      <c r="Z7" s="2553">
        <v>2018</v>
      </c>
      <c r="AA7" s="2553">
        <v>2019</v>
      </c>
      <c r="AB7" s="2554"/>
    </row>
    <row r="8" spans="1:28" s="171" customFormat="1" ht="13" x14ac:dyDescent="0.25">
      <c r="A8" s="2556"/>
      <c r="B8" s="1195"/>
      <c r="C8" s="1195"/>
      <c r="D8" s="416" t="s">
        <v>989</v>
      </c>
      <c r="E8" s="2557"/>
      <c r="F8" s="2557"/>
      <c r="G8" s="2557"/>
      <c r="H8" s="2557"/>
      <c r="I8" s="2557"/>
      <c r="J8" s="2557"/>
      <c r="K8" s="2557"/>
      <c r="L8" s="2557"/>
      <c r="M8" s="2557"/>
      <c r="N8" s="2558"/>
      <c r="O8" s="2558"/>
      <c r="P8" s="2558"/>
      <c r="Q8" s="2558"/>
      <c r="R8" s="2558"/>
      <c r="S8" s="2558"/>
      <c r="T8" s="2558"/>
      <c r="U8" s="2558"/>
      <c r="V8" s="2558"/>
      <c r="W8" s="2559"/>
      <c r="X8" s="2559"/>
      <c r="Y8" s="2560"/>
      <c r="Z8" s="2560"/>
      <c r="AA8" s="2560"/>
      <c r="AB8" s="2561"/>
    </row>
    <row r="9" spans="1:28" s="171" customFormat="1" ht="13" x14ac:dyDescent="0.25">
      <c r="A9" s="2556"/>
      <c r="B9" s="1195"/>
      <c r="C9" s="1195"/>
      <c r="D9" s="108" t="s">
        <v>990</v>
      </c>
      <c r="E9" s="2562">
        <v>116.46884349643946</v>
      </c>
      <c r="F9" s="2562">
        <v>114.64542675075597</v>
      </c>
      <c r="G9" s="2562">
        <v>112.6701441518783</v>
      </c>
      <c r="H9" s="2562">
        <v>103.15922078685679</v>
      </c>
      <c r="I9" s="2562">
        <v>102.75689666055395</v>
      </c>
      <c r="J9" s="2562">
        <v>103.042517648174</v>
      </c>
      <c r="K9" s="2562">
        <v>102.63462601815201</v>
      </c>
      <c r="L9" s="2562">
        <v>101.99929937820961</v>
      </c>
      <c r="M9" s="2562">
        <v>101</v>
      </c>
      <c r="N9" s="2563">
        <v>106.53</v>
      </c>
      <c r="O9" s="2563">
        <v>101.6</v>
      </c>
      <c r="P9" s="2563">
        <v>96.637409507176358</v>
      </c>
      <c r="Q9" s="2563">
        <v>96</v>
      </c>
      <c r="R9" s="2563">
        <v>94.659830579029986</v>
      </c>
      <c r="S9" s="2563">
        <v>91</v>
      </c>
      <c r="T9" s="2563">
        <v>96</v>
      </c>
      <c r="U9" s="2563">
        <v>96.809171484516895</v>
      </c>
      <c r="V9" s="2563">
        <v>97</v>
      </c>
      <c r="W9" s="2564">
        <v>97</v>
      </c>
      <c r="X9" s="2564">
        <v>97</v>
      </c>
      <c r="Y9" s="2565">
        <v>97</v>
      </c>
      <c r="Z9" s="2565">
        <v>96</v>
      </c>
      <c r="AA9" s="2565"/>
      <c r="AB9" s="2566"/>
    </row>
    <row r="10" spans="1:28" s="171" customFormat="1" ht="13" x14ac:dyDescent="0.25">
      <c r="A10" s="2556"/>
      <c r="B10" s="1195"/>
      <c r="C10" s="1195"/>
      <c r="D10" s="108" t="s">
        <v>991</v>
      </c>
      <c r="E10" s="2562">
        <v>119.79873206170512</v>
      </c>
      <c r="F10" s="2562">
        <v>117.8683216439664</v>
      </c>
      <c r="G10" s="2562">
        <v>116.32950113900253</v>
      </c>
      <c r="H10" s="2562">
        <v>108.86587682439261</v>
      </c>
      <c r="I10" s="2562">
        <v>107.06945248946968</v>
      </c>
      <c r="J10" s="2562">
        <v>107.1474767650661</v>
      </c>
      <c r="K10" s="2562">
        <v>107.04120464798635</v>
      </c>
      <c r="L10" s="2562">
        <v>106.80439525965599</v>
      </c>
      <c r="M10" s="2562">
        <v>105</v>
      </c>
      <c r="N10" s="2563">
        <v>101.41</v>
      </c>
      <c r="O10" s="2563">
        <v>105.18</v>
      </c>
      <c r="P10" s="2563">
        <v>99.061288446299514</v>
      </c>
      <c r="Q10" s="2563">
        <v>99</v>
      </c>
      <c r="R10" s="2563">
        <v>98.554415682065653</v>
      </c>
      <c r="S10" s="2563">
        <v>95</v>
      </c>
      <c r="T10" s="2563">
        <v>101</v>
      </c>
      <c r="U10" s="2563">
        <v>102.4324751311642</v>
      </c>
      <c r="V10" s="2563">
        <v>101</v>
      </c>
      <c r="W10" s="2564">
        <v>101</v>
      </c>
      <c r="X10" s="2564">
        <v>101</v>
      </c>
      <c r="Y10" s="2565">
        <v>105</v>
      </c>
      <c r="Z10" s="2565">
        <v>100</v>
      </c>
      <c r="AA10" s="2565"/>
      <c r="AB10" s="2566"/>
    </row>
    <row r="11" spans="1:28" s="171" customFormat="1" ht="13" x14ac:dyDescent="0.25">
      <c r="A11" s="2556"/>
      <c r="B11" s="1195"/>
      <c r="C11" s="1195"/>
      <c r="D11" s="2567" t="s">
        <v>992</v>
      </c>
      <c r="E11" s="2568">
        <v>0.97220430877723707</v>
      </c>
      <c r="F11" s="2568">
        <v>0.97265681865781106</v>
      </c>
      <c r="G11" s="2568">
        <v>0.96854317304471504</v>
      </c>
      <c r="H11" s="2568">
        <v>0.94758085633443245</v>
      </c>
      <c r="I11" s="2568">
        <v>0.95972188398609892</v>
      </c>
      <c r="J11" s="2568">
        <v>0.96168870009050489</v>
      </c>
      <c r="K11" s="2568">
        <v>0.95883287520608784</v>
      </c>
      <c r="L11" s="2568">
        <v>0.95501031704018791</v>
      </c>
      <c r="M11" s="2568">
        <v>0.96190476190476193</v>
      </c>
      <c r="N11" s="2569">
        <v>0.96</v>
      </c>
      <c r="O11" s="2569">
        <v>0.96596311085757736</v>
      </c>
      <c r="P11" s="2569">
        <v>0.98</v>
      </c>
      <c r="Q11" s="2569">
        <v>0.98</v>
      </c>
      <c r="R11" s="2569">
        <v>0.96048289591001679</v>
      </c>
      <c r="S11" s="2569">
        <v>0.95789473684210524</v>
      </c>
      <c r="T11" s="2569">
        <v>0.95049504950495045</v>
      </c>
      <c r="U11" s="2569">
        <v>0.94510233556841527</v>
      </c>
      <c r="V11" s="2569">
        <v>0.96</v>
      </c>
      <c r="W11" s="2570">
        <v>0.96</v>
      </c>
      <c r="X11" s="2570">
        <v>0.96</v>
      </c>
      <c r="Y11" s="2571">
        <v>0.94</v>
      </c>
      <c r="Z11" s="2571">
        <f>Z9/Z10</f>
        <v>0.96</v>
      </c>
      <c r="AA11" s="2571"/>
      <c r="AB11" s="1334"/>
    </row>
    <row r="12" spans="1:28" s="171" customFormat="1" ht="13" x14ac:dyDescent="0.25">
      <c r="A12" s="2556"/>
      <c r="B12" s="1195"/>
      <c r="C12" s="1195"/>
      <c r="D12" s="416" t="s">
        <v>993</v>
      </c>
      <c r="E12" s="2557"/>
      <c r="F12" s="2557"/>
      <c r="G12" s="2557"/>
      <c r="H12" s="2557"/>
      <c r="I12" s="2557"/>
      <c r="J12" s="2557"/>
      <c r="K12" s="2557"/>
      <c r="L12" s="2557"/>
      <c r="M12" s="2557"/>
      <c r="N12" s="2558"/>
      <c r="O12" s="2558"/>
      <c r="P12" s="2572"/>
      <c r="Q12" s="2572"/>
      <c r="R12" s="2572"/>
      <c r="S12" s="2572"/>
      <c r="T12" s="2572"/>
      <c r="U12" s="2572"/>
      <c r="V12" s="2572"/>
      <c r="W12" s="2573"/>
      <c r="X12" s="2573"/>
      <c r="Y12" s="2574"/>
      <c r="Z12" s="2560"/>
      <c r="AA12" s="2560"/>
      <c r="AB12" s="1334"/>
    </row>
    <row r="13" spans="1:28" s="171" customFormat="1" ht="13" x14ac:dyDescent="0.25">
      <c r="A13" s="2556"/>
      <c r="B13" s="1195"/>
      <c r="C13" s="1195"/>
      <c r="D13" s="108" t="s">
        <v>994</v>
      </c>
      <c r="E13" s="2562">
        <v>89.826645801043512</v>
      </c>
      <c r="F13" s="2562">
        <v>91.624834429406604</v>
      </c>
      <c r="G13" s="2562">
        <v>90.636810492291815</v>
      </c>
      <c r="H13" s="2562">
        <v>87.366434134254817</v>
      </c>
      <c r="I13" s="2562">
        <v>88.732898814251541</v>
      </c>
      <c r="J13" s="2562">
        <v>89.658810754319731</v>
      </c>
      <c r="K13" s="2562">
        <v>90.644396594581593</v>
      </c>
      <c r="L13" s="2562">
        <v>92.803666816366288</v>
      </c>
      <c r="M13" s="2562">
        <v>92</v>
      </c>
      <c r="N13" s="2563">
        <v>97.59</v>
      </c>
      <c r="O13" s="2563">
        <v>93.3</v>
      </c>
      <c r="P13" s="2563">
        <v>87.881619560637901</v>
      </c>
      <c r="Q13" s="2563">
        <v>83</v>
      </c>
      <c r="R13" s="2563">
        <v>88.363376071830601</v>
      </c>
      <c r="S13" s="2563">
        <v>90</v>
      </c>
      <c r="T13" s="2563">
        <v>92</v>
      </c>
      <c r="U13" s="2563">
        <v>91.597094298506192</v>
      </c>
      <c r="V13" s="2563">
        <v>91</v>
      </c>
      <c r="W13" s="2564">
        <v>97</v>
      </c>
      <c r="X13" s="2564">
        <v>97</v>
      </c>
      <c r="Y13" s="2565">
        <v>99</v>
      </c>
      <c r="Z13" s="2560">
        <v>96</v>
      </c>
      <c r="AA13" s="2560"/>
      <c r="AB13" s="2566"/>
    </row>
    <row r="14" spans="1:28" s="171" customFormat="1" ht="13" x14ac:dyDescent="0.25">
      <c r="A14" s="2556"/>
      <c r="B14" s="1195"/>
      <c r="C14" s="1195"/>
      <c r="D14" s="108" t="s">
        <v>995</v>
      </c>
      <c r="E14" s="2562">
        <v>77.295368318125441</v>
      </c>
      <c r="F14" s="2562">
        <v>79.955259158653661</v>
      </c>
      <c r="G14" s="2562">
        <v>79.551541748294881</v>
      </c>
      <c r="H14" s="2562">
        <v>77.494055709824195</v>
      </c>
      <c r="I14" s="2562">
        <v>79.280437367959479</v>
      </c>
      <c r="J14" s="2562">
        <v>81.280335324831711</v>
      </c>
      <c r="K14" s="2562">
        <v>82.843738951410302</v>
      </c>
      <c r="L14" s="2562">
        <v>84.619954764370547</v>
      </c>
      <c r="M14" s="2562">
        <v>85</v>
      </c>
      <c r="N14" s="2563">
        <v>80.8</v>
      </c>
      <c r="O14" s="2563">
        <v>88.17</v>
      </c>
      <c r="P14" s="2563">
        <v>81.61571145575158</v>
      </c>
      <c r="Q14" s="2563">
        <v>82</v>
      </c>
      <c r="R14" s="2563">
        <v>82.522334185123782</v>
      </c>
      <c r="S14" s="2563">
        <v>84</v>
      </c>
      <c r="T14" s="2563">
        <v>86</v>
      </c>
      <c r="U14" s="2563">
        <v>86.385034696440968</v>
      </c>
      <c r="V14" s="2563">
        <v>86</v>
      </c>
      <c r="W14" s="2564">
        <v>92</v>
      </c>
      <c r="X14" s="2564">
        <v>91</v>
      </c>
      <c r="Y14" s="2565">
        <v>95</v>
      </c>
      <c r="Z14" s="2560">
        <v>91</v>
      </c>
      <c r="AA14" s="2560"/>
      <c r="AB14" s="2566"/>
    </row>
    <row r="15" spans="1:28" s="171" customFormat="1" ht="13" x14ac:dyDescent="0.25">
      <c r="A15" s="2556"/>
      <c r="B15" s="1195"/>
      <c r="C15" s="1195"/>
      <c r="D15" s="2567" t="s">
        <v>996</v>
      </c>
      <c r="E15" s="2568">
        <v>1.1621219712847857</v>
      </c>
      <c r="F15" s="2568">
        <v>1.145951315692658</v>
      </c>
      <c r="G15" s="2568">
        <v>1.1393470007039119</v>
      </c>
      <c r="H15" s="2568">
        <v>1.1273952993426704</v>
      </c>
      <c r="I15" s="2568">
        <v>1.1192281697743534</v>
      </c>
      <c r="J15" s="2568">
        <v>1.1030812114148394</v>
      </c>
      <c r="K15" s="2568">
        <v>1.0941611006686522</v>
      </c>
      <c r="L15" s="2568">
        <v>1.0967113735144836</v>
      </c>
      <c r="M15" s="2568">
        <v>1.0823529411764705</v>
      </c>
      <c r="N15" s="2569">
        <v>1.0900000000000001</v>
      </c>
      <c r="O15" s="2569">
        <v>1.0580000000000001</v>
      </c>
      <c r="P15" s="2569">
        <v>1.08</v>
      </c>
      <c r="Q15" s="2569">
        <v>1.01</v>
      </c>
      <c r="R15" s="2569">
        <v>1.07078134597603</v>
      </c>
      <c r="S15" s="2569">
        <v>1.0714285714285714</v>
      </c>
      <c r="T15" s="2569">
        <v>1.069767441860465</v>
      </c>
      <c r="U15" s="2569">
        <v>1.0603352145470628</v>
      </c>
      <c r="V15" s="2569">
        <v>1.07</v>
      </c>
      <c r="W15" s="2570">
        <v>1.05</v>
      </c>
      <c r="X15" s="2570">
        <v>1.06</v>
      </c>
      <c r="Y15" s="2571">
        <v>1.04</v>
      </c>
      <c r="Z15" s="2571">
        <f>Z13/Z14</f>
        <v>1.054945054945055</v>
      </c>
      <c r="AA15" s="2571"/>
      <c r="AB15" s="1334"/>
    </row>
    <row r="16" spans="1:28" s="171" customFormat="1" ht="13" x14ac:dyDescent="0.25">
      <c r="A16" s="2556"/>
      <c r="B16" s="1195"/>
      <c r="C16" s="1195"/>
      <c r="D16" s="416" t="s">
        <v>997</v>
      </c>
      <c r="E16" s="2575"/>
      <c r="F16" s="2575"/>
      <c r="G16" s="2575"/>
      <c r="H16" s="2575"/>
      <c r="I16" s="2575"/>
      <c r="J16" s="2575"/>
      <c r="K16" s="2575"/>
      <c r="L16" s="2575"/>
      <c r="M16" s="2575"/>
      <c r="N16" s="2572"/>
      <c r="O16" s="2572"/>
      <c r="P16" s="2572"/>
      <c r="Q16" s="2572"/>
      <c r="R16" s="2572"/>
      <c r="S16" s="2572"/>
      <c r="T16" s="2572"/>
      <c r="U16" s="2572"/>
      <c r="V16" s="2572"/>
      <c r="W16" s="2573"/>
      <c r="X16" s="2573"/>
      <c r="Y16" s="2574"/>
      <c r="Z16" s="2560"/>
      <c r="AA16" s="2560"/>
      <c r="AB16" s="1334"/>
    </row>
    <row r="17" spans="1:28" s="171" customFormat="1" ht="13" x14ac:dyDescent="0.25">
      <c r="A17" s="2556"/>
      <c r="B17" s="1195"/>
      <c r="C17" s="1195"/>
      <c r="D17" s="108" t="s">
        <v>998</v>
      </c>
      <c r="E17" s="2562">
        <v>105.59343184716576</v>
      </c>
      <c r="F17" s="2562">
        <v>105.21637636044481</v>
      </c>
      <c r="G17" s="2562">
        <v>103.65264189378658</v>
      </c>
      <c r="H17" s="2562">
        <v>96.757884772191375</v>
      </c>
      <c r="I17" s="2562">
        <v>97.084292464482971</v>
      </c>
      <c r="J17" s="2562">
        <v>97.638166119700699</v>
      </c>
      <c r="K17" s="2562">
        <v>97.789199593132409</v>
      </c>
      <c r="L17" s="2562">
        <v>98.264991992196755</v>
      </c>
      <c r="M17" s="2576">
        <v>97</v>
      </c>
      <c r="N17" s="2563">
        <v>94</v>
      </c>
      <c r="O17" s="2577">
        <v>98.45</v>
      </c>
      <c r="P17" s="2563">
        <v>93.018484575991323</v>
      </c>
      <c r="Q17" s="2563">
        <v>92</v>
      </c>
      <c r="R17" s="2563">
        <v>92.021667424361581</v>
      </c>
      <c r="S17" s="2563">
        <v>91</v>
      </c>
      <c r="T17" s="2563">
        <v>94</v>
      </c>
      <c r="U17" s="2563">
        <v>94.611554888294307</v>
      </c>
      <c r="V17" s="2563">
        <v>95</v>
      </c>
      <c r="W17" s="2564">
        <v>97</v>
      </c>
      <c r="X17" s="2564">
        <v>97</v>
      </c>
      <c r="Y17" s="2565">
        <v>98</v>
      </c>
      <c r="Z17" s="2560">
        <v>96</v>
      </c>
      <c r="AA17" s="2560"/>
      <c r="AB17" s="2566"/>
    </row>
    <row r="18" spans="1:28" s="171" customFormat="1" ht="13" x14ac:dyDescent="0.25">
      <c r="A18" s="2556"/>
      <c r="B18" s="1195"/>
      <c r="C18" s="1195"/>
      <c r="D18" s="108" t="s">
        <v>999</v>
      </c>
      <c r="E18" s="2557">
        <v>102.5136168092352</v>
      </c>
      <c r="F18" s="2557">
        <v>102.38558895365368</v>
      </c>
      <c r="G18" s="2557">
        <v>101.30752021558165</v>
      </c>
      <c r="H18" s="2557">
        <v>96.155874774198068</v>
      </c>
      <c r="I18" s="2557">
        <v>95.836663358432659</v>
      </c>
      <c r="J18" s="2557">
        <v>96.71165756765788</v>
      </c>
      <c r="K18" s="2557">
        <v>97.2754824850782</v>
      </c>
      <c r="L18" s="2557">
        <v>97.812304119842636</v>
      </c>
      <c r="M18" s="2557">
        <v>97</v>
      </c>
      <c r="N18" s="2558">
        <v>93</v>
      </c>
      <c r="O18" s="2558">
        <v>97.85</v>
      </c>
      <c r="P18" s="2563">
        <v>91.863519207021469</v>
      </c>
      <c r="Q18" s="2563">
        <v>90</v>
      </c>
      <c r="R18" s="2563">
        <v>91.849680108833823</v>
      </c>
      <c r="S18" s="2563">
        <v>91</v>
      </c>
      <c r="T18" s="2563">
        <v>95</v>
      </c>
      <c r="U18" s="2563">
        <v>95.677043767544234</v>
      </c>
      <c r="V18" s="2563">
        <v>95</v>
      </c>
      <c r="W18" s="2564">
        <v>97</v>
      </c>
      <c r="X18" s="2564">
        <v>96</v>
      </c>
      <c r="Y18" s="2565">
        <v>100</v>
      </c>
      <c r="Z18" s="2560">
        <v>99</v>
      </c>
      <c r="AA18" s="2560"/>
      <c r="AB18" s="2566"/>
    </row>
    <row r="19" spans="1:28" s="171" customFormat="1" ht="13" x14ac:dyDescent="0.25">
      <c r="A19" s="2556"/>
      <c r="B19" s="1195"/>
      <c r="C19" s="1195"/>
      <c r="D19" s="120" t="s">
        <v>1000</v>
      </c>
      <c r="E19" s="2578">
        <v>1.03</v>
      </c>
      <c r="F19" s="2578">
        <v>1.0269999999999999</v>
      </c>
      <c r="G19" s="2578">
        <v>1.0229999999999999</v>
      </c>
      <c r="H19" s="2578">
        <v>1.006</v>
      </c>
      <c r="I19" s="2578">
        <v>1.0129999999999999</v>
      </c>
      <c r="J19" s="2578">
        <v>1.0089999999999999</v>
      </c>
      <c r="K19" s="2578">
        <v>1.0049999999999999</v>
      </c>
      <c r="L19" s="2578">
        <v>1.004</v>
      </c>
      <c r="M19" s="2578">
        <v>1</v>
      </c>
      <c r="N19" s="2579">
        <v>1.01</v>
      </c>
      <c r="O19" s="2579">
        <v>1.0061318344404702</v>
      </c>
      <c r="P19" s="2579">
        <v>1.01</v>
      </c>
      <c r="Q19" s="2579">
        <v>1.02</v>
      </c>
      <c r="R19" s="2579">
        <v>1.0018724868211186</v>
      </c>
      <c r="S19" s="2579">
        <v>1</v>
      </c>
      <c r="T19" s="2579">
        <v>0.98947368421052628</v>
      </c>
      <c r="U19" s="2579">
        <v>0.98886369355392478</v>
      </c>
      <c r="V19" s="2579">
        <v>1</v>
      </c>
      <c r="W19" s="2580">
        <v>1</v>
      </c>
      <c r="X19" s="2580">
        <v>1.01</v>
      </c>
      <c r="Y19" s="2581">
        <v>0.98</v>
      </c>
      <c r="Z19" s="2581">
        <f>Z17/Z18</f>
        <v>0.96969696969696972</v>
      </c>
      <c r="AA19" s="2581"/>
      <c r="AB19" s="1334"/>
    </row>
    <row r="20" spans="1:28" s="171" customFormat="1" x14ac:dyDescent="0.35">
      <c r="A20" s="2556"/>
      <c r="B20" s="1195"/>
      <c r="C20" s="1195"/>
      <c r="D20" s="108"/>
      <c r="E20" s="2582"/>
      <c r="F20" s="2582"/>
      <c r="G20" s="2582"/>
      <c r="H20" s="2582"/>
      <c r="I20" s="2582"/>
      <c r="J20" s="2582"/>
      <c r="K20" s="2582"/>
      <c r="L20" s="2582"/>
      <c r="M20" s="2582"/>
      <c r="N20" s="1334"/>
      <c r="O20" s="1334"/>
      <c r="P20" s="1334"/>
      <c r="Q20" s="1334"/>
      <c r="R20" s="1334"/>
      <c r="S20" s="1334"/>
      <c r="T20" s="1334"/>
      <c r="U20" s="1334"/>
      <c r="AA20" s="140"/>
    </row>
    <row r="21" spans="1:28" s="171" customFormat="1" x14ac:dyDescent="0.35">
      <c r="A21" s="2556"/>
      <c r="B21" s="1195"/>
      <c r="C21" s="1195"/>
      <c r="D21" s="108"/>
      <c r="E21" s="2582"/>
      <c r="F21" s="2582"/>
      <c r="G21" s="2582"/>
      <c r="H21" s="2582"/>
      <c r="I21" s="2582"/>
      <c r="J21" s="2582"/>
      <c r="K21" s="2582"/>
      <c r="L21" s="2582"/>
      <c r="M21" s="2582"/>
      <c r="N21" s="1334"/>
      <c r="O21" s="1334"/>
      <c r="P21" s="1334"/>
      <c r="Q21" s="1334"/>
      <c r="R21" s="1334"/>
      <c r="S21" s="1334"/>
      <c r="T21" s="1334"/>
      <c r="U21" s="1334"/>
      <c r="AA21" s="140"/>
    </row>
    <row r="22" spans="1:28" s="171" customFormat="1" x14ac:dyDescent="0.35">
      <c r="A22" s="2556"/>
      <c r="B22" s="1195"/>
      <c r="C22" s="1195"/>
      <c r="D22" s="108"/>
      <c r="E22" s="2582"/>
      <c r="F22" s="2582"/>
      <c r="G22" s="2582"/>
      <c r="H22" s="2582"/>
      <c r="I22" s="2582"/>
      <c r="J22" s="2582"/>
      <c r="K22" s="2582"/>
      <c r="L22" s="2582"/>
      <c r="M22" s="2582"/>
      <c r="N22" s="1334"/>
      <c r="O22" s="1334"/>
      <c r="P22" s="1334"/>
      <c r="Q22" s="1334"/>
      <c r="R22" s="1334"/>
      <c r="S22" s="1334"/>
      <c r="T22" s="1334"/>
      <c r="U22" s="1334"/>
      <c r="AA22" s="140"/>
    </row>
    <row r="23" spans="1:28" s="171" customFormat="1" x14ac:dyDescent="0.35">
      <c r="A23" s="2556"/>
      <c r="B23" s="1195"/>
      <c r="C23" s="1195"/>
      <c r="D23" s="155" t="s">
        <v>35</v>
      </c>
      <c r="E23" s="90" t="s">
        <v>1001</v>
      </c>
      <c r="F23" s="2583"/>
      <c r="G23" s="2583"/>
      <c r="H23" s="2583"/>
      <c r="I23" s="2583"/>
      <c r="J23" s="2583"/>
      <c r="K23" s="2583"/>
      <c r="L23" s="2583"/>
      <c r="M23" s="2583"/>
      <c r="N23" s="1338"/>
      <c r="O23" s="1338"/>
      <c r="P23" s="1338"/>
      <c r="Q23" s="1338"/>
      <c r="R23" s="1338"/>
      <c r="S23" s="1338"/>
      <c r="T23" s="1338"/>
      <c r="U23" s="1338"/>
      <c r="V23" s="2584"/>
      <c r="W23" s="50"/>
      <c r="X23" s="50"/>
      <c r="AA23" s="140"/>
    </row>
    <row r="24" spans="1:28" s="50" customFormat="1" ht="13" x14ac:dyDescent="0.25">
      <c r="A24" s="1507"/>
      <c r="B24" s="410"/>
      <c r="C24" s="410"/>
      <c r="D24" s="2585"/>
      <c r="E24" s="2550">
        <v>1997</v>
      </c>
      <c r="F24" s="2550">
        <v>1998</v>
      </c>
      <c r="G24" s="2550">
        <v>1999</v>
      </c>
      <c r="H24" s="2550">
        <v>2000</v>
      </c>
      <c r="I24" s="2550">
        <v>2001</v>
      </c>
      <c r="J24" s="2550">
        <v>2002</v>
      </c>
      <c r="K24" s="2550">
        <v>2003</v>
      </c>
      <c r="L24" s="2550">
        <v>2004</v>
      </c>
      <c r="M24" s="2550">
        <v>2005</v>
      </c>
      <c r="N24" s="2551">
        <v>2006</v>
      </c>
      <c r="O24" s="2551">
        <v>2007</v>
      </c>
      <c r="P24" s="2551">
        <v>2008</v>
      </c>
      <c r="Q24" s="2551">
        <v>2009</v>
      </c>
      <c r="R24" s="2551">
        <v>2010</v>
      </c>
      <c r="S24" s="2551">
        <v>2011</v>
      </c>
      <c r="T24" s="2551">
        <v>2012</v>
      </c>
      <c r="U24" s="2551">
        <v>2013</v>
      </c>
      <c r="V24" s="2551">
        <v>2014</v>
      </c>
      <c r="W24" s="2552">
        <v>2015</v>
      </c>
      <c r="X24" s="2553">
        <v>2016</v>
      </c>
      <c r="Y24" s="2553">
        <v>2017</v>
      </c>
      <c r="Z24" s="2553">
        <v>2018</v>
      </c>
      <c r="AA24" s="2553">
        <v>2019</v>
      </c>
      <c r="AB24" s="2554"/>
    </row>
    <row r="25" spans="1:28" s="171" customFormat="1" ht="13" x14ac:dyDescent="0.25">
      <c r="A25" s="2556"/>
      <c r="B25" s="1195"/>
      <c r="C25" s="1195"/>
      <c r="D25" s="416" t="s">
        <v>1002</v>
      </c>
      <c r="E25" s="2575"/>
      <c r="F25" s="2575"/>
      <c r="G25" s="2575"/>
      <c r="H25" s="2586"/>
      <c r="I25" s="2586"/>
      <c r="J25" s="2586"/>
      <c r="K25" s="2586"/>
      <c r="L25" s="2586"/>
      <c r="M25" s="2586"/>
      <c r="N25" s="2586"/>
      <c r="O25" s="2586"/>
      <c r="P25" s="2586"/>
      <c r="Q25" s="2586"/>
      <c r="R25" s="2586"/>
      <c r="S25" s="2572"/>
      <c r="T25" s="2586"/>
      <c r="U25" s="2586"/>
      <c r="V25" s="2586"/>
      <c r="W25" s="2587"/>
      <c r="X25" s="2588"/>
      <c r="Y25" s="2588"/>
      <c r="Z25" s="2588"/>
      <c r="AA25" s="2588"/>
      <c r="AB25" s="50"/>
    </row>
    <row r="26" spans="1:28" s="171" customFormat="1" ht="13" x14ac:dyDescent="0.25">
      <c r="A26" s="2556"/>
      <c r="B26" s="1195"/>
      <c r="C26" s="1195"/>
      <c r="D26" s="108" t="s">
        <v>1003</v>
      </c>
      <c r="E26" s="2557">
        <v>12.667584064220822</v>
      </c>
      <c r="F26" s="2557">
        <v>12.757732016510623</v>
      </c>
      <c r="G26" s="2557">
        <v>12.652888547094962</v>
      </c>
      <c r="H26" s="2589">
        <v>13.586840093866437</v>
      </c>
      <c r="I26" s="2589">
        <v>15.119784422184605</v>
      </c>
      <c r="J26" s="2589">
        <v>15.922705845018109</v>
      </c>
      <c r="K26" s="2589">
        <v>16.564696337941488</v>
      </c>
      <c r="L26" s="2589">
        <v>17.467824797874005</v>
      </c>
      <c r="M26" s="2589">
        <v>17.36220034400398</v>
      </c>
      <c r="N26" s="2589">
        <v>17.609352407640063</v>
      </c>
      <c r="O26" s="2589">
        <v>18.137335912854869</v>
      </c>
      <c r="P26" s="2589">
        <v>18.600000000000001</v>
      </c>
      <c r="Q26" s="2589">
        <v>19.300222536920899</v>
      </c>
      <c r="R26" s="2589">
        <v>20.399999999999999</v>
      </c>
      <c r="S26" s="2589">
        <v>22.103847210659492</v>
      </c>
      <c r="T26" s="2590" t="s">
        <v>1004</v>
      </c>
      <c r="U26" s="2590">
        <v>22.833029443936514</v>
      </c>
      <c r="V26" s="2590">
        <v>21.686733571709425</v>
      </c>
      <c r="W26" s="2591">
        <v>21.729589731506486</v>
      </c>
      <c r="X26" s="2592">
        <v>21.380933566375564</v>
      </c>
      <c r="Y26" s="2592">
        <v>24.017140118649575</v>
      </c>
      <c r="Z26" s="2592">
        <v>25.369794579220002</v>
      </c>
      <c r="AA26" s="2592">
        <v>26.26</v>
      </c>
      <c r="AB26" s="2593"/>
    </row>
    <row r="27" spans="1:28" s="171" customFormat="1" ht="13" x14ac:dyDescent="0.25">
      <c r="A27" s="2556"/>
      <c r="B27" s="1195"/>
      <c r="C27" s="1195"/>
      <c r="D27" s="108" t="s">
        <v>1005</v>
      </c>
      <c r="E27" s="2557">
        <v>13.101344169028096</v>
      </c>
      <c r="F27" s="2557">
        <v>12.438615568491281</v>
      </c>
      <c r="G27" s="2557">
        <v>12.024259565992052</v>
      </c>
      <c r="H27" s="2589">
        <v>12.279098806886102</v>
      </c>
      <c r="I27" s="2589">
        <v>12.999059987642484</v>
      </c>
      <c r="J27" s="2589">
        <v>13.572086253944285</v>
      </c>
      <c r="K27" s="2589">
        <v>14.181559461290757</v>
      </c>
      <c r="L27" s="2589">
        <v>14.691559070993756</v>
      </c>
      <c r="M27" s="2589">
        <v>14.405550555275473</v>
      </c>
      <c r="N27" s="2589">
        <v>14.260220670722742</v>
      </c>
      <c r="O27" s="2589">
        <v>14.434189640492542</v>
      </c>
      <c r="P27" s="2589">
        <v>14.7</v>
      </c>
      <c r="Q27" s="2589">
        <v>14.641504041806156</v>
      </c>
      <c r="R27" s="2589">
        <v>15</v>
      </c>
      <c r="S27" s="2589">
        <v>15.923005217334794</v>
      </c>
      <c r="T27" s="2590" t="s">
        <v>1006</v>
      </c>
      <c r="U27" s="2590">
        <v>16.00965485469483</v>
      </c>
      <c r="V27" s="2590">
        <v>15.185535689473229</v>
      </c>
      <c r="W27" s="2591">
        <v>15.442303395006693</v>
      </c>
      <c r="X27" s="2592">
        <v>15.34817940414678</v>
      </c>
      <c r="Y27" s="2592">
        <v>17.172829183327785</v>
      </c>
      <c r="Z27" s="2592">
        <v>17.828678620441547</v>
      </c>
      <c r="AA27" s="2592">
        <v>17.55</v>
      </c>
      <c r="AB27" s="2593"/>
    </row>
    <row r="28" spans="1:28" x14ac:dyDescent="0.35">
      <c r="D28" s="120" t="s">
        <v>1007</v>
      </c>
      <c r="E28" s="2594">
        <v>0.96689193878039681</v>
      </c>
      <c r="F28" s="2594">
        <v>1.0256553027354351</v>
      </c>
      <c r="G28" s="2594">
        <v>1.0522800574665609</v>
      </c>
      <c r="H28" s="2595">
        <v>1.1065014059701967</v>
      </c>
      <c r="I28" s="2595">
        <v>1.1631444455643856</v>
      </c>
      <c r="J28" s="2595">
        <v>1.1731951556372324</v>
      </c>
      <c r="K28" s="2595">
        <v>1.1680447685006445</v>
      </c>
      <c r="L28" s="2595">
        <v>1.188970123147894</v>
      </c>
      <c r="M28" s="2595">
        <v>1.2052437897033896</v>
      </c>
      <c r="N28" s="2595">
        <v>1.2348583387488057</v>
      </c>
      <c r="O28" s="2595">
        <v>1.2565538048616052</v>
      </c>
      <c r="P28" s="2595">
        <v>1.2653061224489797</v>
      </c>
      <c r="Q28" s="2596">
        <v>1.318185787594814</v>
      </c>
      <c r="R28" s="2595">
        <v>1.36</v>
      </c>
      <c r="S28" s="2595">
        <v>1.3881705688694896</v>
      </c>
      <c r="T28" s="2597">
        <v>1.42</v>
      </c>
      <c r="U28" s="2597">
        <v>1.4262037283858577</v>
      </c>
      <c r="V28" s="2597">
        <v>1.4281177836052827</v>
      </c>
      <c r="W28" s="2598">
        <v>1.4071469246312569</v>
      </c>
      <c r="X28" s="2599">
        <v>1.3930599195757936</v>
      </c>
      <c r="Y28" s="2599">
        <v>1.3985546506202122</v>
      </c>
      <c r="Z28" s="2599">
        <v>1.4229767174182026</v>
      </c>
      <c r="AA28" s="2599">
        <v>1.4957</v>
      </c>
      <c r="AB28" s="2600"/>
    </row>
    <row r="29" spans="1:28" x14ac:dyDescent="0.35">
      <c r="Y29" s="171"/>
      <c r="Z29" s="171"/>
    </row>
    <row r="31" spans="1:28" s="171" customFormat="1" ht="13" x14ac:dyDescent="0.25">
      <c r="A31" s="2556"/>
      <c r="B31" s="2601"/>
      <c r="C31" s="2601"/>
      <c r="D31" s="1190"/>
      <c r="E31" s="1190"/>
      <c r="F31" s="1190"/>
      <c r="G31" s="1190"/>
      <c r="H31" s="1190"/>
      <c r="I31" s="1190"/>
      <c r="J31" s="1190"/>
      <c r="K31" s="1190"/>
      <c r="L31" s="1190"/>
      <c r="M31" s="1190"/>
      <c r="N31" s="1190"/>
      <c r="O31" s="1190"/>
      <c r="P31" s="1190"/>
      <c r="Q31" s="1190"/>
      <c r="R31" s="1190"/>
      <c r="S31" s="1190"/>
      <c r="T31" s="1190"/>
      <c r="U31" s="1190"/>
    </row>
    <row r="32" spans="1:28" s="171" customFormat="1" ht="13" x14ac:dyDescent="0.25">
      <c r="A32" s="2556"/>
      <c r="B32" s="2601"/>
      <c r="C32" s="2601"/>
      <c r="D32" s="155" t="s">
        <v>234</v>
      </c>
      <c r="E32" s="90" t="s">
        <v>1008</v>
      </c>
      <c r="F32" s="2583"/>
      <c r="G32" s="2583"/>
      <c r="H32" s="2583"/>
      <c r="I32" s="2583"/>
      <c r="J32" s="2583"/>
      <c r="K32" s="2583"/>
      <c r="L32" s="2583"/>
      <c r="M32" s="2583"/>
      <c r="N32" s="1338"/>
      <c r="O32" s="1338"/>
      <c r="P32" s="1338"/>
      <c r="Q32" s="1338"/>
      <c r="R32" s="1338"/>
      <c r="S32" s="1338"/>
      <c r="T32" s="1338"/>
      <c r="U32" s="1338"/>
      <c r="V32" s="2584"/>
      <c r="W32" s="50"/>
      <c r="X32" s="50"/>
    </row>
    <row r="33" spans="1:26" s="171" customFormat="1" ht="13" x14ac:dyDescent="0.25">
      <c r="A33" s="2556"/>
      <c r="B33" s="2601"/>
      <c r="C33" s="2601"/>
      <c r="D33" s="2585"/>
      <c r="E33" s="2550">
        <v>1997</v>
      </c>
      <c r="F33" s="2550">
        <v>1998</v>
      </c>
      <c r="G33" s="2550">
        <v>1999</v>
      </c>
      <c r="H33" s="2550">
        <v>2000</v>
      </c>
      <c r="I33" s="2550">
        <v>2001</v>
      </c>
      <c r="J33" s="2550">
        <v>2002</v>
      </c>
      <c r="K33" s="2550">
        <v>2003</v>
      </c>
      <c r="L33" s="2550">
        <v>2004</v>
      </c>
      <c r="M33" s="2550">
        <v>2005</v>
      </c>
      <c r="N33" s="2551">
        <v>2006</v>
      </c>
      <c r="O33" s="2551">
        <v>2007</v>
      </c>
      <c r="P33" s="2551">
        <v>2008</v>
      </c>
      <c r="Q33" s="2551">
        <v>2009</v>
      </c>
      <c r="R33" s="2551">
        <v>2010</v>
      </c>
      <c r="S33" s="2551">
        <v>2011</v>
      </c>
      <c r="T33" s="2551">
        <v>2012</v>
      </c>
      <c r="U33" s="2551">
        <v>2013</v>
      </c>
      <c r="V33" s="2551">
        <v>2014</v>
      </c>
      <c r="W33" s="2552">
        <v>2015</v>
      </c>
      <c r="X33" s="2553">
        <v>2016</v>
      </c>
      <c r="Y33" s="2553">
        <v>2017</v>
      </c>
      <c r="Z33" s="2553">
        <v>2018</v>
      </c>
    </row>
    <row r="34" spans="1:26" s="171" customFormat="1" ht="13" x14ac:dyDescent="0.25">
      <c r="A34" s="2556"/>
      <c r="B34" s="2601"/>
      <c r="C34" s="2601"/>
      <c r="D34" s="416" t="s">
        <v>1009</v>
      </c>
      <c r="E34" s="416"/>
      <c r="F34" s="416"/>
      <c r="G34" s="416"/>
      <c r="H34" s="416"/>
      <c r="I34" s="416"/>
      <c r="J34" s="416"/>
      <c r="K34" s="416"/>
      <c r="L34" s="416"/>
      <c r="M34" s="416"/>
      <c r="N34" s="416"/>
      <c r="O34" s="416"/>
      <c r="P34" s="416"/>
      <c r="Q34" s="416"/>
      <c r="R34" s="2586"/>
      <c r="S34" s="2572"/>
      <c r="T34" s="2586"/>
      <c r="U34" s="2586"/>
      <c r="V34" s="2586"/>
      <c r="W34" s="2587"/>
      <c r="X34" s="2588"/>
      <c r="Y34" s="2588"/>
      <c r="Z34" s="2588"/>
    </row>
    <row r="35" spans="1:26" s="171" customFormat="1" ht="13" x14ac:dyDescent="0.25">
      <c r="A35" s="2556"/>
      <c r="B35" s="2601"/>
      <c r="C35" s="2601"/>
      <c r="D35" s="108" t="s">
        <v>1003</v>
      </c>
      <c r="E35" s="108"/>
      <c r="F35" s="108"/>
      <c r="G35" s="108"/>
      <c r="H35" s="108"/>
      <c r="I35" s="108"/>
      <c r="J35" s="108"/>
      <c r="K35" s="108"/>
      <c r="L35" s="108"/>
      <c r="M35" s="108"/>
      <c r="N35" s="108"/>
      <c r="O35" s="108"/>
      <c r="P35" s="108"/>
      <c r="Q35" s="108"/>
      <c r="R35" s="2589">
        <v>6.4762766444017252</v>
      </c>
      <c r="S35" s="2589">
        <v>7.5462337788649343</v>
      </c>
      <c r="T35" s="2590">
        <v>10.197482924122564</v>
      </c>
      <c r="U35" s="2590">
        <v>13.134084878344618</v>
      </c>
      <c r="V35" s="2590">
        <v>15.119087471313847</v>
      </c>
      <c r="W35" s="2591">
        <v>16.861227343282302</v>
      </c>
      <c r="X35" s="2592">
        <v>17.063018304600199</v>
      </c>
      <c r="Y35" s="2592">
        <v>16.932709353237428</v>
      </c>
      <c r="Z35" s="2592">
        <v>16.473631893032799</v>
      </c>
    </row>
    <row r="36" spans="1:26" s="171" customFormat="1" ht="13" x14ac:dyDescent="0.25">
      <c r="A36" s="2556"/>
      <c r="B36" s="2601"/>
      <c r="C36" s="2601"/>
      <c r="D36" s="108" t="s">
        <v>1005</v>
      </c>
      <c r="E36" s="108"/>
      <c r="F36" s="108"/>
      <c r="G36" s="108"/>
      <c r="H36" s="108"/>
      <c r="I36" s="108"/>
      <c r="J36" s="108"/>
      <c r="K36" s="108"/>
      <c r="L36" s="108"/>
      <c r="M36" s="108"/>
      <c r="N36" s="108"/>
      <c r="O36" s="108"/>
      <c r="P36" s="108"/>
      <c r="Q36" s="108"/>
      <c r="R36" s="2589">
        <v>7.1911403020163727</v>
      </c>
      <c r="S36" s="2589">
        <v>7.9340660963392313</v>
      </c>
      <c r="T36" s="2590">
        <v>10.201431536783405</v>
      </c>
      <c r="U36" s="2590">
        <v>12.418915091672833</v>
      </c>
      <c r="V36" s="2590">
        <v>13.093943366141914</v>
      </c>
      <c r="W36" s="2591">
        <v>13.881915414535543</v>
      </c>
      <c r="X36" s="2592">
        <v>12.824467626123781</v>
      </c>
      <c r="Y36" s="2592">
        <v>12.612756048962389</v>
      </c>
      <c r="Z36" s="2592">
        <v>11.9891897339126</v>
      </c>
    </row>
    <row r="37" spans="1:26" s="171" customFormat="1" ht="13" x14ac:dyDescent="0.25">
      <c r="A37" s="2556"/>
      <c r="B37" s="2601"/>
      <c r="C37" s="2601"/>
      <c r="D37" s="120" t="s">
        <v>1010</v>
      </c>
      <c r="E37" s="120"/>
      <c r="F37" s="120"/>
      <c r="G37" s="120"/>
      <c r="H37" s="120"/>
      <c r="I37" s="120"/>
      <c r="J37" s="120"/>
      <c r="K37" s="120"/>
      <c r="L37" s="120"/>
      <c r="M37" s="120"/>
      <c r="N37" s="120"/>
      <c r="O37" s="120"/>
      <c r="P37" s="120"/>
      <c r="Q37" s="120"/>
      <c r="R37" s="2595">
        <v>0.90059105682944296</v>
      </c>
      <c r="S37" s="2595">
        <v>0.95111808840951773</v>
      </c>
      <c r="T37" s="2597">
        <v>0.99961293543493346</v>
      </c>
      <c r="U37" s="2597">
        <v>1.0575871387631375</v>
      </c>
      <c r="V37" s="2597">
        <v>1.1546626595627805</v>
      </c>
      <c r="W37" s="2598">
        <v>1.2146182165630519</v>
      </c>
      <c r="X37" s="2599">
        <v>1.3305050004448042</v>
      </c>
      <c r="Y37" s="2599">
        <v>1.3425066882690107</v>
      </c>
      <c r="Z37" s="2599">
        <v>1.3740404696770721</v>
      </c>
    </row>
    <row r="38" spans="1:26" s="171" customFormat="1" ht="13" x14ac:dyDescent="0.25">
      <c r="A38" s="2556"/>
      <c r="B38" s="2601"/>
      <c r="C38" s="2601"/>
      <c r="D38" s="1190"/>
      <c r="E38" s="1190"/>
      <c r="F38" s="1190"/>
      <c r="G38" s="1190"/>
      <c r="H38" s="1190"/>
      <c r="I38" s="1190"/>
      <c r="J38" s="1190"/>
      <c r="K38" s="1190"/>
      <c r="L38" s="1190"/>
      <c r="M38" s="1190"/>
      <c r="N38" s="1190"/>
      <c r="O38" s="1190"/>
      <c r="P38" s="1190"/>
      <c r="Q38" s="1190"/>
      <c r="R38" s="1190"/>
      <c r="S38" s="1190"/>
      <c r="T38" s="1190"/>
      <c r="U38" s="1190"/>
    </row>
    <row r="39" spans="1:26" s="171" customFormat="1" ht="13" x14ac:dyDescent="0.25">
      <c r="A39" s="2556"/>
      <c r="B39" s="2601"/>
      <c r="C39" s="2601"/>
      <c r="D39" s="1190"/>
      <c r="E39" s="1190"/>
      <c r="F39" s="1190"/>
      <c r="G39" s="1190"/>
      <c r="H39" s="1190"/>
      <c r="I39" s="1190"/>
      <c r="J39" s="1190"/>
      <c r="K39" s="1190"/>
      <c r="L39" s="1190"/>
      <c r="M39" s="1190"/>
      <c r="N39" s="1190"/>
      <c r="O39" s="1190"/>
      <c r="P39" s="1190"/>
      <c r="Q39" s="1190"/>
      <c r="R39" s="1190"/>
      <c r="S39" s="1190"/>
      <c r="T39" s="1190"/>
      <c r="U39" s="1190"/>
    </row>
    <row r="40" spans="1:26" s="171" customFormat="1" ht="13" x14ac:dyDescent="0.25">
      <c r="A40" s="2556"/>
      <c r="B40" s="2601"/>
      <c r="C40" s="2601"/>
      <c r="D40" s="1190"/>
      <c r="E40" s="1190"/>
      <c r="F40" s="1190"/>
      <c r="G40" s="1190"/>
      <c r="H40" s="1190"/>
      <c r="I40" s="1190"/>
      <c r="J40" s="1190"/>
      <c r="K40" s="1190"/>
      <c r="L40" s="1190"/>
      <c r="M40" s="1190"/>
      <c r="N40" s="1190"/>
      <c r="O40" s="1190"/>
      <c r="P40" s="1190"/>
      <c r="Q40" s="1190"/>
      <c r="R40" s="1190"/>
      <c r="S40" s="1190"/>
      <c r="T40" s="1190"/>
      <c r="U40" s="1190"/>
    </row>
    <row r="41" spans="1:26" s="171" customFormat="1" ht="13" x14ac:dyDescent="0.25">
      <c r="A41" s="819">
        <v>5</v>
      </c>
      <c r="B41" s="819" t="s">
        <v>56</v>
      </c>
      <c r="C41" s="819"/>
      <c r="D41" s="1190"/>
      <c r="E41" s="1190"/>
      <c r="F41" s="1190"/>
      <c r="G41" s="1190"/>
      <c r="H41" s="1190"/>
      <c r="I41" s="1190"/>
      <c r="J41" s="1190"/>
      <c r="K41" s="1190"/>
      <c r="L41" s="1190"/>
      <c r="M41" s="1190"/>
      <c r="N41" s="1190"/>
      <c r="O41" s="1190"/>
      <c r="P41" s="1190"/>
      <c r="Q41" s="1190"/>
      <c r="R41" s="1190"/>
      <c r="S41" s="1190"/>
      <c r="T41" s="1190"/>
      <c r="U41" s="1190"/>
    </row>
    <row r="42" spans="1:26" s="171" customFormat="1" ht="13" x14ac:dyDescent="0.25">
      <c r="A42" s="2556"/>
      <c r="B42" s="2513"/>
      <c r="C42" s="2513"/>
      <c r="D42" s="2602"/>
      <c r="E42" s="2602"/>
      <c r="F42" s="2602"/>
      <c r="G42" s="2602"/>
      <c r="H42" s="2602"/>
      <c r="I42" s="2602"/>
      <c r="J42" s="2602"/>
      <c r="K42" s="2602"/>
      <c r="L42" s="1190"/>
      <c r="M42" s="1190"/>
      <c r="N42" s="1190"/>
      <c r="O42" s="1190"/>
      <c r="P42" s="1190"/>
      <c r="Q42" s="1190"/>
      <c r="R42" s="1190"/>
      <c r="S42" s="1190"/>
      <c r="T42" s="1190"/>
      <c r="U42" s="1190"/>
    </row>
    <row r="43" spans="1:26" s="171" customFormat="1" ht="13" x14ac:dyDescent="0.25">
      <c r="A43" s="2556"/>
      <c r="B43" s="2513"/>
      <c r="C43" s="2513"/>
      <c r="D43" s="2602"/>
      <c r="E43" s="2602"/>
      <c r="F43" s="2602"/>
      <c r="G43" s="2602"/>
      <c r="H43" s="2602"/>
      <c r="I43" s="2602"/>
      <c r="J43" s="2602"/>
      <c r="K43" s="2602"/>
      <c r="L43" s="1190"/>
      <c r="M43" s="1190"/>
      <c r="N43" s="1190"/>
      <c r="O43" s="1190"/>
      <c r="P43" s="1190"/>
      <c r="Q43" s="1190"/>
      <c r="R43" s="1190"/>
      <c r="S43" s="1190"/>
      <c r="T43" s="1190"/>
      <c r="U43" s="1190"/>
    </row>
    <row r="44" spans="1:26" s="171" customFormat="1" ht="13" x14ac:dyDescent="0.25">
      <c r="A44" s="2556"/>
      <c r="B44" s="2513"/>
      <c r="C44" s="2513"/>
      <c r="D44" s="2602"/>
      <c r="E44" s="2602"/>
      <c r="F44" s="2602"/>
      <c r="G44" s="2602"/>
      <c r="H44" s="2602"/>
      <c r="I44" s="2602"/>
      <c r="J44" s="2602"/>
      <c r="K44" s="2602"/>
      <c r="L44" s="1190"/>
      <c r="M44" s="1190"/>
      <c r="N44" s="1190"/>
      <c r="O44" s="1190"/>
      <c r="P44" s="1190"/>
      <c r="Q44" s="1190"/>
      <c r="R44" s="1190"/>
      <c r="S44" s="1190"/>
      <c r="T44" s="1190"/>
      <c r="U44" s="1190"/>
    </row>
    <row r="45" spans="1:26" s="171" customFormat="1" ht="13" x14ac:dyDescent="0.25">
      <c r="A45" s="2556"/>
      <c r="B45" s="2513"/>
      <c r="C45" s="2513"/>
      <c r="D45" s="2602"/>
      <c r="E45" s="2602"/>
      <c r="F45" s="2602"/>
      <c r="G45" s="2602"/>
      <c r="H45" s="2602"/>
      <c r="I45" s="2602"/>
      <c r="J45" s="2602"/>
      <c r="K45" s="2602"/>
      <c r="L45" s="1190"/>
      <c r="M45" s="1190"/>
      <c r="N45" s="1190"/>
      <c r="O45" s="1190"/>
      <c r="P45" s="1190"/>
      <c r="Q45" s="1190"/>
      <c r="R45" s="1190"/>
      <c r="S45" s="1190"/>
      <c r="T45" s="1190"/>
      <c r="U45" s="1190"/>
    </row>
    <row r="46" spans="1:26" s="171" customFormat="1" ht="13" x14ac:dyDescent="0.25">
      <c r="A46" s="2556"/>
      <c r="B46" s="2513"/>
      <c r="C46" s="2513"/>
      <c r="D46" s="2602"/>
      <c r="E46" s="2602"/>
      <c r="F46" s="2602"/>
      <c r="G46" s="2602"/>
      <c r="H46" s="2602"/>
      <c r="I46" s="2602"/>
      <c r="J46" s="2602"/>
      <c r="K46" s="2602"/>
      <c r="L46" s="1190"/>
      <c r="M46" s="1190"/>
      <c r="N46" s="1190"/>
      <c r="O46" s="1190"/>
      <c r="P46" s="1190"/>
      <c r="Q46" s="1190"/>
      <c r="R46" s="1190"/>
      <c r="S46" s="1190"/>
      <c r="T46" s="1190"/>
      <c r="U46" s="1190"/>
    </row>
    <row r="47" spans="1:26" s="171" customFormat="1" ht="13" x14ac:dyDescent="0.25">
      <c r="A47" s="2556"/>
      <c r="B47" s="2513"/>
      <c r="C47" s="2513"/>
      <c r="D47" s="2602"/>
      <c r="E47" s="2602"/>
      <c r="F47" s="2602"/>
      <c r="G47" s="2602"/>
      <c r="H47" s="2602"/>
      <c r="I47" s="2602"/>
      <c r="J47" s="2602"/>
      <c r="K47" s="2602"/>
      <c r="L47" s="1190"/>
      <c r="M47" s="1190"/>
      <c r="N47" s="1190"/>
      <c r="O47" s="1190"/>
      <c r="P47" s="1190"/>
      <c r="Q47" s="1190"/>
      <c r="R47" s="1190"/>
      <c r="S47" s="1190"/>
      <c r="T47" s="1190"/>
      <c r="U47" s="1190"/>
    </row>
    <row r="48" spans="1:26" s="171" customFormat="1" ht="13" x14ac:dyDescent="0.25">
      <c r="A48" s="2556"/>
      <c r="B48" s="2513"/>
      <c r="C48" s="2513"/>
      <c r="D48" s="2602"/>
      <c r="E48" s="2602"/>
      <c r="F48" s="2602"/>
      <c r="G48" s="2602"/>
      <c r="H48" s="2602"/>
      <c r="I48" s="2602"/>
      <c r="J48" s="2602"/>
      <c r="K48" s="2602"/>
      <c r="L48" s="1190"/>
      <c r="M48" s="1190"/>
      <c r="N48" s="1190"/>
      <c r="O48" s="1190"/>
      <c r="P48" s="1190"/>
      <c r="Q48" s="1190"/>
      <c r="R48" s="1190"/>
      <c r="S48" s="1190"/>
      <c r="T48" s="1190"/>
      <c r="U48" s="1190"/>
    </row>
    <row r="49" spans="1:21" s="171" customFormat="1" ht="13" x14ac:dyDescent="0.25">
      <c r="A49" s="2556"/>
      <c r="B49" s="2513"/>
      <c r="C49" s="2513"/>
      <c r="D49" s="2602"/>
      <c r="E49" s="2602"/>
      <c r="F49" s="2602"/>
      <c r="G49" s="2602"/>
      <c r="H49" s="2602"/>
      <c r="I49" s="2602"/>
      <c r="J49" s="2602"/>
      <c r="K49" s="2602"/>
      <c r="L49" s="1190"/>
      <c r="M49" s="1190"/>
      <c r="N49" s="1190"/>
      <c r="O49" s="1190"/>
      <c r="P49" s="1190"/>
      <c r="Q49" s="1190"/>
      <c r="R49" s="1190"/>
      <c r="S49" s="1190"/>
      <c r="T49" s="1190"/>
      <c r="U49" s="1190"/>
    </row>
    <row r="50" spans="1:21" s="171" customFormat="1" ht="6.75" customHeight="1" x14ac:dyDescent="0.25">
      <c r="A50" s="2556"/>
      <c r="B50" s="2513"/>
      <c r="C50" s="2513"/>
      <c r="D50" s="2602"/>
      <c r="E50" s="2602"/>
      <c r="F50" s="2602"/>
      <c r="G50" s="2602"/>
      <c r="H50" s="2602"/>
      <c r="I50" s="2602"/>
      <c r="J50" s="2602"/>
      <c r="K50" s="2602"/>
      <c r="L50" s="1190"/>
      <c r="M50" s="1190"/>
      <c r="N50" s="1190"/>
      <c r="O50" s="1190"/>
      <c r="P50" s="1190"/>
      <c r="Q50" s="1190"/>
      <c r="R50" s="1190"/>
      <c r="S50" s="1190"/>
      <c r="T50" s="1190"/>
      <c r="U50" s="1190"/>
    </row>
    <row r="51" spans="1:21" s="171" customFormat="1" ht="13" hidden="1" x14ac:dyDescent="0.25">
      <c r="A51" s="2556"/>
      <c r="B51" s="2513"/>
      <c r="C51" s="2513"/>
      <c r="D51" s="2602"/>
      <c r="E51" s="2602"/>
      <c r="F51" s="2602"/>
      <c r="G51" s="2602"/>
      <c r="H51" s="2602"/>
      <c r="I51" s="2602"/>
      <c r="J51" s="2602"/>
      <c r="K51" s="2602"/>
      <c r="L51" s="1190"/>
      <c r="M51" s="1190"/>
      <c r="N51" s="1190"/>
      <c r="O51" s="1190"/>
      <c r="P51" s="1190"/>
      <c r="Q51" s="1190"/>
      <c r="R51" s="1190"/>
      <c r="S51" s="1190"/>
      <c r="T51" s="1190"/>
      <c r="U51" s="1190"/>
    </row>
    <row r="52" spans="1:21" s="171" customFormat="1" ht="13.5" customHeight="1" x14ac:dyDescent="0.25">
      <c r="A52" s="2556"/>
      <c r="B52" s="2513"/>
      <c r="C52" s="2513"/>
      <c r="D52" s="2602"/>
      <c r="E52" s="2602"/>
      <c r="F52" s="2602"/>
      <c r="G52" s="2602"/>
      <c r="H52" s="2602"/>
      <c r="I52" s="2602"/>
      <c r="J52" s="2602"/>
      <c r="K52" s="2602"/>
      <c r="L52" s="1190"/>
      <c r="M52" s="1190"/>
      <c r="N52" s="1190"/>
      <c r="O52" s="1190"/>
      <c r="P52" s="1190"/>
      <c r="Q52" s="1190"/>
      <c r="R52" s="1190"/>
      <c r="S52" s="1190"/>
      <c r="T52" s="1190"/>
      <c r="U52" s="1190"/>
    </row>
    <row r="53" spans="1:21" s="171" customFormat="1" ht="13.5" customHeight="1" x14ac:dyDescent="0.25">
      <c r="A53" s="2556"/>
      <c r="B53" s="2513"/>
      <c r="C53" s="2513"/>
      <c r="D53" s="2602"/>
      <c r="E53" s="2602"/>
      <c r="F53" s="2602"/>
      <c r="G53" s="2602"/>
      <c r="H53" s="2602"/>
      <c r="I53" s="2602"/>
      <c r="J53" s="2602"/>
      <c r="K53" s="2602"/>
      <c r="L53" s="1190"/>
      <c r="M53" s="1190"/>
      <c r="N53" s="1190"/>
      <c r="O53" s="1190"/>
      <c r="P53" s="1190"/>
      <c r="Q53" s="1190"/>
      <c r="R53" s="1190"/>
      <c r="S53" s="1190"/>
      <c r="T53" s="1190"/>
      <c r="U53" s="1190"/>
    </row>
    <row r="54" spans="1:21" s="171" customFormat="1" ht="13.5" customHeight="1" x14ac:dyDescent="0.25">
      <c r="A54" s="2556"/>
      <c r="B54" s="2513"/>
      <c r="C54" s="2513"/>
      <c r="D54" s="2602"/>
      <c r="E54" s="2602"/>
      <c r="F54" s="2602"/>
      <c r="G54" s="2602"/>
      <c r="H54" s="2602"/>
      <c r="I54" s="2602"/>
      <c r="J54" s="2602"/>
      <c r="K54" s="2602"/>
      <c r="L54" s="1190"/>
      <c r="M54" s="1190"/>
      <c r="N54" s="1190"/>
      <c r="O54" s="1190"/>
      <c r="P54" s="1190"/>
      <c r="Q54" s="1190"/>
      <c r="R54" s="1190"/>
      <c r="S54" s="1190"/>
      <c r="T54" s="1190"/>
      <c r="U54" s="1190"/>
    </row>
    <row r="55" spans="1:21" s="171" customFormat="1" ht="13.5" customHeight="1" x14ac:dyDescent="0.25">
      <c r="A55" s="2556"/>
      <c r="B55" s="2513"/>
      <c r="C55" s="2513"/>
      <c r="D55" s="2602"/>
      <c r="E55" s="2602"/>
      <c r="F55" s="2602"/>
      <c r="G55" s="2602"/>
      <c r="H55" s="2602"/>
      <c r="I55" s="2602"/>
      <c r="J55" s="2602"/>
      <c r="K55" s="2602"/>
      <c r="L55" s="1190"/>
      <c r="M55" s="1190"/>
      <c r="N55" s="1190"/>
      <c r="O55" s="1190"/>
      <c r="P55" s="1190"/>
      <c r="Q55" s="1190"/>
      <c r="R55" s="1190"/>
      <c r="S55" s="1190"/>
      <c r="T55" s="1190"/>
      <c r="U55" s="1190"/>
    </row>
    <row r="56" spans="1:21" s="171" customFormat="1" ht="13" x14ac:dyDescent="0.25">
      <c r="A56" s="2556"/>
      <c r="B56" s="2513"/>
      <c r="C56" s="2513"/>
      <c r="D56" s="2602"/>
      <c r="E56" s="2602"/>
      <c r="F56" s="2602"/>
      <c r="G56" s="2602"/>
      <c r="H56" s="2602"/>
      <c r="I56" s="2602"/>
      <c r="J56" s="2602"/>
      <c r="K56" s="2602"/>
      <c r="L56" s="1190"/>
      <c r="M56" s="1190"/>
      <c r="N56" s="1190"/>
      <c r="O56" s="1190"/>
      <c r="P56" s="1190"/>
      <c r="Q56" s="1190"/>
      <c r="R56" s="1190"/>
      <c r="S56" s="1190"/>
      <c r="T56" s="1190"/>
      <c r="U56" s="1190"/>
    </row>
    <row r="57" spans="1:21" s="171" customFormat="1" ht="13" x14ac:dyDescent="0.25">
      <c r="A57" s="2556"/>
      <c r="B57" s="2513"/>
      <c r="C57" s="2513"/>
      <c r="D57" s="2602"/>
      <c r="E57" s="2602"/>
      <c r="F57" s="2602"/>
      <c r="G57" s="2602"/>
      <c r="H57" s="2602"/>
      <c r="I57" s="2602"/>
      <c r="J57" s="2602"/>
      <c r="K57" s="2602"/>
      <c r="L57" s="1190"/>
      <c r="M57" s="1190"/>
      <c r="N57" s="1190"/>
      <c r="O57" s="1190"/>
      <c r="P57" s="1190"/>
      <c r="Q57" s="1190"/>
      <c r="R57" s="1190"/>
      <c r="S57" s="1190"/>
      <c r="T57" s="1190"/>
      <c r="U57" s="1190"/>
    </row>
    <row r="58" spans="1:21" s="171" customFormat="1" ht="13" x14ac:dyDescent="0.25">
      <c r="A58" s="2556"/>
      <c r="B58" s="2513"/>
      <c r="C58" s="2513"/>
      <c r="D58" s="2602"/>
      <c r="E58" s="2602"/>
      <c r="F58" s="2602"/>
      <c r="G58" s="2602"/>
      <c r="H58" s="2602"/>
      <c r="I58" s="2602"/>
      <c r="J58" s="2602"/>
      <c r="K58" s="2602"/>
      <c r="L58" s="1190"/>
      <c r="M58" s="1190"/>
      <c r="N58" s="1190"/>
      <c r="O58" s="1190"/>
      <c r="P58" s="1190"/>
      <c r="Q58" s="1190"/>
      <c r="R58" s="1190"/>
      <c r="S58" s="1190"/>
      <c r="T58" s="1190"/>
      <c r="U58" s="1190"/>
    </row>
    <row r="59" spans="1:21" s="171" customFormat="1" ht="13" x14ac:dyDescent="0.25">
      <c r="A59" s="2556"/>
      <c r="B59" s="2513"/>
      <c r="C59" s="2513"/>
      <c r="D59" s="2602"/>
      <c r="E59" s="2602"/>
      <c r="F59" s="2602"/>
      <c r="G59" s="2602"/>
      <c r="H59" s="2602"/>
      <c r="I59" s="2602"/>
      <c r="J59" s="2602"/>
      <c r="K59" s="2602"/>
      <c r="L59" s="1190"/>
      <c r="M59" s="1190"/>
      <c r="N59" s="1190"/>
      <c r="O59" s="1190"/>
      <c r="P59" s="1190"/>
      <c r="Q59" s="1190"/>
      <c r="R59" s="1190"/>
      <c r="S59" s="1190"/>
      <c r="T59" s="1190"/>
      <c r="U59" s="1190"/>
    </row>
    <row r="60" spans="1:21" s="171" customFormat="1" ht="13" x14ac:dyDescent="0.25">
      <c r="A60" s="2556"/>
      <c r="B60" s="2513"/>
      <c r="C60" s="2513"/>
      <c r="D60" s="2602"/>
      <c r="E60" s="2602"/>
      <c r="F60" s="2602"/>
      <c r="G60" s="2602"/>
      <c r="H60" s="2602"/>
      <c r="I60" s="2602"/>
      <c r="J60" s="2602"/>
      <c r="K60" s="2602"/>
      <c r="L60" s="1190"/>
      <c r="M60" s="1190"/>
      <c r="N60" s="1190"/>
      <c r="O60" s="1190"/>
      <c r="P60" s="1190"/>
      <c r="Q60" s="1190"/>
      <c r="R60" s="1190"/>
      <c r="S60" s="1190"/>
      <c r="T60" s="1190"/>
      <c r="U60" s="1190"/>
    </row>
    <row r="61" spans="1:21" s="171" customFormat="1" ht="13" x14ac:dyDescent="0.25">
      <c r="A61" s="2556"/>
      <c r="B61" s="2513"/>
      <c r="C61" s="2513"/>
      <c r="D61" s="2602"/>
      <c r="E61" s="2602"/>
      <c r="F61" s="2602"/>
      <c r="G61" s="2602"/>
      <c r="H61" s="2602"/>
      <c r="I61" s="2602"/>
      <c r="J61" s="2602"/>
      <c r="K61" s="2602"/>
      <c r="L61" s="1190"/>
      <c r="M61" s="1190"/>
      <c r="N61" s="1190"/>
      <c r="O61" s="1190"/>
      <c r="P61" s="1190"/>
      <c r="Q61" s="1190"/>
      <c r="R61" s="1190"/>
      <c r="S61" s="1190"/>
      <c r="T61" s="1190"/>
      <c r="U61" s="1190"/>
    </row>
    <row r="62" spans="1:21" s="171" customFormat="1" ht="13" x14ac:dyDescent="0.25">
      <c r="A62" s="2556"/>
      <c r="B62" s="2513"/>
      <c r="C62" s="2513"/>
      <c r="D62" s="2602"/>
      <c r="E62" s="2602"/>
      <c r="F62" s="2602"/>
      <c r="G62" s="2602"/>
      <c r="H62" s="2602"/>
      <c r="I62" s="2602"/>
      <c r="J62" s="2602"/>
      <c r="K62" s="2602"/>
      <c r="L62" s="1190"/>
      <c r="M62" s="1190"/>
      <c r="N62" s="1190"/>
      <c r="O62" s="1190"/>
      <c r="P62" s="1190"/>
      <c r="Q62" s="1190"/>
      <c r="R62" s="1190"/>
      <c r="S62" s="1190"/>
      <c r="T62" s="1190"/>
      <c r="U62" s="1190"/>
    </row>
    <row r="63" spans="1:21" s="171" customFormat="1" ht="13" x14ac:dyDescent="0.25">
      <c r="A63" s="2556"/>
      <c r="B63" s="2513"/>
      <c r="C63" s="2513"/>
      <c r="D63" s="2602"/>
      <c r="E63" s="2602"/>
      <c r="F63" s="2602"/>
      <c r="G63" s="2602"/>
      <c r="H63" s="2602"/>
      <c r="I63" s="2602"/>
      <c r="J63" s="2602"/>
      <c r="K63" s="2602"/>
      <c r="L63" s="1190"/>
      <c r="M63" s="1190"/>
      <c r="N63" s="1190"/>
      <c r="O63" s="1190"/>
      <c r="P63" s="1190"/>
      <c r="Q63" s="1190"/>
      <c r="R63" s="1190"/>
      <c r="S63" s="1190"/>
      <c r="T63" s="1190"/>
      <c r="U63" s="1190"/>
    </row>
    <row r="64" spans="1:21" s="171" customFormat="1" ht="13" x14ac:dyDescent="0.25">
      <c r="A64" s="2556"/>
      <c r="B64" s="2513"/>
      <c r="C64" s="2513"/>
      <c r="D64" s="2602"/>
      <c r="E64" s="2602"/>
      <c r="F64" s="2602"/>
      <c r="G64" s="2602"/>
      <c r="H64" s="2602"/>
      <c r="I64" s="2602"/>
      <c r="J64" s="2602"/>
      <c r="K64" s="2602"/>
      <c r="L64" s="1190"/>
      <c r="M64" s="1190"/>
      <c r="N64" s="1190"/>
      <c r="O64" s="1190"/>
      <c r="P64" s="1190"/>
      <c r="Q64" s="1190"/>
      <c r="R64" s="1190"/>
      <c r="S64" s="1190"/>
      <c r="T64" s="1190"/>
      <c r="U64" s="1190"/>
    </row>
    <row r="65" spans="1:25" x14ac:dyDescent="0.35">
      <c r="A65" s="819">
        <v>6</v>
      </c>
      <c r="B65" s="819" t="s">
        <v>58</v>
      </c>
      <c r="C65" s="819"/>
      <c r="D65" s="4694" t="s">
        <v>498</v>
      </c>
      <c r="E65" s="4695"/>
      <c r="F65" s="4695"/>
      <c r="G65" s="4695"/>
      <c r="H65" s="4695"/>
      <c r="I65" s="4695"/>
      <c r="J65" s="4695"/>
      <c r="K65" s="4695"/>
      <c r="L65" s="4695"/>
      <c r="M65" s="4695"/>
      <c r="N65" s="4695"/>
      <c r="O65" s="4695"/>
      <c r="P65" s="4695"/>
      <c r="Q65" s="4695"/>
      <c r="R65" s="4695"/>
      <c r="S65" s="4695"/>
      <c r="T65" s="4695"/>
      <c r="U65" s="4695"/>
      <c r="V65" s="4695"/>
      <c r="W65" s="4695"/>
      <c r="X65" s="4695"/>
      <c r="Y65" s="4696"/>
    </row>
    <row r="66" spans="1:25" ht="42.75" customHeight="1" x14ac:dyDescent="0.35">
      <c r="A66" s="870">
        <v>7</v>
      </c>
      <c r="B66" s="870" t="s">
        <v>60</v>
      </c>
      <c r="C66" s="870"/>
      <c r="D66" s="4642" t="s">
        <v>1011</v>
      </c>
      <c r="E66" s="4643"/>
      <c r="F66" s="4643"/>
      <c r="G66" s="4643"/>
      <c r="H66" s="4643"/>
      <c r="I66" s="4643"/>
      <c r="J66" s="4643"/>
      <c r="K66" s="4643"/>
      <c r="L66" s="4643"/>
      <c r="M66" s="4643"/>
      <c r="N66" s="4643"/>
      <c r="O66" s="4643"/>
      <c r="P66" s="4643"/>
      <c r="Q66" s="4643"/>
      <c r="R66" s="4643"/>
      <c r="S66" s="4643"/>
      <c r="T66" s="4643"/>
      <c r="U66" s="4643"/>
      <c r="V66" s="4643"/>
      <c r="W66" s="4643"/>
      <c r="X66" s="4643"/>
      <c r="Y66" s="4644"/>
    </row>
    <row r="67" spans="1:25" ht="50.25" customHeight="1" x14ac:dyDescent="0.35">
      <c r="A67" s="819">
        <v>8</v>
      </c>
      <c r="B67" s="819" t="s">
        <v>62</v>
      </c>
      <c r="C67" s="819"/>
      <c r="D67" s="4642" t="s">
        <v>1012</v>
      </c>
      <c r="E67" s="4643"/>
      <c r="F67" s="4643"/>
      <c r="G67" s="4643"/>
      <c r="H67" s="4643"/>
      <c r="I67" s="4643"/>
      <c r="J67" s="4643"/>
      <c r="K67" s="4643"/>
      <c r="L67" s="4643"/>
      <c r="M67" s="4643"/>
      <c r="N67" s="4643"/>
      <c r="O67" s="4643"/>
      <c r="P67" s="4643"/>
      <c r="Q67" s="4643"/>
      <c r="R67" s="4643"/>
      <c r="S67" s="4643"/>
      <c r="T67" s="4643"/>
      <c r="U67" s="4643"/>
      <c r="V67" s="4643"/>
      <c r="W67" s="4643"/>
      <c r="X67" s="4643"/>
      <c r="Y67" s="4644"/>
    </row>
    <row r="68" spans="1:25" ht="60" customHeight="1" x14ac:dyDescent="0.35">
      <c r="A68" s="819">
        <v>9</v>
      </c>
      <c r="B68" s="819" t="s">
        <v>64</v>
      </c>
      <c r="C68" s="819"/>
      <c r="D68" s="4642" t="s">
        <v>1013</v>
      </c>
      <c r="E68" s="4643"/>
      <c r="F68" s="4643"/>
      <c r="G68" s="4643"/>
      <c r="H68" s="4643"/>
      <c r="I68" s="4643"/>
      <c r="J68" s="4643"/>
      <c r="K68" s="4643"/>
      <c r="L68" s="4643"/>
      <c r="M68" s="4643"/>
      <c r="N68" s="4643"/>
      <c r="O68" s="4643"/>
      <c r="P68" s="4643"/>
      <c r="Q68" s="4643"/>
      <c r="R68" s="4643"/>
      <c r="S68" s="4643"/>
      <c r="T68" s="4643"/>
      <c r="U68" s="4643"/>
      <c r="V68" s="4643"/>
      <c r="W68" s="4643"/>
      <c r="X68" s="4643"/>
      <c r="Y68" s="4644"/>
    </row>
    <row r="69" spans="1:25" ht="50.25" customHeight="1" x14ac:dyDescent="0.35"/>
    <row r="70" spans="1:25" x14ac:dyDescent="0.35">
      <c r="D70" s="140" t="s">
        <v>1014</v>
      </c>
    </row>
    <row r="71" spans="1:25" x14ac:dyDescent="0.35">
      <c r="D71" s="140" t="s">
        <v>1015</v>
      </c>
    </row>
    <row r="72" spans="1:25" x14ac:dyDescent="0.35">
      <c r="D72" s="2603" t="s">
        <v>1016</v>
      </c>
    </row>
    <row r="73" spans="1:25" x14ac:dyDescent="0.35">
      <c r="E73" s="4865"/>
      <c r="F73" s="4865"/>
      <c r="G73" s="4865"/>
      <c r="H73" s="4865"/>
      <c r="I73" s="4865"/>
      <c r="J73" s="4865"/>
      <c r="K73" s="4865"/>
      <c r="L73" s="4865"/>
      <c r="M73" s="4865"/>
      <c r="N73" s="4865"/>
      <c r="O73" s="4865"/>
      <c r="P73" s="4865"/>
      <c r="Q73" s="4865"/>
      <c r="R73" s="4865"/>
    </row>
    <row r="76" spans="1:25" x14ac:dyDescent="0.35">
      <c r="E76" s="4866" t="s">
        <v>1017</v>
      </c>
      <c r="F76" s="4866"/>
      <c r="G76" s="4866"/>
      <c r="H76" s="4866"/>
      <c r="I76" s="4866"/>
      <c r="J76" s="4866"/>
      <c r="K76" s="4866"/>
      <c r="L76" s="4866"/>
      <c r="M76" s="4866"/>
      <c r="N76" s="4866"/>
      <c r="O76" s="4866"/>
      <c r="P76" s="4866"/>
      <c r="Q76" s="4866"/>
      <c r="R76" s="2604"/>
      <c r="S76" s="2604"/>
      <c r="T76" s="2604"/>
      <c r="U76" s="2604"/>
      <c r="V76" s="2604"/>
      <c r="W76" s="2604"/>
    </row>
    <row r="77" spans="1:25" x14ac:dyDescent="0.35">
      <c r="E77" s="2605" t="s">
        <v>1018</v>
      </c>
      <c r="F77" s="2606" t="s">
        <v>1019</v>
      </c>
      <c r="G77" s="2605">
        <v>2001</v>
      </c>
      <c r="H77" s="2605">
        <v>2002</v>
      </c>
      <c r="I77" s="2605">
        <v>2003</v>
      </c>
      <c r="J77" s="2605">
        <v>2004</v>
      </c>
      <c r="K77" s="2605">
        <v>2005</v>
      </c>
      <c r="L77" s="2605">
        <v>2006</v>
      </c>
      <c r="M77" s="2605">
        <v>2007</v>
      </c>
      <c r="N77" s="2605">
        <v>2008</v>
      </c>
      <c r="O77" s="2605">
        <v>2009</v>
      </c>
      <c r="P77" s="2605">
        <v>2010</v>
      </c>
      <c r="Q77" s="2605">
        <v>2011</v>
      </c>
      <c r="R77" s="2607">
        <v>2012</v>
      </c>
      <c r="S77" s="2607">
        <v>2013</v>
      </c>
      <c r="T77" s="2607">
        <v>2014</v>
      </c>
      <c r="U77" s="2607">
        <v>2015</v>
      </c>
      <c r="V77" s="2607">
        <v>2016</v>
      </c>
      <c r="W77" s="2607">
        <v>2017</v>
      </c>
    </row>
    <row r="78" spans="1:25" x14ac:dyDescent="0.35">
      <c r="E78" s="2608" t="s">
        <v>1020</v>
      </c>
      <c r="F78" s="2609" t="s">
        <v>415</v>
      </c>
      <c r="G78" s="2610">
        <v>9.0887862267387778</v>
      </c>
      <c r="H78" s="2610">
        <v>9.5537067672578004</v>
      </c>
      <c r="I78" s="2610">
        <v>10.084104919276143</v>
      </c>
      <c r="J78" s="2610">
        <v>10.589418721919325</v>
      </c>
      <c r="K78" s="2610">
        <v>12.824698611085125</v>
      </c>
      <c r="L78" s="2610">
        <v>10.346103605544799</v>
      </c>
      <c r="M78" s="2610">
        <v>10.774245694076329</v>
      </c>
      <c r="N78" s="2611">
        <v>11.3</v>
      </c>
      <c r="O78" s="2610">
        <v>11.326199804113614</v>
      </c>
      <c r="P78" s="2611">
        <v>11.8</v>
      </c>
      <c r="Q78" s="2610">
        <v>12.914982478598755</v>
      </c>
      <c r="R78" s="2610">
        <v>13.1</v>
      </c>
      <c r="S78" s="2610">
        <v>13.448384003844694</v>
      </c>
      <c r="T78" s="2610">
        <v>12.606541830633116</v>
      </c>
      <c r="U78" s="2610">
        <v>12.942724516421347</v>
      </c>
      <c r="V78" s="2610">
        <v>13.081865932129674</v>
      </c>
      <c r="W78" s="2612">
        <v>15.079974429507168</v>
      </c>
    </row>
    <row r="79" spans="1:25" x14ac:dyDescent="0.35">
      <c r="E79" s="2611"/>
      <c r="F79" s="2609" t="s">
        <v>416</v>
      </c>
      <c r="G79" s="2610">
        <v>11.338603310477355</v>
      </c>
      <c r="H79" s="2610">
        <v>11.834189063992847</v>
      </c>
      <c r="I79" s="2610">
        <v>12.174987592580971</v>
      </c>
      <c r="J79" s="2610">
        <v>13.007586050429373</v>
      </c>
      <c r="K79" s="2610">
        <v>12.879366363505879</v>
      </c>
      <c r="L79" s="2610">
        <v>13.007016232822686</v>
      </c>
      <c r="M79" s="2610">
        <v>13.7780406906457</v>
      </c>
      <c r="N79" s="2611">
        <v>14.6</v>
      </c>
      <c r="O79" s="2610">
        <v>15.298278696451021</v>
      </c>
      <c r="P79" s="2611">
        <v>16.5</v>
      </c>
      <c r="Q79" s="2610">
        <v>18.395005150165261</v>
      </c>
      <c r="R79" s="2610">
        <v>19.100000000000001</v>
      </c>
      <c r="S79" s="2610">
        <v>19.513384994801267</v>
      </c>
      <c r="T79" s="2610">
        <v>18.239758459307588</v>
      </c>
      <c r="U79" s="2610">
        <v>18.273728678906874</v>
      </c>
      <c r="V79" s="2610">
        <v>18.243370372042158</v>
      </c>
      <c r="W79" s="2612">
        <v>20.993394032082911</v>
      </c>
    </row>
    <row r="80" spans="1:25" x14ac:dyDescent="0.35">
      <c r="E80" s="2608" t="s">
        <v>1021</v>
      </c>
      <c r="F80" s="2609" t="s">
        <v>415</v>
      </c>
      <c r="G80" s="2610">
        <v>8.2943631389015788</v>
      </c>
      <c r="H80" s="2610">
        <v>9.2974673750451338</v>
      </c>
      <c r="I80" s="2610">
        <v>10.248450429311545</v>
      </c>
      <c r="J80" s="2610">
        <v>11.014115411467657</v>
      </c>
      <c r="K80" s="2610">
        <v>10.871334632767152</v>
      </c>
      <c r="L80" s="2610">
        <v>11.201185069427488</v>
      </c>
      <c r="M80" s="2610">
        <v>11.229542731137727</v>
      </c>
      <c r="N80" s="2611">
        <v>11.2</v>
      </c>
      <c r="O80" s="2610">
        <v>11.567539267015707</v>
      </c>
      <c r="P80" s="2611">
        <v>12.4</v>
      </c>
      <c r="Q80" s="2610">
        <v>12.043883640618025</v>
      </c>
      <c r="R80" s="2610">
        <v>11.1</v>
      </c>
      <c r="S80" s="2610">
        <v>11.174010171586101</v>
      </c>
      <c r="T80" s="2610">
        <v>10.83144598286208</v>
      </c>
      <c r="U80" s="2610">
        <v>11.004845106255612</v>
      </c>
      <c r="V80" s="2610">
        <v>11.046577196346002</v>
      </c>
      <c r="W80" s="2612">
        <v>11.171389787645506</v>
      </c>
    </row>
    <row r="81" spans="5:23" x14ac:dyDescent="0.35">
      <c r="E81" s="2611"/>
      <c r="F81" s="2609" t="s">
        <v>416</v>
      </c>
      <c r="G81" s="2610">
        <v>8.6992598324187291</v>
      </c>
      <c r="H81" s="2610">
        <v>10.402172242430453</v>
      </c>
      <c r="I81" s="2610">
        <v>11.897888251364709</v>
      </c>
      <c r="J81" s="2610">
        <v>13.132031654540793</v>
      </c>
      <c r="K81" s="2610">
        <v>13.89104081294645</v>
      </c>
      <c r="L81" s="2610">
        <v>15.107286375009476</v>
      </c>
      <c r="M81" s="2610">
        <v>15.592070402761921</v>
      </c>
      <c r="N81" s="2611">
        <v>15.8</v>
      </c>
      <c r="O81" s="2610">
        <v>17.038719669592155</v>
      </c>
      <c r="P81" s="2611">
        <v>18.5</v>
      </c>
      <c r="Q81" s="2610">
        <v>18.424651196265717</v>
      </c>
      <c r="R81" s="2610">
        <v>17.399999999999999</v>
      </c>
      <c r="S81" s="2610">
        <v>17.924050632911392</v>
      </c>
      <c r="T81" s="2610">
        <v>17.581840844978021</v>
      </c>
      <c r="U81" s="2610">
        <v>18.217249716055026</v>
      </c>
      <c r="V81" s="2610">
        <v>18.07184182203569</v>
      </c>
      <c r="W81" s="2612">
        <v>19.009645041925836</v>
      </c>
    </row>
    <row r="82" spans="5:23" x14ac:dyDescent="0.35">
      <c r="E82" s="2608" t="s">
        <v>535</v>
      </c>
      <c r="F82" s="2609" t="s">
        <v>415</v>
      </c>
      <c r="G82" s="2610">
        <v>40.19575282786645</v>
      </c>
      <c r="H82" s="2610">
        <v>42.837075949123516</v>
      </c>
      <c r="I82" s="2610">
        <v>45.019269834640141</v>
      </c>
      <c r="J82" s="2610">
        <v>46.209223847019118</v>
      </c>
      <c r="K82" s="2610">
        <v>45.129677658391998</v>
      </c>
      <c r="L82" s="2610">
        <v>44.09094264412785</v>
      </c>
      <c r="M82" s="2610">
        <v>42.339750682304341</v>
      </c>
      <c r="N82" s="2611">
        <v>37.9</v>
      </c>
      <c r="O82" s="2610">
        <v>37.381967213114756</v>
      </c>
      <c r="P82" s="2611">
        <v>37.4</v>
      </c>
      <c r="Q82" s="2610">
        <v>39.846729764090973</v>
      </c>
      <c r="R82" s="2610">
        <v>38.200000000000003</v>
      </c>
      <c r="S82" s="2610">
        <v>38.962111689710902</v>
      </c>
      <c r="T82" s="2610">
        <v>38.736323063633748</v>
      </c>
      <c r="U82" s="2610">
        <v>38.50730613425926</v>
      </c>
      <c r="V82" s="2610">
        <v>37.471662642608329</v>
      </c>
      <c r="W82" s="2612">
        <v>36.72869377841895</v>
      </c>
    </row>
    <row r="83" spans="5:23" x14ac:dyDescent="0.35">
      <c r="E83" s="2611"/>
      <c r="F83" s="2609" t="s">
        <v>416</v>
      </c>
      <c r="G83" s="2610">
        <v>44.285520475996663</v>
      </c>
      <c r="H83" s="2610">
        <v>48.65846895259223</v>
      </c>
      <c r="I83" s="2610">
        <v>52.831829957829846</v>
      </c>
      <c r="J83" s="2610">
        <v>55.549105888961705</v>
      </c>
      <c r="K83" s="2610">
        <v>56.143281365998511</v>
      </c>
      <c r="L83" s="2610">
        <v>57.238179734575432</v>
      </c>
      <c r="M83" s="2610">
        <v>54.69949793266391</v>
      </c>
      <c r="N83" s="2611">
        <v>51.8</v>
      </c>
      <c r="O83" s="2610">
        <v>52.784246575342465</v>
      </c>
      <c r="P83" s="2611">
        <v>54.2</v>
      </c>
      <c r="Q83" s="2610">
        <v>56.944370602725648</v>
      </c>
      <c r="R83" s="2610">
        <v>56.8</v>
      </c>
      <c r="S83" s="2610">
        <v>59.170953882465746</v>
      </c>
      <c r="T83" s="2610">
        <v>59.3086876155268</v>
      </c>
      <c r="U83" s="2610">
        <v>60.502188348928463</v>
      </c>
      <c r="V83" s="2610">
        <v>56.986358390252214</v>
      </c>
      <c r="W83" s="2612">
        <v>58.92468052529297</v>
      </c>
    </row>
    <row r="84" spans="5:23" x14ac:dyDescent="0.35">
      <c r="E84" s="2608" t="s">
        <v>512</v>
      </c>
      <c r="F84" s="2609" t="s">
        <v>415</v>
      </c>
      <c r="G84" s="2610">
        <v>57.908031965325748</v>
      </c>
      <c r="H84" s="2610">
        <v>59.901400253346573</v>
      </c>
      <c r="I84" s="2610">
        <v>61.067346255542724</v>
      </c>
      <c r="J84" s="2610">
        <v>60.723072992995142</v>
      </c>
      <c r="K84" s="2610">
        <v>57.534477942561665</v>
      </c>
      <c r="L84" s="2610">
        <v>55.354556302124216</v>
      </c>
      <c r="M84" s="2610">
        <v>52.997477931904157</v>
      </c>
      <c r="N84" s="2611">
        <v>51.6</v>
      </c>
      <c r="O84" s="2610">
        <v>53.057271557271555</v>
      </c>
      <c r="P84" s="2611">
        <v>52.1</v>
      </c>
      <c r="Q84" s="2610">
        <v>51.315722663687836</v>
      </c>
      <c r="R84" s="2610">
        <v>48.8</v>
      </c>
      <c r="S84" s="2610">
        <v>48.324053871040554</v>
      </c>
      <c r="T84" s="2610">
        <v>46.587170534329978</v>
      </c>
      <c r="U84" s="2610">
        <v>45.83402991216677</v>
      </c>
      <c r="V84" s="2610">
        <v>43.554744572946227</v>
      </c>
      <c r="W84" s="2612">
        <v>48.371281867037922</v>
      </c>
    </row>
    <row r="85" spans="5:23" x14ac:dyDescent="0.35">
      <c r="E85" s="2611"/>
      <c r="F85" s="2609" t="s">
        <v>416</v>
      </c>
      <c r="G85" s="2610">
        <v>59.878931474392772</v>
      </c>
      <c r="H85" s="2610">
        <v>63.53849770451906</v>
      </c>
      <c r="I85" s="2610">
        <v>66.009421357832537</v>
      </c>
      <c r="J85" s="2610">
        <v>66.562675527343345</v>
      </c>
      <c r="K85" s="2610">
        <v>63.630536168654054</v>
      </c>
      <c r="L85" s="2610">
        <v>63.042106618593877</v>
      </c>
      <c r="M85" s="2610">
        <v>61.478566964684276</v>
      </c>
      <c r="N85" s="2611">
        <v>61.5</v>
      </c>
      <c r="O85" s="2610">
        <v>64.005291005291014</v>
      </c>
      <c r="P85" s="2611">
        <v>62.8</v>
      </c>
      <c r="Q85" s="2610">
        <v>63.667669411019631</v>
      </c>
      <c r="R85" s="2610">
        <v>60.8</v>
      </c>
      <c r="S85" s="2610">
        <v>61.264112434443383</v>
      </c>
      <c r="T85" s="2610">
        <v>59.85427980094854</v>
      </c>
      <c r="U85" s="2610">
        <v>59.910002452068689</v>
      </c>
      <c r="V85" s="2610">
        <v>57.226126747824225</v>
      </c>
      <c r="W85" s="2612">
        <v>63.430367060277462</v>
      </c>
    </row>
    <row r="86" spans="5:23" x14ac:dyDescent="0.35">
      <c r="E86" s="2611" t="s">
        <v>232</v>
      </c>
      <c r="F86" s="2609" t="s">
        <v>415</v>
      </c>
      <c r="G86" s="2610">
        <v>12.999059987642484</v>
      </c>
      <c r="H86" s="2610">
        <v>13.572086253944285</v>
      </c>
      <c r="I86" s="2610">
        <v>14.181559461290757</v>
      </c>
      <c r="J86" s="2610">
        <v>14.691559070993756</v>
      </c>
      <c r="K86" s="2610">
        <v>14.405550555275473</v>
      </c>
      <c r="L86" s="2610">
        <v>14.260220670722742</v>
      </c>
      <c r="M86" s="2610">
        <v>14.434189640492542</v>
      </c>
      <c r="N86" s="2611">
        <v>14.7</v>
      </c>
      <c r="O86" s="2610">
        <v>14.641504041806156</v>
      </c>
      <c r="P86" s="2610">
        <v>15</v>
      </c>
      <c r="Q86" s="2610">
        <v>15.923005217334794</v>
      </c>
      <c r="R86" s="2610">
        <v>15.9</v>
      </c>
      <c r="S86" s="2610">
        <v>16.00965485469483</v>
      </c>
      <c r="T86" s="2610">
        <v>15.185535689473229</v>
      </c>
      <c r="U86" s="2610">
        <v>15.442303395006693</v>
      </c>
      <c r="V86" s="2610">
        <v>15.34817940414678</v>
      </c>
      <c r="W86" s="2612">
        <v>17.172829183327785</v>
      </c>
    </row>
    <row r="87" spans="5:23" x14ac:dyDescent="0.35">
      <c r="E87" s="2611"/>
      <c r="F87" s="2609" t="s">
        <v>416</v>
      </c>
      <c r="G87" s="2610">
        <v>15.119784422184605</v>
      </c>
      <c r="H87" s="2610">
        <v>15.922705845018109</v>
      </c>
      <c r="I87" s="2610">
        <v>16.564696337941488</v>
      </c>
      <c r="J87" s="2610">
        <v>17.467824797874005</v>
      </c>
      <c r="K87" s="2610">
        <v>17.36220034400398</v>
      </c>
      <c r="L87" s="2610">
        <v>17.609352407640063</v>
      </c>
      <c r="M87" s="2610">
        <v>18.137335912854869</v>
      </c>
      <c r="N87" s="2611">
        <v>18.600000000000001</v>
      </c>
      <c r="O87" s="2610">
        <v>19.300222536920899</v>
      </c>
      <c r="P87" s="2611">
        <v>20.399999999999999</v>
      </c>
      <c r="Q87" s="2610">
        <v>22.103847210659492</v>
      </c>
      <c r="R87" s="2610">
        <v>22.6</v>
      </c>
      <c r="S87" s="2610">
        <v>22.833029443936514</v>
      </c>
      <c r="T87" s="2610">
        <v>21.686733571709425</v>
      </c>
      <c r="U87" s="2610">
        <v>21.729589731506486</v>
      </c>
      <c r="V87" s="2610">
        <v>21.380933566375564</v>
      </c>
      <c r="W87" s="2612">
        <v>24.017140118649575</v>
      </c>
    </row>
    <row r="88" spans="5:23" x14ac:dyDescent="0.35">
      <c r="E88" s="2613"/>
      <c r="F88" s="2614" t="s">
        <v>1022</v>
      </c>
      <c r="G88" s="2615">
        <v>14.061640800114954</v>
      </c>
      <c r="H88" s="2615">
        <v>14.744350332740257</v>
      </c>
      <c r="I88" s="2615">
        <v>15.369754107470923</v>
      </c>
      <c r="J88" s="2615">
        <v>16.076355118068069</v>
      </c>
      <c r="K88" s="2615">
        <v>15.881053861456643</v>
      </c>
      <c r="L88" s="2615">
        <v>15.93055175044184</v>
      </c>
      <c r="M88" s="2615">
        <v>16.279494084605858</v>
      </c>
      <c r="N88" s="2613">
        <v>16.7</v>
      </c>
      <c r="O88" s="2615">
        <v>16.981324554451422</v>
      </c>
      <c r="P88" s="2613">
        <v>17.7</v>
      </c>
      <c r="Q88" s="2615">
        <v>18.99854602964059</v>
      </c>
      <c r="R88" s="2615">
        <v>19.2</v>
      </c>
      <c r="S88" s="2615">
        <v>19.539015741681652</v>
      </c>
      <c r="T88" s="2615">
        <v>18.400024453600622</v>
      </c>
      <c r="U88" s="2615">
        <v>18.577825321571272</v>
      </c>
      <c r="V88" s="2615">
        <v>18.359058181032111</v>
      </c>
      <c r="W88" s="2616">
        <v>20.610776084214109</v>
      </c>
    </row>
  </sheetData>
  <mergeCells count="9">
    <mergeCell ref="D68:Y68"/>
    <mergeCell ref="E73:R73"/>
    <mergeCell ref="E76:Q76"/>
    <mergeCell ref="D2:Z2"/>
    <mergeCell ref="D3:Z3"/>
    <mergeCell ref="D4:Z4"/>
    <mergeCell ref="D65:Y65"/>
    <mergeCell ref="D66:Y66"/>
    <mergeCell ref="D67:Y67"/>
  </mergeCells>
  <pageMargins left="0.74803149606299202" right="0.74803149606299202" top="0.98425196850393704" bottom="0.98425196850393704" header="0.511811023622047" footer="0.511811023622047"/>
  <pageSetup paperSize="9" scale="4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FFFF-E96E-47FF-8F63-BD132B74D04C}">
  <sheetPr>
    <tabColor rgb="FF00B0F0"/>
  </sheetPr>
  <dimension ref="A1:AA79"/>
  <sheetViews>
    <sheetView showGridLines="0" view="pageBreakPreview" zoomScale="90" zoomScaleNormal="100" zoomScaleSheetLayoutView="90" workbookViewId="0">
      <selection activeCell="X9" sqref="X9"/>
    </sheetView>
  </sheetViews>
  <sheetFormatPr defaultRowHeight="14.5" x14ac:dyDescent="0.35"/>
  <cols>
    <col min="2" max="2" width="11.7265625" bestFit="1" customWidth="1"/>
    <col min="4" max="4" width="19.90625" customWidth="1"/>
  </cols>
  <sheetData>
    <row r="1" spans="1:27" x14ac:dyDescent="0.35">
      <c r="A1" s="819"/>
      <c r="B1" s="2077"/>
      <c r="C1" s="2077"/>
      <c r="AA1" s="140"/>
    </row>
    <row r="2" spans="1:27" x14ac:dyDescent="0.35">
      <c r="A2" s="819">
        <v>1</v>
      </c>
      <c r="B2" s="819" t="s">
        <v>0</v>
      </c>
      <c r="C2" s="819">
        <v>44</v>
      </c>
      <c r="D2" s="4867" t="s">
        <v>1023</v>
      </c>
      <c r="E2" s="4868"/>
      <c r="F2" s="4868"/>
      <c r="G2" s="4868"/>
      <c r="H2" s="4868"/>
      <c r="I2" s="4868"/>
      <c r="J2" s="4868"/>
      <c r="K2" s="4868"/>
      <c r="L2" s="4868"/>
      <c r="M2" s="4868"/>
      <c r="N2" s="4868"/>
      <c r="O2" s="4869"/>
      <c r="AA2" s="140"/>
    </row>
    <row r="3" spans="1:27" x14ac:dyDescent="0.35">
      <c r="A3" s="819">
        <v>2</v>
      </c>
      <c r="B3" s="819" t="s">
        <v>2</v>
      </c>
      <c r="C3" s="819"/>
      <c r="D3" s="4867" t="s">
        <v>1024</v>
      </c>
      <c r="E3" s="4868"/>
      <c r="F3" s="4868"/>
      <c r="G3" s="4868"/>
      <c r="H3" s="4868"/>
      <c r="I3" s="4868"/>
      <c r="J3" s="4868"/>
      <c r="K3" s="4868"/>
      <c r="L3" s="4868"/>
      <c r="M3" s="4868"/>
      <c r="N3" s="4868"/>
      <c r="O3" s="4869"/>
      <c r="AA3" s="140"/>
    </row>
    <row r="4" spans="1:27" x14ac:dyDescent="0.35">
      <c r="A4" s="819">
        <v>3</v>
      </c>
      <c r="B4" s="819" t="s">
        <v>4</v>
      </c>
      <c r="C4" s="819"/>
      <c r="D4" s="4867" t="s">
        <v>1025</v>
      </c>
      <c r="E4" s="4868"/>
      <c r="F4" s="4868"/>
      <c r="G4" s="4868"/>
      <c r="H4" s="4868"/>
      <c r="I4" s="4868"/>
      <c r="J4" s="4868"/>
      <c r="K4" s="4868"/>
      <c r="L4" s="4868"/>
      <c r="M4" s="4868"/>
      <c r="N4" s="4868"/>
      <c r="O4" s="4869"/>
      <c r="AA4" s="140"/>
    </row>
    <row r="5" spans="1:27" x14ac:dyDescent="0.35">
      <c r="A5" s="819"/>
      <c r="B5" s="2077"/>
      <c r="C5" s="1192"/>
      <c r="D5" s="2512"/>
      <c r="E5" s="140"/>
      <c r="F5" s="140"/>
      <c r="G5" s="140"/>
      <c r="H5" s="140"/>
      <c r="I5" s="140"/>
      <c r="J5" s="140"/>
      <c r="K5" s="140"/>
      <c r="L5" s="140"/>
      <c r="M5" s="140"/>
      <c r="N5" s="140"/>
      <c r="O5" s="140"/>
      <c r="P5" s="140"/>
      <c r="Q5" s="140"/>
      <c r="R5" s="140"/>
      <c r="S5" s="140"/>
      <c r="T5" s="140"/>
      <c r="U5" s="140"/>
      <c r="V5" s="140"/>
      <c r="W5" s="140"/>
      <c r="X5" s="140"/>
      <c r="Y5" s="140"/>
      <c r="Z5" s="140"/>
      <c r="AA5" s="140"/>
    </row>
    <row r="6" spans="1:27" x14ac:dyDescent="0.35">
      <c r="A6" s="819">
        <v>4</v>
      </c>
      <c r="B6" s="1192" t="s">
        <v>6</v>
      </c>
      <c r="C6" s="2077"/>
      <c r="D6" s="90" t="s">
        <v>7</v>
      </c>
      <c r="E6" s="89" t="s">
        <v>1026</v>
      </c>
      <c r="F6" s="89"/>
      <c r="G6" s="89"/>
      <c r="H6" s="89"/>
      <c r="I6" s="89"/>
      <c r="J6" s="89"/>
      <c r="K6" s="89"/>
      <c r="L6" s="89"/>
      <c r="M6" s="2078"/>
      <c r="N6" s="2078"/>
      <c r="O6" s="2078"/>
      <c r="P6" s="2078"/>
      <c r="Q6" s="2078"/>
      <c r="R6" s="2078"/>
      <c r="S6" s="2078"/>
      <c r="T6" s="2078"/>
      <c r="U6" s="2078"/>
      <c r="V6" s="140"/>
      <c r="W6" s="140"/>
      <c r="X6" s="140"/>
      <c r="Y6" s="140"/>
      <c r="Z6" s="140"/>
      <c r="AA6" s="140"/>
    </row>
    <row r="7" spans="1:27" x14ac:dyDescent="0.35">
      <c r="A7" s="2548"/>
      <c r="B7" s="2125"/>
      <c r="C7" s="2125"/>
      <c r="D7" s="2549"/>
      <c r="E7" s="2551">
        <v>2013</v>
      </c>
      <c r="F7" s="2551">
        <v>2014</v>
      </c>
      <c r="G7" s="2552">
        <v>2015</v>
      </c>
      <c r="H7" s="2552">
        <v>2016</v>
      </c>
      <c r="I7" s="2553">
        <v>2017</v>
      </c>
      <c r="J7" s="2553">
        <v>2018</v>
      </c>
      <c r="K7" s="2553">
        <v>2018</v>
      </c>
    </row>
    <row r="8" spans="1:27" x14ac:dyDescent="0.35">
      <c r="A8" s="2556"/>
      <c r="B8" s="1195"/>
      <c r="C8" s="1195"/>
      <c r="D8" s="108" t="s">
        <v>1027</v>
      </c>
      <c r="E8" s="2617">
        <v>3260.9581152721175</v>
      </c>
      <c r="F8" s="2617">
        <v>3211.8228779188748</v>
      </c>
      <c r="G8" s="2617">
        <v>3138.7506212202411</v>
      </c>
      <c r="H8" s="2618">
        <v>3218.8899504711289</v>
      </c>
      <c r="I8" s="2618">
        <v>3213.4311353148937</v>
      </c>
      <c r="J8" s="2619">
        <v>3253.6426271063419</v>
      </c>
      <c r="K8" s="2619"/>
    </row>
    <row r="9" spans="1:27" x14ac:dyDescent="0.35">
      <c r="A9" s="2556"/>
      <c r="B9" s="1195"/>
      <c r="C9" s="1195"/>
      <c r="D9" s="108" t="s">
        <v>1028</v>
      </c>
      <c r="E9" s="2617">
        <v>3043.7023348745824</v>
      </c>
      <c r="F9" s="2617">
        <v>3000.8436625510553</v>
      </c>
      <c r="G9" s="2617">
        <v>2931.2916935508761</v>
      </c>
      <c r="H9" s="2618">
        <v>3001.2790058000955</v>
      </c>
      <c r="I9" s="2618">
        <v>3032.0643688012133</v>
      </c>
      <c r="J9" s="2620">
        <v>3060.9373865289208</v>
      </c>
      <c r="K9" s="2620"/>
    </row>
    <row r="10" spans="1:27" x14ac:dyDescent="0.35">
      <c r="A10" s="2556"/>
      <c r="B10" s="1195"/>
      <c r="C10" s="1195"/>
      <c r="D10" s="2621" t="s">
        <v>1029</v>
      </c>
      <c r="E10" s="2622">
        <v>7393.6536793845025</v>
      </c>
      <c r="F10" s="2622">
        <v>7446.3553874025911</v>
      </c>
      <c r="G10" s="2622">
        <v>7342.2333015733657</v>
      </c>
      <c r="H10" s="2623">
        <v>7602.7913087460392</v>
      </c>
      <c r="I10" s="2623">
        <v>7764.5276852254983</v>
      </c>
      <c r="J10" s="2624">
        <v>7936.6914577741218</v>
      </c>
      <c r="K10" s="2624"/>
    </row>
    <row r="11" spans="1:27" x14ac:dyDescent="0.35">
      <c r="A11" s="2556"/>
      <c r="B11" s="1195"/>
      <c r="C11" s="1195"/>
      <c r="D11" s="108"/>
      <c r="E11" s="2625"/>
      <c r="F11" s="2625"/>
      <c r="G11" s="2625"/>
      <c r="H11" s="2626"/>
      <c r="I11" s="2626"/>
      <c r="J11" s="2626"/>
      <c r="K11" s="140"/>
    </row>
    <row r="12" spans="1:27" x14ac:dyDescent="0.35">
      <c r="A12" s="2556"/>
      <c r="B12" s="1195"/>
      <c r="C12" s="1195"/>
      <c r="D12" s="108"/>
      <c r="E12" s="2625"/>
      <c r="F12" s="2625"/>
      <c r="G12" s="2625"/>
      <c r="H12" s="2626"/>
      <c r="I12" s="2626"/>
      <c r="J12" s="2626"/>
      <c r="K12" s="140"/>
    </row>
    <row r="13" spans="1:27" x14ac:dyDescent="0.35">
      <c r="A13" s="2556"/>
      <c r="B13" s="1195"/>
      <c r="C13" s="1195"/>
      <c r="D13" s="108"/>
      <c r="E13" s="2625"/>
      <c r="F13" s="2625"/>
      <c r="G13" s="2625"/>
      <c r="H13" s="2626"/>
      <c r="I13" s="2626"/>
      <c r="J13" s="2626"/>
      <c r="K13" s="140"/>
    </row>
    <row r="14" spans="1:27" x14ac:dyDescent="0.35">
      <c r="A14" s="2556"/>
      <c r="B14" s="1195"/>
      <c r="C14" s="1195"/>
      <c r="D14" s="108"/>
      <c r="E14" s="2625"/>
      <c r="F14" s="2625"/>
      <c r="G14" s="2625"/>
      <c r="H14" s="2626"/>
      <c r="I14" s="2626"/>
      <c r="J14" s="2626"/>
      <c r="K14" s="140"/>
    </row>
    <row r="15" spans="1:27" x14ac:dyDescent="0.35">
      <c r="A15" s="2556"/>
      <c r="B15" s="1195"/>
      <c r="C15" s="1195"/>
      <c r="D15" s="108"/>
      <c r="E15" s="2625"/>
      <c r="F15" s="2625"/>
      <c r="G15" s="2625"/>
      <c r="H15" s="2626"/>
      <c r="I15" s="2626"/>
      <c r="J15" s="2626"/>
      <c r="K15" s="140"/>
    </row>
    <row r="16" spans="1:27" x14ac:dyDescent="0.35">
      <c r="A16" s="2556"/>
      <c r="B16" s="1195"/>
      <c r="C16" s="1195"/>
      <c r="D16" s="108"/>
      <c r="E16" s="2625"/>
      <c r="F16" s="2625"/>
      <c r="G16" s="2625"/>
      <c r="H16" s="2626"/>
      <c r="I16" s="2626"/>
      <c r="J16" s="2626"/>
      <c r="K16" s="140"/>
    </row>
    <row r="17" spans="1:27" x14ac:dyDescent="0.35">
      <c r="A17" s="2556"/>
      <c r="B17" s="1195"/>
      <c r="C17" s="1195"/>
      <c r="D17" s="108"/>
      <c r="E17" s="2625"/>
      <c r="F17" s="2625"/>
      <c r="G17" s="2625"/>
      <c r="H17" s="2626"/>
      <c r="I17" s="2626"/>
      <c r="J17" s="2626"/>
      <c r="K17" s="140"/>
    </row>
    <row r="18" spans="1:27" x14ac:dyDescent="0.35">
      <c r="A18" s="2556"/>
      <c r="B18" s="1195"/>
      <c r="C18" s="1195"/>
      <c r="D18" s="108"/>
      <c r="E18" s="2625"/>
      <c r="F18" s="2625"/>
      <c r="G18" s="2625"/>
      <c r="H18" s="2626"/>
      <c r="I18" s="2626"/>
      <c r="J18" s="2626"/>
      <c r="K18" s="140"/>
    </row>
    <row r="19" spans="1:27" x14ac:dyDescent="0.35">
      <c r="A19" s="2556"/>
      <c r="B19" s="1195"/>
      <c r="C19" s="1195"/>
      <c r="D19" s="108"/>
      <c r="E19" s="2625"/>
      <c r="F19" s="2625"/>
      <c r="G19" s="2625"/>
      <c r="H19" s="2626"/>
      <c r="I19" s="2626"/>
      <c r="J19" s="2626"/>
      <c r="K19" s="140"/>
    </row>
    <row r="20" spans="1:27" x14ac:dyDescent="0.35">
      <c r="A20" s="2556"/>
      <c r="B20" s="1195"/>
      <c r="C20" s="1195"/>
      <c r="D20" s="108"/>
      <c r="E20" s="2625"/>
      <c r="F20" s="2625"/>
      <c r="G20" s="2625"/>
      <c r="H20" s="2626"/>
      <c r="I20" s="2626"/>
      <c r="J20" s="2626"/>
      <c r="K20" s="140"/>
    </row>
    <row r="21" spans="1:27" x14ac:dyDescent="0.35">
      <c r="A21" s="2556"/>
      <c r="B21" s="1195"/>
      <c r="C21" s="1195"/>
      <c r="D21" s="108"/>
      <c r="E21" s="2625"/>
      <c r="F21" s="2625"/>
      <c r="G21" s="2625"/>
      <c r="H21" s="2626"/>
      <c r="I21" s="2626"/>
      <c r="J21" s="2626"/>
      <c r="K21" s="140"/>
    </row>
    <row r="22" spans="1:27" x14ac:dyDescent="0.35">
      <c r="A22" s="2556"/>
      <c r="B22" s="1195"/>
      <c r="C22" s="1195"/>
      <c r="D22" s="108"/>
      <c r="E22" s="2625"/>
      <c r="F22" s="2625"/>
      <c r="G22" s="2625"/>
      <c r="H22" s="2626"/>
      <c r="I22" s="2626"/>
      <c r="J22" s="2626"/>
      <c r="K22" s="140"/>
    </row>
    <row r="23" spans="1:27" x14ac:dyDescent="0.35">
      <c r="A23" s="2556"/>
      <c r="B23" s="1195"/>
      <c r="C23" s="1195"/>
      <c r="D23" s="108"/>
      <c r="E23" s="2625"/>
      <c r="F23" s="2625"/>
      <c r="G23" s="2625"/>
      <c r="H23" s="2626"/>
      <c r="I23" s="2626"/>
      <c r="J23" s="2626"/>
      <c r="K23" s="140"/>
      <c r="Q23">
        <f>455825-409906</f>
        <v>45919</v>
      </c>
    </row>
    <row r="24" spans="1:27" x14ac:dyDescent="0.35">
      <c r="A24" s="2556"/>
      <c r="B24" s="1195"/>
      <c r="C24" s="1195"/>
      <c r="D24" s="108"/>
      <c r="E24" s="2625"/>
      <c r="F24" s="2625"/>
      <c r="G24" s="2625"/>
      <c r="H24" s="2626"/>
      <c r="I24" s="2626"/>
      <c r="J24" s="2626"/>
      <c r="K24" s="140"/>
    </row>
    <row r="25" spans="1:27" x14ac:dyDescent="0.35">
      <c r="A25" s="2556"/>
      <c r="B25" s="1195"/>
      <c r="C25" s="1195"/>
      <c r="D25" s="108"/>
      <c r="E25" s="2582"/>
      <c r="F25" s="2582"/>
      <c r="G25" s="2582"/>
      <c r="H25" s="2582"/>
      <c r="I25" s="2582"/>
      <c r="J25" s="2582"/>
      <c r="K25" s="2582"/>
      <c r="L25" s="2582"/>
      <c r="M25" s="2582"/>
      <c r="N25" s="1334"/>
      <c r="O25" s="1334"/>
      <c r="P25" s="1334"/>
      <c r="Q25" s="1334"/>
      <c r="R25" s="1334"/>
      <c r="S25" s="1334"/>
      <c r="T25" s="1334"/>
      <c r="U25" s="1334"/>
      <c r="V25" s="171"/>
      <c r="W25" s="171"/>
      <c r="X25" s="171"/>
      <c r="Y25" s="171"/>
      <c r="Z25" s="171"/>
      <c r="AA25" s="140"/>
    </row>
    <row r="26" spans="1:27" x14ac:dyDescent="0.35">
      <c r="A26" s="2556"/>
      <c r="B26" s="1195"/>
      <c r="C26" s="1195"/>
      <c r="D26" s="108"/>
      <c r="E26" s="2582"/>
      <c r="F26" s="2582"/>
      <c r="G26" s="2582"/>
      <c r="H26" s="2582"/>
      <c r="I26" s="2582"/>
      <c r="J26" s="2582"/>
      <c r="K26" s="2582"/>
      <c r="L26" s="2582"/>
      <c r="M26" s="2582"/>
      <c r="N26" s="1334"/>
      <c r="O26" s="1334"/>
      <c r="P26" s="1334"/>
      <c r="Q26" s="1334"/>
      <c r="R26" s="1334"/>
      <c r="S26" s="1334"/>
      <c r="T26" s="1334"/>
      <c r="U26" s="1334"/>
      <c r="V26" s="171"/>
      <c r="W26" s="171"/>
      <c r="X26" s="171"/>
      <c r="Y26" s="171"/>
      <c r="Z26" s="171"/>
      <c r="AA26" s="140"/>
    </row>
    <row r="27" spans="1:27" x14ac:dyDescent="0.35">
      <c r="A27" s="2556"/>
      <c r="B27" s="1195"/>
      <c r="C27" s="1195"/>
      <c r="D27" s="90" t="s">
        <v>35</v>
      </c>
      <c r="E27" s="89" t="s">
        <v>1030</v>
      </c>
      <c r="F27" s="89"/>
      <c r="G27" s="89"/>
      <c r="H27" s="89"/>
      <c r="I27" s="89"/>
      <c r="J27" s="89"/>
      <c r="K27" s="89"/>
      <c r="L27" s="89"/>
      <c r="M27" s="2078"/>
      <c r="N27" s="2078"/>
      <c r="O27" s="2078"/>
      <c r="P27" s="1334"/>
      <c r="Q27" s="1334"/>
      <c r="R27" s="1334"/>
      <c r="S27" s="1334"/>
      <c r="T27" s="1334"/>
      <c r="U27" s="1334"/>
      <c r="V27" s="171"/>
      <c r="W27" s="171"/>
      <c r="X27" s="171"/>
      <c r="Y27" s="171"/>
      <c r="Z27" s="171"/>
      <c r="AA27" s="140"/>
    </row>
    <row r="28" spans="1:27" x14ac:dyDescent="0.35">
      <c r="A28" s="2556"/>
      <c r="B28" s="1195"/>
      <c r="C28" s="1195"/>
      <c r="D28" s="2549" t="s">
        <v>1031</v>
      </c>
      <c r="E28" s="2551" t="s">
        <v>22</v>
      </c>
      <c r="F28" s="2551" t="s">
        <v>23</v>
      </c>
      <c r="G28" s="2552" t="s">
        <v>24</v>
      </c>
      <c r="H28" s="2552" t="s">
        <v>25</v>
      </c>
      <c r="I28" s="2553" t="s">
        <v>26</v>
      </c>
      <c r="J28" s="2553" t="s">
        <v>27</v>
      </c>
      <c r="K28" s="2549" t="s">
        <v>28</v>
      </c>
      <c r="L28" s="2551" t="s">
        <v>29</v>
      </c>
      <c r="M28" s="2551" t="s">
        <v>30</v>
      </c>
      <c r="N28" s="2552" t="s">
        <v>31</v>
      </c>
      <c r="O28" s="2552" t="s">
        <v>32</v>
      </c>
      <c r="P28" s="1334"/>
      <c r="Q28" s="1334"/>
      <c r="R28" s="1334"/>
      <c r="S28" s="1334"/>
      <c r="T28" s="1334"/>
      <c r="U28" s="1334"/>
      <c r="V28" s="171"/>
      <c r="W28" s="171"/>
      <c r="X28" s="171"/>
      <c r="Y28" s="171"/>
      <c r="Z28" s="171"/>
      <c r="AA28" s="140"/>
    </row>
    <row r="29" spans="1:27" x14ac:dyDescent="0.35">
      <c r="A29" s="2556"/>
      <c r="B29" s="1195"/>
      <c r="C29" s="1195"/>
      <c r="D29" s="108" t="s">
        <v>1032</v>
      </c>
      <c r="E29" s="2617">
        <v>1503.5987011075779</v>
      </c>
      <c r="F29" s="2617">
        <v>1417.6665582704582</v>
      </c>
      <c r="G29" s="2617">
        <v>1272.168925118347</v>
      </c>
      <c r="H29" s="2617">
        <v>1204.742679117601</v>
      </c>
      <c r="I29" s="2617">
        <v>1179.0276706716884</v>
      </c>
      <c r="J29" s="2617">
        <v>1129.3741894057332</v>
      </c>
      <c r="K29" s="2617">
        <v>1104.8233222880904</v>
      </c>
      <c r="L29" s="2617">
        <v>1093.3855033914285</v>
      </c>
      <c r="M29" s="2617">
        <v>1019.6827944741198</v>
      </c>
      <c r="N29" s="2617">
        <v>974.25432755593886</v>
      </c>
      <c r="O29" s="2617">
        <v>908.93732901852422</v>
      </c>
      <c r="P29" s="1334"/>
      <c r="Q29" s="1334"/>
      <c r="R29" s="1334"/>
      <c r="S29" s="1334"/>
      <c r="T29" s="1334"/>
      <c r="U29" s="1334"/>
      <c r="V29" s="171"/>
      <c r="W29" s="171"/>
      <c r="X29" s="171"/>
      <c r="Y29" s="171"/>
      <c r="Z29" s="171"/>
      <c r="AA29" s="140"/>
    </row>
    <row r="30" spans="1:27" x14ac:dyDescent="0.35">
      <c r="A30" s="2556"/>
      <c r="B30" s="1195"/>
      <c r="C30" s="1195"/>
      <c r="D30" s="2627" t="s">
        <v>1033</v>
      </c>
      <c r="E30" s="2617">
        <v>3147.6219680394984</v>
      </c>
      <c r="F30" s="2617">
        <v>3011.1993789170565</v>
      </c>
      <c r="G30" s="2617">
        <v>2897.2356207030048</v>
      </c>
      <c r="H30" s="2617">
        <v>2782.5008326206498</v>
      </c>
      <c r="I30" s="2617">
        <v>2732.5423365995471</v>
      </c>
      <c r="J30" s="2617">
        <v>2660.3957847684424</v>
      </c>
      <c r="K30" s="2617">
        <v>2567.1848649313101</v>
      </c>
      <c r="L30" s="2617">
        <v>2684.7156222324338</v>
      </c>
      <c r="M30" s="2617">
        <v>2602.2162123046614</v>
      </c>
      <c r="N30" s="2617">
        <v>2474.1925394543496</v>
      </c>
      <c r="O30" s="2617">
        <v>2399.8846408445893</v>
      </c>
      <c r="P30" s="1334"/>
      <c r="Q30" s="1334"/>
      <c r="R30" s="1334"/>
      <c r="S30" s="1334"/>
      <c r="T30" s="1334"/>
      <c r="U30" s="1334"/>
      <c r="V30" s="171"/>
      <c r="W30" s="171"/>
      <c r="X30" s="171"/>
      <c r="Y30" s="171"/>
      <c r="Z30" s="171"/>
      <c r="AA30" s="140"/>
    </row>
    <row r="31" spans="1:27" x14ac:dyDescent="0.35">
      <c r="A31" s="2556"/>
      <c r="B31" s="1195"/>
      <c r="C31" s="1195"/>
      <c r="D31" s="2628" t="s">
        <v>1034</v>
      </c>
      <c r="E31" s="2617">
        <v>1422.2278845874453</v>
      </c>
      <c r="F31" s="2617">
        <v>1404.7555279208159</v>
      </c>
      <c r="G31" s="2617">
        <v>1388.1648860805944</v>
      </c>
      <c r="H31" s="2617">
        <v>1358.8262994679408</v>
      </c>
      <c r="I31" s="2617">
        <v>1343.6818254618997</v>
      </c>
      <c r="J31" s="2617">
        <v>1296.4800507781779</v>
      </c>
      <c r="K31" s="2617">
        <v>1259.843996932947</v>
      </c>
      <c r="L31" s="2617">
        <v>1286.3369369985724</v>
      </c>
      <c r="M31" s="2617">
        <v>1311.3390873220337</v>
      </c>
      <c r="N31" s="2617">
        <v>1265.6975784840984</v>
      </c>
      <c r="O31" s="2617">
        <v>1238.125629408835</v>
      </c>
      <c r="P31" s="1334"/>
      <c r="Q31" s="1334"/>
      <c r="R31" s="1334"/>
      <c r="S31" s="1334"/>
      <c r="T31" s="1334"/>
      <c r="U31" s="1334"/>
      <c r="V31" s="171"/>
      <c r="W31" s="171"/>
      <c r="X31" s="171"/>
      <c r="Y31" s="171"/>
      <c r="Z31" s="171"/>
      <c r="AA31" s="140"/>
    </row>
    <row r="32" spans="1:27" x14ac:dyDescent="0.35">
      <c r="A32" s="2556"/>
      <c r="B32" s="1195"/>
      <c r="C32" s="1195"/>
      <c r="D32" s="108" t="s">
        <v>1035</v>
      </c>
      <c r="E32" s="2617">
        <v>7769.9339690414608</v>
      </c>
      <c r="F32" s="2617">
        <v>8023.4248238893724</v>
      </c>
      <c r="G32" s="2617">
        <v>8377.7062145610889</v>
      </c>
      <c r="H32" s="2617">
        <v>8722.6182695426287</v>
      </c>
      <c r="I32" s="2617">
        <v>8993.0935098736791</v>
      </c>
      <c r="J32" s="2617">
        <v>9255.4795325415362</v>
      </c>
      <c r="K32" s="2617">
        <v>9414.9937900405457</v>
      </c>
      <c r="L32" s="2617">
        <v>9581.1729859492862</v>
      </c>
      <c r="M32" s="2617">
        <v>10046.713409783531</v>
      </c>
      <c r="N32" s="2617">
        <v>10213.340179690111</v>
      </c>
      <c r="O32" s="2617">
        <v>10552.959919157052</v>
      </c>
      <c r="P32" s="1334"/>
      <c r="Q32" s="1334"/>
      <c r="R32" s="1334"/>
      <c r="S32" s="1334"/>
      <c r="T32" s="1334"/>
      <c r="U32" s="1334"/>
      <c r="V32" s="171"/>
      <c r="W32" s="171"/>
      <c r="X32" s="171"/>
      <c r="Y32" s="171"/>
      <c r="Z32" s="171"/>
      <c r="AA32" s="140"/>
    </row>
    <row r="33" spans="1:27" x14ac:dyDescent="0.35">
      <c r="A33" s="2556"/>
      <c r="B33" s="1195"/>
      <c r="C33" s="1195"/>
      <c r="D33" s="2627" t="s">
        <v>1036</v>
      </c>
      <c r="E33" s="2617">
        <v>5164.0075524413451</v>
      </c>
      <c r="F33" s="2617">
        <v>5469.3781724019518</v>
      </c>
      <c r="G33" s="2617">
        <v>5757.9454916097284</v>
      </c>
      <c r="H33" s="2617">
        <v>5904.958917994044</v>
      </c>
      <c r="I33" s="2617">
        <v>6243.2539659645245</v>
      </c>
      <c r="J33" s="2617">
        <v>6501.9526835391116</v>
      </c>
      <c r="K33" s="2617">
        <v>6914.2066744864605</v>
      </c>
      <c r="L33" s="2617">
        <v>7048.6498394871232</v>
      </c>
      <c r="M33" s="2617">
        <v>7310.9417164348179</v>
      </c>
      <c r="N33" s="2617">
        <v>7620.609092046785</v>
      </c>
      <c r="O33" s="2617">
        <v>8007.5818286496769</v>
      </c>
      <c r="P33" s="1334"/>
      <c r="Q33" s="1334"/>
      <c r="R33" s="1334"/>
      <c r="S33" s="1334"/>
      <c r="T33" s="1334"/>
      <c r="U33" s="1334"/>
      <c r="V33" s="171"/>
      <c r="W33" s="171"/>
      <c r="X33" s="171"/>
      <c r="Y33" s="171"/>
      <c r="Z33" s="171"/>
      <c r="AA33" s="140"/>
    </row>
    <row r="34" spans="1:27" x14ac:dyDescent="0.35">
      <c r="A34" s="2556"/>
      <c r="B34" s="1195"/>
      <c r="C34" s="1195"/>
      <c r="D34" s="2628" t="s">
        <v>1037</v>
      </c>
      <c r="E34" s="2617">
        <v>2755.4826489905936</v>
      </c>
      <c r="F34" s="2617">
        <v>2956.7526572061279</v>
      </c>
      <c r="G34" s="2617">
        <v>3025.836157723259</v>
      </c>
      <c r="H34" s="2617">
        <v>3269.9580473925494</v>
      </c>
      <c r="I34" s="2617">
        <v>3313.9305028355184</v>
      </c>
      <c r="J34" s="2617">
        <v>3514.9986786959585</v>
      </c>
      <c r="K34" s="2617">
        <v>3631.7222827843466</v>
      </c>
      <c r="L34" s="2617">
        <v>3756.908121680659</v>
      </c>
      <c r="M34" s="2617">
        <v>3786.2182581732272</v>
      </c>
      <c r="N34" s="2617">
        <v>4133.1709087462741</v>
      </c>
      <c r="O34" s="2617">
        <v>4197.6386950407586</v>
      </c>
      <c r="P34" s="1334"/>
      <c r="Q34" s="1334"/>
      <c r="R34" s="1334"/>
      <c r="S34" s="1334"/>
      <c r="T34" s="1334"/>
      <c r="U34" s="1334"/>
      <c r="V34" s="171"/>
      <c r="W34" s="171"/>
      <c r="X34" s="171"/>
      <c r="Y34" s="171"/>
      <c r="Z34" s="171"/>
      <c r="AA34" s="140"/>
    </row>
    <row r="35" spans="1:27" x14ac:dyDescent="0.35">
      <c r="A35" s="2556"/>
      <c r="B35" s="1195"/>
      <c r="C35" s="1195"/>
      <c r="D35" s="108" t="s">
        <v>674</v>
      </c>
      <c r="E35" s="2617">
        <v>269.27227320617789</v>
      </c>
      <c r="F35" s="2617">
        <v>239.12072386533541</v>
      </c>
      <c r="G35" s="2617">
        <v>300.36679323881316</v>
      </c>
      <c r="H35" s="2617">
        <v>281.72106982290558</v>
      </c>
      <c r="I35" s="2617">
        <v>241.28330132582971</v>
      </c>
      <c r="J35" s="2617">
        <v>229.82438621222929</v>
      </c>
      <c r="K35" s="2617">
        <v>260.21904608392953</v>
      </c>
      <c r="L35" s="2617">
        <v>292.31288581011648</v>
      </c>
      <c r="M35" s="2617">
        <v>282.15603828279774</v>
      </c>
      <c r="N35" s="2617">
        <v>298.3513125908911</v>
      </c>
      <c r="O35" s="2617">
        <v>293.49850271427209</v>
      </c>
      <c r="P35" s="1334"/>
      <c r="Q35" s="1334"/>
      <c r="R35" s="1334"/>
      <c r="S35" s="1334"/>
      <c r="T35" s="1334"/>
      <c r="U35" s="1334"/>
      <c r="V35" s="171"/>
      <c r="W35" s="171"/>
      <c r="X35" s="171"/>
      <c r="Y35" s="171"/>
      <c r="Z35" s="171"/>
      <c r="AA35" s="140"/>
    </row>
    <row r="36" spans="1:27" x14ac:dyDescent="0.35">
      <c r="A36" s="2556"/>
      <c r="B36" s="1195"/>
      <c r="C36" s="1195"/>
      <c r="D36" s="2621" t="s">
        <v>232</v>
      </c>
      <c r="E36" s="2622">
        <v>22032.1449974141</v>
      </c>
      <c r="F36" s="2622">
        <v>22522.297842471122</v>
      </c>
      <c r="G36" s="2622">
        <v>23019.424089034837</v>
      </c>
      <c r="H36" s="2622">
        <v>23525.32611595832</v>
      </c>
      <c r="I36" s="2622">
        <v>24046.813112732689</v>
      </c>
      <c r="J36" s="2622">
        <v>24588.505305941188</v>
      </c>
      <c r="K36" s="2622">
        <v>25152.99397754763</v>
      </c>
      <c r="L36" s="2622">
        <v>25743.481895549619</v>
      </c>
      <c r="M36" s="2622">
        <v>26359.267516775191</v>
      </c>
      <c r="N36" s="2622">
        <v>26979.615938568448</v>
      </c>
      <c r="O36" s="2622">
        <v>27598.626544833707</v>
      </c>
      <c r="P36" s="1334"/>
      <c r="Q36" s="1334"/>
      <c r="R36" s="1334"/>
      <c r="S36" s="1334"/>
      <c r="T36" s="1334"/>
      <c r="U36" s="1334"/>
      <c r="V36" s="171"/>
      <c r="W36" s="171"/>
      <c r="X36" s="171"/>
      <c r="Y36" s="171"/>
      <c r="Z36" s="171"/>
      <c r="AA36" s="140"/>
    </row>
    <row r="37" spans="1:27" x14ac:dyDescent="0.35">
      <c r="A37" s="2556"/>
      <c r="B37" s="1195"/>
      <c r="C37" s="1195"/>
      <c r="P37" s="1334"/>
      <c r="Q37" s="1334"/>
      <c r="R37" s="1334"/>
      <c r="S37" s="1334"/>
      <c r="T37" s="1334"/>
      <c r="U37" s="1334"/>
      <c r="V37" s="171"/>
      <c r="W37" s="171"/>
      <c r="X37" s="171"/>
      <c r="Y37" s="171"/>
      <c r="Z37" s="171"/>
      <c r="AA37" s="140"/>
    </row>
    <row r="38" spans="1:27" x14ac:dyDescent="0.35">
      <c r="A38" s="2556"/>
      <c r="B38" s="1195"/>
      <c r="C38" s="1195"/>
      <c r="P38" s="1334"/>
      <c r="Q38" s="1334"/>
      <c r="R38" s="1334"/>
      <c r="S38" s="1334"/>
      <c r="T38" s="1334"/>
      <c r="U38" s="1334"/>
      <c r="V38" s="171"/>
      <c r="W38" s="171"/>
      <c r="X38" s="171"/>
      <c r="Y38" s="171"/>
      <c r="Z38" s="171"/>
      <c r="AA38" s="140"/>
    </row>
    <row r="39" spans="1:27" x14ac:dyDescent="0.35">
      <c r="A39" s="2556"/>
      <c r="B39" s="1195"/>
      <c r="C39" s="1195"/>
      <c r="D39" s="90" t="s">
        <v>234</v>
      </c>
      <c r="E39" s="89" t="s">
        <v>1038</v>
      </c>
      <c r="F39" s="89"/>
      <c r="G39" s="89"/>
      <c r="H39" s="89"/>
      <c r="I39" s="89"/>
      <c r="J39" s="89"/>
      <c r="K39" s="89"/>
      <c r="L39" s="89"/>
      <c r="M39" s="2078"/>
      <c r="N39" s="2078"/>
      <c r="O39" s="2078"/>
      <c r="P39" s="1334"/>
      <c r="Q39" s="1334"/>
      <c r="R39" s="1334"/>
      <c r="S39" s="1334"/>
      <c r="T39" s="1334"/>
      <c r="U39" s="1334"/>
      <c r="V39" s="171"/>
      <c r="W39" s="171"/>
      <c r="X39" s="171"/>
      <c r="Y39" s="171"/>
      <c r="Z39" s="171"/>
      <c r="AA39" s="140"/>
    </row>
    <row r="40" spans="1:27" x14ac:dyDescent="0.35">
      <c r="A40" s="2556"/>
      <c r="B40" s="1195"/>
      <c r="C40" s="1195"/>
      <c r="D40" s="2549" t="s">
        <v>1031</v>
      </c>
      <c r="E40" s="2551" t="s">
        <v>22</v>
      </c>
      <c r="F40" s="2551" t="s">
        <v>23</v>
      </c>
      <c r="G40" s="2552" t="s">
        <v>24</v>
      </c>
      <c r="H40" s="2552" t="s">
        <v>25</v>
      </c>
      <c r="I40" s="2553" t="s">
        <v>26</v>
      </c>
      <c r="J40" s="2553" t="s">
        <v>27</v>
      </c>
      <c r="K40" s="2549" t="s">
        <v>28</v>
      </c>
      <c r="L40" s="2551" t="s">
        <v>29</v>
      </c>
      <c r="M40" s="2551" t="s">
        <v>30</v>
      </c>
      <c r="N40" s="2552" t="s">
        <v>31</v>
      </c>
      <c r="O40" s="2552" t="s">
        <v>32</v>
      </c>
      <c r="P40" s="1334"/>
      <c r="Q40" s="1334"/>
      <c r="R40" s="1334"/>
      <c r="S40" s="1334"/>
      <c r="T40" s="1334"/>
      <c r="U40" s="1334"/>
      <c r="V40" s="171"/>
      <c r="W40" s="171"/>
      <c r="X40" s="171"/>
      <c r="Y40" s="171"/>
      <c r="Z40" s="171"/>
      <c r="AA40" s="140"/>
    </row>
    <row r="41" spans="1:27" x14ac:dyDescent="0.35">
      <c r="A41" s="2556"/>
      <c r="B41" s="1195"/>
      <c r="C41" s="1195"/>
      <c r="D41" s="108" t="s">
        <v>1032</v>
      </c>
      <c r="E41" s="2617">
        <v>172.91880769032201</v>
      </c>
      <c r="F41" s="2617">
        <v>161.53862834459889</v>
      </c>
      <c r="G41" s="2617">
        <v>135.28024643629041</v>
      </c>
      <c r="H41" s="2617">
        <v>115.62256185989574</v>
      </c>
      <c r="I41" s="2617">
        <v>121.07643614136683</v>
      </c>
      <c r="J41" s="2617">
        <v>119.56193920836587</v>
      </c>
      <c r="K41" s="2617">
        <v>120.32398604587382</v>
      </c>
      <c r="L41" s="2617">
        <v>121.99664067390431</v>
      </c>
      <c r="M41" s="2617">
        <v>106.47059443125259</v>
      </c>
      <c r="N41" s="2617">
        <v>112.90395510410269</v>
      </c>
      <c r="O41" s="2617">
        <v>103.11833539618593</v>
      </c>
      <c r="P41" s="1334"/>
      <c r="Q41" s="1334"/>
      <c r="R41" s="1334"/>
      <c r="S41" s="1334"/>
      <c r="T41" s="1334"/>
      <c r="U41" s="1334"/>
      <c r="V41" s="171"/>
      <c r="W41" s="171"/>
      <c r="X41" s="171"/>
      <c r="Y41" s="171"/>
      <c r="Z41" s="171"/>
      <c r="AA41" s="140"/>
    </row>
    <row r="42" spans="1:27" x14ac:dyDescent="0.35">
      <c r="A42" s="2556"/>
      <c r="B42" s="1195"/>
      <c r="C42" s="1195"/>
      <c r="D42" s="2627" t="s">
        <v>1033</v>
      </c>
      <c r="E42" s="2617">
        <v>644.59894651352022</v>
      </c>
      <c r="F42" s="2617">
        <v>583.39842223235098</v>
      </c>
      <c r="G42" s="2617">
        <v>527.97927871848901</v>
      </c>
      <c r="H42" s="2617">
        <v>506.92473267175382</v>
      </c>
      <c r="I42" s="2617">
        <v>461.72664626143523</v>
      </c>
      <c r="J42" s="2617">
        <v>434.46705098479498</v>
      </c>
      <c r="K42" s="2617">
        <v>412.30335452795089</v>
      </c>
      <c r="L42" s="2617">
        <v>463.83162167108719</v>
      </c>
      <c r="M42" s="2617">
        <v>458.79620084149627</v>
      </c>
      <c r="N42" s="2617">
        <v>408.53978475950146</v>
      </c>
      <c r="O42" s="2617">
        <v>387.69553354455127</v>
      </c>
      <c r="P42" s="1334"/>
      <c r="Q42" s="1334"/>
      <c r="R42" s="1334"/>
      <c r="S42" s="1334"/>
      <c r="T42" s="1334"/>
      <c r="U42" s="1334"/>
      <c r="V42" s="171"/>
      <c r="W42" s="171"/>
      <c r="X42" s="171"/>
      <c r="Y42" s="171"/>
      <c r="Z42" s="171"/>
      <c r="AA42" s="140"/>
    </row>
    <row r="43" spans="1:27" x14ac:dyDescent="0.35">
      <c r="A43" s="2556"/>
      <c r="B43" s="1195"/>
      <c r="C43" s="1195"/>
      <c r="D43" s="2628" t="s">
        <v>1034</v>
      </c>
      <c r="E43" s="2617">
        <v>391.06351819789711</v>
      </c>
      <c r="F43" s="2617">
        <v>371.71024117307735</v>
      </c>
      <c r="G43" s="2617">
        <v>357.10397669148267</v>
      </c>
      <c r="H43" s="2617">
        <v>317.60886453791863</v>
      </c>
      <c r="I43" s="2617">
        <v>322.83099788404871</v>
      </c>
      <c r="J43" s="2617">
        <v>316.43101082862324</v>
      </c>
      <c r="K43" s="2617">
        <v>293.99672611271711</v>
      </c>
      <c r="L43" s="2617">
        <v>313.28405593364755</v>
      </c>
      <c r="M43" s="2617">
        <v>300.4819173394489</v>
      </c>
      <c r="N43" s="2617">
        <v>307.66694994557088</v>
      </c>
      <c r="O43" s="2617">
        <v>284.82393981276135</v>
      </c>
      <c r="P43" s="1334"/>
      <c r="Q43" s="1334"/>
      <c r="R43" s="1334"/>
      <c r="S43" s="1334"/>
      <c r="T43" s="1334"/>
      <c r="U43" s="1334"/>
      <c r="V43" s="171"/>
      <c r="W43" s="171"/>
      <c r="X43" s="171"/>
      <c r="Y43" s="171"/>
      <c r="Z43" s="171"/>
      <c r="AA43" s="140"/>
    </row>
    <row r="44" spans="1:27" x14ac:dyDescent="0.35">
      <c r="A44" s="2556"/>
      <c r="B44" s="1195"/>
      <c r="C44" s="1195"/>
      <c r="D44" s="108" t="s">
        <v>1035</v>
      </c>
      <c r="E44" s="2617">
        <v>3558.6063389059659</v>
      </c>
      <c r="F44" s="2617">
        <v>3563.0861393567343</v>
      </c>
      <c r="G44" s="2617">
        <v>3675.1758800323678</v>
      </c>
      <c r="H44" s="2617">
        <v>3755.4425226643921</v>
      </c>
      <c r="I44" s="2617">
        <v>3818.1702547854866</v>
      </c>
      <c r="J44" s="2617">
        <v>3891.6618520324055</v>
      </c>
      <c r="K44" s="2617">
        <v>3862.8365930893665</v>
      </c>
      <c r="L44" s="2617">
        <v>3975.5942679217278</v>
      </c>
      <c r="M44" s="2617">
        <v>4145.4045004007903</v>
      </c>
      <c r="N44" s="2617">
        <v>4081.9649250717071</v>
      </c>
      <c r="O44" s="2617">
        <v>4125.4669019701478</v>
      </c>
      <c r="P44" s="1334"/>
      <c r="Q44" s="1334"/>
      <c r="R44" s="1334"/>
      <c r="S44" s="1334"/>
      <c r="T44" s="1334"/>
      <c r="U44" s="1334"/>
      <c r="V44" s="171"/>
      <c r="W44" s="171"/>
      <c r="X44" s="171"/>
      <c r="Y44" s="171"/>
      <c r="Z44" s="171"/>
      <c r="AA44" s="140"/>
    </row>
    <row r="45" spans="1:27" x14ac:dyDescent="0.35">
      <c r="A45" s="2556"/>
      <c r="B45" s="1195"/>
      <c r="C45" s="1195"/>
      <c r="D45" s="2627" t="s">
        <v>1036</v>
      </c>
      <c r="E45" s="2617">
        <v>2710.9716746062149</v>
      </c>
      <c r="F45" s="2617">
        <v>2841.8626150180626</v>
      </c>
      <c r="G45" s="2617">
        <v>2885.8700344813669</v>
      </c>
      <c r="H45" s="2617">
        <v>2943.7630970780078</v>
      </c>
      <c r="I45" s="2617">
        <v>3062.2911205855562</v>
      </c>
      <c r="J45" s="2617">
        <v>3102.2324929768065</v>
      </c>
      <c r="K45" s="2617">
        <v>3248.6038053975367</v>
      </c>
      <c r="L45" s="2617">
        <v>3229.9869895859106</v>
      </c>
      <c r="M45" s="2617">
        <v>3286.5064348017922</v>
      </c>
      <c r="N45" s="2617">
        <v>3367.4595711942238</v>
      </c>
      <c r="O45" s="2617">
        <v>3557.3301645238339</v>
      </c>
      <c r="P45" s="1334"/>
      <c r="Q45" s="1334"/>
      <c r="R45" s="1334"/>
      <c r="S45" s="1334"/>
      <c r="T45" s="1334"/>
      <c r="U45" s="1334"/>
      <c r="V45" s="171"/>
      <c r="W45" s="171"/>
      <c r="X45" s="171"/>
      <c r="Y45" s="171"/>
      <c r="Z45" s="171"/>
      <c r="AA45" s="140"/>
    </row>
    <row r="46" spans="1:27" x14ac:dyDescent="0.35">
      <c r="A46" s="2556"/>
      <c r="B46" s="1195"/>
      <c r="C46" s="1195"/>
      <c r="D46" s="2628" t="s">
        <v>1037</v>
      </c>
      <c r="E46" s="2617">
        <v>986.73197788093637</v>
      </c>
      <c r="F46" s="2617">
        <v>1051.4826001084634</v>
      </c>
      <c r="G46" s="2617">
        <v>1074.1717255440735</v>
      </c>
      <c r="H46" s="2617">
        <v>1140.2849858734062</v>
      </c>
      <c r="I46" s="2617">
        <v>1147.4145197024259</v>
      </c>
      <c r="J46" s="2617">
        <v>1231.9196813212197</v>
      </c>
      <c r="K46" s="2617">
        <v>1311.4308971460753</v>
      </c>
      <c r="L46" s="2617">
        <v>1307.7870712516406</v>
      </c>
      <c r="M46" s="2617">
        <v>1268.4860057345782</v>
      </c>
      <c r="N46" s="2617">
        <v>1440.8336905754222</v>
      </c>
      <c r="O46" s="2617">
        <v>1409.2391392509765</v>
      </c>
      <c r="P46" s="1334"/>
      <c r="Q46" s="1334"/>
      <c r="R46" s="1334"/>
      <c r="S46" s="1334"/>
      <c r="T46" s="1334"/>
      <c r="U46" s="1334"/>
      <c r="V46" s="171"/>
      <c r="W46" s="171"/>
      <c r="X46" s="171"/>
      <c r="Y46" s="171"/>
      <c r="Z46" s="171"/>
      <c r="AA46" s="140"/>
    </row>
    <row r="47" spans="1:27" x14ac:dyDescent="0.35">
      <c r="A47" s="2556"/>
      <c r="B47" s="1195"/>
      <c r="C47" s="1195"/>
      <c r="D47" s="108" t="s">
        <v>674</v>
      </c>
      <c r="E47" s="2617">
        <v>83.712897718004811</v>
      </c>
      <c r="F47" s="2617">
        <v>69.3883708030273</v>
      </c>
      <c r="G47" s="2617">
        <v>92.975707661520588</v>
      </c>
      <c r="H47" s="2617">
        <v>91.289218507422973</v>
      </c>
      <c r="I47" s="2617">
        <v>77.962854070706214</v>
      </c>
      <c r="J47" s="2617">
        <v>69.644668975511721</v>
      </c>
      <c r="K47" s="2617">
        <v>76.332873674017108</v>
      </c>
      <c r="L47" s="2617">
        <v>73.412059866268194</v>
      </c>
      <c r="M47" s="2617">
        <v>79.52245577014456</v>
      </c>
      <c r="N47" s="2617">
        <v>78.889704087898949</v>
      </c>
      <c r="O47" s="2617">
        <v>77.235625556486426</v>
      </c>
      <c r="P47" s="1334"/>
      <c r="Q47" s="1334"/>
      <c r="R47" s="1334"/>
      <c r="S47" s="1334"/>
      <c r="T47" s="1334"/>
      <c r="U47" s="1334"/>
      <c r="V47" s="171"/>
      <c r="W47" s="171"/>
      <c r="X47" s="171"/>
      <c r="Y47" s="171"/>
      <c r="Z47" s="171"/>
      <c r="AA47" s="140"/>
    </row>
    <row r="48" spans="1:27" x14ac:dyDescent="0.35">
      <c r="A48" s="2556"/>
      <c r="B48" s="1195"/>
      <c r="C48" s="1195"/>
      <c r="D48" s="2621" t="s">
        <v>232</v>
      </c>
      <c r="E48" s="2622">
        <v>8548.6041615128615</v>
      </c>
      <c r="F48" s="2622">
        <v>8642.4670170363152</v>
      </c>
      <c r="G48" s="2622">
        <v>8748.5568495655898</v>
      </c>
      <c r="H48" s="2622">
        <v>8870.9359831927977</v>
      </c>
      <c r="I48" s="2622">
        <v>9011.4728294310244</v>
      </c>
      <c r="J48" s="2622">
        <v>9165.918696327728</v>
      </c>
      <c r="K48" s="2622">
        <v>9325.8282359935383</v>
      </c>
      <c r="L48" s="2622">
        <v>9485.8927069041874</v>
      </c>
      <c r="M48" s="2622">
        <v>9645.668109319502</v>
      </c>
      <c r="N48" s="2622">
        <v>9798.2585807384276</v>
      </c>
      <c r="O48" s="2622">
        <v>9944.9096400549424</v>
      </c>
      <c r="P48" s="1334"/>
      <c r="Q48" s="1334"/>
      <c r="R48" s="1334"/>
      <c r="S48" s="1334"/>
      <c r="T48" s="1334"/>
      <c r="U48" s="1334"/>
      <c r="V48" s="171"/>
      <c r="W48" s="171"/>
      <c r="X48" s="171"/>
      <c r="Y48" s="171"/>
      <c r="Z48" s="171"/>
      <c r="AA48" s="140"/>
    </row>
    <row r="49" spans="1:27" x14ac:dyDescent="0.35">
      <c r="A49" s="2556"/>
      <c r="B49" s="1195"/>
      <c r="C49" s="1195"/>
      <c r="P49" s="1334"/>
      <c r="Q49" s="1334"/>
      <c r="R49" s="1334"/>
      <c r="S49" s="1334"/>
      <c r="T49" s="1334"/>
      <c r="U49" s="1334"/>
      <c r="V49" s="171"/>
      <c r="W49" s="171"/>
      <c r="X49" s="171"/>
      <c r="Y49" s="171"/>
      <c r="Z49" s="171"/>
      <c r="AA49" s="140"/>
    </row>
    <row r="50" spans="1:27" x14ac:dyDescent="0.35">
      <c r="A50" s="2556"/>
      <c r="B50" s="1195"/>
      <c r="C50" s="1195"/>
      <c r="P50" s="1334"/>
      <c r="Q50" s="1334"/>
      <c r="R50" s="1334"/>
      <c r="S50" s="1334"/>
      <c r="T50" s="1334"/>
      <c r="U50" s="1334"/>
      <c r="V50" s="171"/>
      <c r="W50" s="171"/>
      <c r="X50" s="171"/>
      <c r="Y50" s="171"/>
      <c r="Z50" s="171"/>
      <c r="AA50" s="140"/>
    </row>
    <row r="51" spans="1:27" x14ac:dyDescent="0.35">
      <c r="A51" s="2556"/>
      <c r="B51" s="1195"/>
      <c r="C51" s="1195"/>
      <c r="D51" s="90" t="s">
        <v>252</v>
      </c>
      <c r="E51" s="89" t="s">
        <v>1039</v>
      </c>
      <c r="F51" s="89"/>
      <c r="G51" s="89"/>
      <c r="H51" s="89"/>
      <c r="I51" s="89"/>
      <c r="J51" s="89"/>
      <c r="K51" s="89"/>
      <c r="L51" s="89"/>
      <c r="M51" s="2078"/>
      <c r="N51" s="2078"/>
      <c r="O51" s="2078"/>
      <c r="P51" s="1334"/>
      <c r="Q51" s="1334"/>
      <c r="R51" s="1334"/>
      <c r="S51" s="1334"/>
      <c r="T51" s="1334"/>
      <c r="U51" s="1334"/>
      <c r="V51" s="171"/>
      <c r="W51" s="171"/>
      <c r="X51" s="171"/>
      <c r="Y51" s="171"/>
      <c r="Z51" s="171"/>
      <c r="AA51" s="140"/>
    </row>
    <row r="52" spans="1:27" x14ac:dyDescent="0.35">
      <c r="A52" s="2556"/>
      <c r="B52" s="1195"/>
      <c r="C52" s="1195"/>
      <c r="D52" s="2549" t="s">
        <v>1031</v>
      </c>
      <c r="E52" s="2551" t="s">
        <v>22</v>
      </c>
      <c r="F52" s="2551" t="s">
        <v>23</v>
      </c>
      <c r="G52" s="2552" t="s">
        <v>24</v>
      </c>
      <c r="H52" s="2552" t="s">
        <v>25</v>
      </c>
      <c r="I52" s="2553" t="s">
        <v>26</v>
      </c>
      <c r="J52" s="2553" t="s">
        <v>27</v>
      </c>
      <c r="K52" s="2549" t="s">
        <v>28</v>
      </c>
      <c r="L52" s="2551" t="s">
        <v>29</v>
      </c>
      <c r="M52" s="2551" t="s">
        <v>30</v>
      </c>
      <c r="N52" s="2552" t="s">
        <v>31</v>
      </c>
      <c r="O52" s="2552" t="s">
        <v>32</v>
      </c>
      <c r="P52" s="1334"/>
      <c r="Q52" s="1334"/>
      <c r="R52" s="1334"/>
      <c r="S52" s="1334"/>
      <c r="T52" s="1334"/>
      <c r="U52" s="1334"/>
      <c r="V52" s="171"/>
      <c r="W52" s="171"/>
      <c r="X52" s="171"/>
      <c r="Y52" s="171"/>
      <c r="Z52" s="171"/>
      <c r="AA52" s="140"/>
    </row>
    <row r="53" spans="1:27" x14ac:dyDescent="0.35">
      <c r="A53" s="2556"/>
      <c r="B53" s="1195"/>
      <c r="C53" s="1195"/>
      <c r="D53" s="108" t="s">
        <v>1032</v>
      </c>
      <c r="E53" s="2617">
        <v>582.74909739434804</v>
      </c>
      <c r="F53" s="2617">
        <v>495.26146372990337</v>
      </c>
      <c r="G53" s="2617">
        <v>410.95287027160549</v>
      </c>
      <c r="H53" s="2617">
        <v>362.48250063613904</v>
      </c>
      <c r="I53" s="2617">
        <v>367.37662589915243</v>
      </c>
      <c r="J53" s="2617">
        <v>363.33693407155243</v>
      </c>
      <c r="K53" s="2617">
        <v>365.76941244287684</v>
      </c>
      <c r="L53" s="2617">
        <v>379.55789334711824</v>
      </c>
      <c r="M53" s="2617">
        <v>328.70767546167832</v>
      </c>
      <c r="N53" s="2617">
        <v>328.95161612171995</v>
      </c>
      <c r="O53" s="2617">
        <v>293.32065545595361</v>
      </c>
      <c r="P53" s="1334"/>
      <c r="Q53" s="1334"/>
      <c r="R53" s="1334"/>
      <c r="S53" s="1334"/>
      <c r="T53" s="1334"/>
      <c r="U53" s="1334"/>
      <c r="V53" s="171"/>
      <c r="W53" s="171"/>
      <c r="X53" s="171"/>
      <c r="Y53" s="171"/>
      <c r="Z53" s="171"/>
      <c r="AA53" s="140"/>
    </row>
    <row r="54" spans="1:27" x14ac:dyDescent="0.35">
      <c r="A54" s="2556"/>
      <c r="B54" s="1195"/>
      <c r="C54" s="1195"/>
      <c r="D54" s="2627" t="s">
        <v>1033</v>
      </c>
      <c r="E54" s="2617">
        <v>1442.4614132826168</v>
      </c>
      <c r="F54" s="2617">
        <v>1277.9499969693684</v>
      </c>
      <c r="G54" s="2617">
        <v>1107.9728187730159</v>
      </c>
      <c r="H54" s="2617">
        <v>1096.9672455825475</v>
      </c>
      <c r="I54" s="2617">
        <v>1080.3140698329682</v>
      </c>
      <c r="J54" s="2617">
        <v>1089.0069298883345</v>
      </c>
      <c r="K54" s="2617">
        <v>1026.7838043423953</v>
      </c>
      <c r="L54" s="2617">
        <v>1118.4258626272908</v>
      </c>
      <c r="M54" s="2617">
        <v>1068.2079659839205</v>
      </c>
      <c r="N54" s="2617">
        <v>1025.3653789174666</v>
      </c>
      <c r="O54" s="2617">
        <v>954.25581520396497</v>
      </c>
      <c r="P54" s="1334"/>
      <c r="Q54" s="1334"/>
      <c r="R54" s="1334"/>
      <c r="S54" s="1334"/>
      <c r="T54" s="1334"/>
      <c r="U54" s="1334"/>
      <c r="V54" s="171"/>
      <c r="W54" s="171"/>
      <c r="X54" s="171"/>
      <c r="Y54" s="171"/>
      <c r="Z54" s="171"/>
      <c r="AA54" s="140"/>
    </row>
    <row r="55" spans="1:27" x14ac:dyDescent="0.35">
      <c r="A55" s="2556"/>
      <c r="B55" s="1195"/>
      <c r="C55" s="1195"/>
      <c r="D55" s="2628" t="s">
        <v>1034</v>
      </c>
      <c r="E55" s="2617">
        <v>707.06668968168265</v>
      </c>
      <c r="F55" s="2617">
        <v>684.81941034258125</v>
      </c>
      <c r="G55" s="2617">
        <v>629.3521090286971</v>
      </c>
      <c r="H55" s="2617">
        <v>589.03201848847652</v>
      </c>
      <c r="I55" s="2617">
        <v>595.38533732886219</v>
      </c>
      <c r="J55" s="2617">
        <v>592.09495250589725</v>
      </c>
      <c r="K55" s="2617">
        <v>570.51767289520524</v>
      </c>
      <c r="L55" s="2617">
        <v>611.07782491400212</v>
      </c>
      <c r="M55" s="2617">
        <v>612.47703985853752</v>
      </c>
      <c r="N55" s="2617">
        <v>542.12979738343552</v>
      </c>
      <c r="O55" s="2617">
        <v>572.14959013637338</v>
      </c>
      <c r="P55" s="1334"/>
      <c r="Q55" s="1334"/>
      <c r="R55" s="1334"/>
      <c r="S55" s="1334"/>
      <c r="T55" s="1334"/>
      <c r="U55" s="1334"/>
      <c r="V55" s="171"/>
      <c r="W55" s="171"/>
      <c r="X55" s="171"/>
      <c r="Y55" s="171"/>
      <c r="Z55" s="171"/>
      <c r="AA55" s="140"/>
    </row>
    <row r="56" spans="1:27" x14ac:dyDescent="0.35">
      <c r="A56" s="2556"/>
      <c r="B56" s="1195"/>
      <c r="C56" s="1195"/>
      <c r="D56" s="108" t="s">
        <v>1035</v>
      </c>
      <c r="E56" s="2617">
        <v>4185.3794765264611</v>
      </c>
      <c r="F56" s="2617">
        <v>4116.8829155223666</v>
      </c>
      <c r="G56" s="2617">
        <v>4086.6662213125519</v>
      </c>
      <c r="H56" s="2617">
        <v>4191.9750791311053</v>
      </c>
      <c r="I56" s="2617">
        <v>4390.9091422615484</v>
      </c>
      <c r="J56" s="2617">
        <v>4491.4047252994978</v>
      </c>
      <c r="K56" s="2617">
        <v>4579.7423909076388</v>
      </c>
      <c r="L56" s="2617">
        <v>4728.5422557234388</v>
      </c>
      <c r="M56" s="2617">
        <v>4847.6078280620923</v>
      </c>
      <c r="N56" s="2617">
        <v>4918.4071384164527</v>
      </c>
      <c r="O56" s="2617">
        <v>5105.9065514938711</v>
      </c>
      <c r="P56" s="1334"/>
      <c r="Q56" s="1334"/>
      <c r="R56" s="1334"/>
      <c r="S56" s="1334"/>
      <c r="T56" s="1334"/>
      <c r="U56" s="1334"/>
      <c r="V56" s="171"/>
      <c r="W56" s="171"/>
      <c r="X56" s="171"/>
      <c r="Y56" s="171"/>
      <c r="Z56" s="171"/>
      <c r="AA56" s="140"/>
    </row>
    <row r="57" spans="1:27" x14ac:dyDescent="0.35">
      <c r="A57" s="2556"/>
      <c r="B57" s="1195"/>
      <c r="C57" s="1195"/>
      <c r="D57" s="2627" t="s">
        <v>1036</v>
      </c>
      <c r="E57" s="2617">
        <v>3503.724317736031</v>
      </c>
      <c r="F57" s="2617">
        <v>3555.533432224659</v>
      </c>
      <c r="G57" s="2617">
        <v>3605.3065808236965</v>
      </c>
      <c r="H57" s="2617">
        <v>3665.6571539454862</v>
      </c>
      <c r="I57" s="2617">
        <v>3882.1974288367783</v>
      </c>
      <c r="J57" s="2617">
        <v>4014.2168705377499</v>
      </c>
      <c r="K57" s="2617">
        <v>4250.765236759923</v>
      </c>
      <c r="L57" s="2617">
        <v>4359.1392430836213</v>
      </c>
      <c r="M57" s="2617">
        <v>4496.2654853968634</v>
      </c>
      <c r="N57" s="2617">
        <v>4637.1205477790481</v>
      </c>
      <c r="O57" s="2617">
        <v>4759.0346749322407</v>
      </c>
      <c r="P57" s="1334"/>
      <c r="Q57" s="1334"/>
      <c r="R57" s="1334"/>
      <c r="S57" s="1334"/>
      <c r="T57" s="1334"/>
      <c r="U57" s="1334"/>
      <c r="V57" s="171"/>
      <c r="W57" s="171"/>
      <c r="X57" s="171"/>
      <c r="Y57" s="171"/>
      <c r="Z57" s="171"/>
      <c r="AA57" s="140"/>
    </row>
    <row r="58" spans="1:27" x14ac:dyDescent="0.35">
      <c r="A58" s="2556"/>
      <c r="B58" s="1195"/>
      <c r="C58" s="1195"/>
      <c r="D58" s="2628" t="s">
        <v>1037</v>
      </c>
      <c r="E58" s="2617">
        <v>2370.4658740200089</v>
      </c>
      <c r="F58" s="2617">
        <v>2491.6856768122839</v>
      </c>
      <c r="G58" s="2617">
        <v>2497.3728309365683</v>
      </c>
      <c r="H58" s="2617">
        <v>2723.5572326223901</v>
      </c>
      <c r="I58" s="2617">
        <v>2720.5684655625282</v>
      </c>
      <c r="J58" s="2617">
        <v>2898.3650741838073</v>
      </c>
      <c r="K58" s="2617">
        <v>2929.1999594105209</v>
      </c>
      <c r="L58" s="2617">
        <v>2993.4769302049431</v>
      </c>
      <c r="M58" s="2617">
        <v>2994.8171948992513</v>
      </c>
      <c r="N58" s="2617">
        <v>3252.6220398686291</v>
      </c>
      <c r="O58" s="2617">
        <v>3317.447087247845</v>
      </c>
      <c r="P58" s="1334"/>
      <c r="Q58" s="1334"/>
      <c r="R58" s="1334"/>
      <c r="S58" s="1334"/>
      <c r="T58" s="1334"/>
      <c r="U58" s="1334"/>
      <c r="V58" s="171"/>
      <c r="W58" s="171"/>
      <c r="X58" s="171"/>
      <c r="Y58" s="171"/>
      <c r="Z58" s="171"/>
      <c r="AA58" s="140"/>
    </row>
    <row r="59" spans="1:27" x14ac:dyDescent="0.35">
      <c r="A59" s="2556"/>
      <c r="B59" s="1195"/>
      <c r="C59" s="1195"/>
      <c r="D59" s="108" t="s">
        <v>674</v>
      </c>
      <c r="E59" s="2617">
        <v>167.06432118058822</v>
      </c>
      <c r="F59" s="2617">
        <v>144.77198828596724</v>
      </c>
      <c r="G59" s="2617">
        <v>183.07378553186533</v>
      </c>
      <c r="H59" s="2617">
        <v>168.77133294999388</v>
      </c>
      <c r="I59" s="2617">
        <v>146.28767655165919</v>
      </c>
      <c r="J59" s="2617">
        <v>140.07765679827821</v>
      </c>
      <c r="K59" s="2617">
        <v>160.29896097807796</v>
      </c>
      <c r="L59" s="2617">
        <v>183.46881949984962</v>
      </c>
      <c r="M59" s="2617">
        <v>161.58538314563407</v>
      </c>
      <c r="N59" s="2617">
        <v>172.25054391458536</v>
      </c>
      <c r="O59" s="2617">
        <v>169.74233661304683</v>
      </c>
      <c r="P59" s="1334"/>
      <c r="Q59" s="1334"/>
      <c r="R59" s="1334"/>
      <c r="S59" s="1334"/>
      <c r="T59" s="1334"/>
      <c r="U59" s="1334"/>
      <c r="V59" s="171"/>
      <c r="W59" s="171"/>
      <c r="X59" s="171"/>
      <c r="Y59" s="171"/>
      <c r="Z59" s="171"/>
      <c r="AA59" s="140"/>
    </row>
    <row r="60" spans="1:27" x14ac:dyDescent="0.35">
      <c r="A60" s="2556"/>
      <c r="B60" s="1195"/>
      <c r="C60" s="1195"/>
      <c r="D60" s="2621" t="s">
        <v>232</v>
      </c>
      <c r="E60" s="2622">
        <v>12958.911189821738</v>
      </c>
      <c r="F60" s="2622">
        <v>12766.904883887129</v>
      </c>
      <c r="G60" s="2622">
        <v>12520.697216678001</v>
      </c>
      <c r="H60" s="2622">
        <v>12798.44256335614</v>
      </c>
      <c r="I60" s="2622">
        <v>13183.038746273496</v>
      </c>
      <c r="J60" s="2622">
        <v>13588.503143285116</v>
      </c>
      <c r="K60" s="2622">
        <v>13883.07743773664</v>
      </c>
      <c r="L60" s="2622">
        <v>14373.688829400264</v>
      </c>
      <c r="M60" s="2622">
        <v>14509.668572807977</v>
      </c>
      <c r="N60" s="2622">
        <v>14876.847062401337</v>
      </c>
      <c r="O60" s="2622">
        <v>15171.856711083296</v>
      </c>
      <c r="P60" s="1334"/>
      <c r="Q60" s="1334"/>
      <c r="R60" s="1334"/>
      <c r="S60" s="1334"/>
      <c r="T60" s="1334"/>
      <c r="U60" s="1334"/>
      <c r="V60" s="171"/>
      <c r="W60" s="171"/>
      <c r="X60" s="171"/>
      <c r="Y60" s="171"/>
      <c r="Z60" s="171"/>
      <c r="AA60" s="140"/>
    </row>
    <row r="61" spans="1:27" x14ac:dyDescent="0.35">
      <c r="A61" s="2556"/>
      <c r="B61" s="1195"/>
      <c r="C61" s="1195"/>
      <c r="P61" s="1334"/>
      <c r="Q61" s="1334"/>
      <c r="R61" s="1334"/>
      <c r="S61" s="1334"/>
      <c r="T61" s="1334"/>
      <c r="U61" s="1334"/>
      <c r="V61" s="171"/>
      <c r="W61" s="171"/>
      <c r="X61" s="171"/>
      <c r="Y61" s="171"/>
      <c r="Z61" s="171"/>
      <c r="AA61" s="140"/>
    </row>
    <row r="62" spans="1:27" x14ac:dyDescent="0.35">
      <c r="A62" s="2556"/>
      <c r="B62" s="1195"/>
      <c r="C62" s="1195"/>
      <c r="E62" s="89"/>
      <c r="P62" s="1334"/>
      <c r="Q62" s="1334"/>
      <c r="R62" s="1334"/>
      <c r="S62" s="1334"/>
      <c r="T62" s="1334"/>
      <c r="U62" s="1334"/>
      <c r="V62" s="171"/>
      <c r="W62" s="171"/>
      <c r="X62" s="171"/>
      <c r="Y62" s="171"/>
      <c r="Z62" s="171"/>
      <c r="AA62" s="140"/>
    </row>
    <row r="63" spans="1:27" x14ac:dyDescent="0.35">
      <c r="A63" s="2556"/>
      <c r="B63" s="1195"/>
      <c r="C63" s="1195"/>
      <c r="D63" s="90" t="s">
        <v>975</v>
      </c>
      <c r="E63" s="89" t="s">
        <v>1040</v>
      </c>
      <c r="F63" s="89"/>
      <c r="G63" s="89"/>
      <c r="H63" s="89"/>
      <c r="I63" s="89"/>
      <c r="J63" s="89"/>
      <c r="K63" s="89"/>
      <c r="L63" s="89"/>
      <c r="M63" s="2078"/>
      <c r="N63" s="2078"/>
      <c r="O63" s="2078"/>
      <c r="P63" s="1334"/>
      <c r="Q63" s="1334"/>
      <c r="R63" s="1334"/>
      <c r="S63" s="1334"/>
      <c r="T63" s="1334"/>
      <c r="U63" s="1334"/>
      <c r="V63" s="171"/>
      <c r="W63" s="171"/>
      <c r="X63" s="171"/>
      <c r="Y63" s="171"/>
      <c r="Z63" s="171"/>
      <c r="AA63" s="140"/>
    </row>
    <row r="64" spans="1:27" x14ac:dyDescent="0.35">
      <c r="A64" s="2556"/>
      <c r="B64" s="1195"/>
      <c r="C64" s="1195"/>
      <c r="D64" s="2549" t="s">
        <v>1031</v>
      </c>
      <c r="E64" s="2551" t="s">
        <v>22</v>
      </c>
      <c r="F64" s="2551" t="s">
        <v>23</v>
      </c>
      <c r="G64" s="2552" t="s">
        <v>24</v>
      </c>
      <c r="H64" s="2552" t="s">
        <v>25</v>
      </c>
      <c r="I64" s="2553" t="s">
        <v>26</v>
      </c>
      <c r="J64" s="2553" t="s">
        <v>27</v>
      </c>
      <c r="K64" s="2549" t="s">
        <v>28</v>
      </c>
      <c r="L64" s="2551" t="s">
        <v>29</v>
      </c>
      <c r="M64" s="2551" t="s">
        <v>30</v>
      </c>
      <c r="N64" s="2552" t="s">
        <v>31</v>
      </c>
      <c r="O64" s="2552" t="s">
        <v>32</v>
      </c>
      <c r="P64" s="1334"/>
      <c r="Q64" s="1334"/>
      <c r="R64" s="1334"/>
      <c r="S64" s="1334"/>
      <c r="T64" s="1334"/>
      <c r="U64" s="1334"/>
      <c r="V64" s="171"/>
      <c r="W64" s="171"/>
      <c r="X64" s="171"/>
      <c r="Y64" s="171"/>
      <c r="Z64" s="171"/>
      <c r="AA64" s="140"/>
    </row>
    <row r="65" spans="1:27" x14ac:dyDescent="0.35">
      <c r="A65" s="2556"/>
      <c r="B65" s="1195"/>
      <c r="C65" s="1195"/>
      <c r="D65" s="108" t="s">
        <v>1032</v>
      </c>
      <c r="E65" s="2617">
        <v>63.875026419181523</v>
      </c>
      <c r="F65" s="2617">
        <v>53.991001150929243</v>
      </c>
      <c r="G65" s="2617">
        <v>46.374765793102902</v>
      </c>
      <c r="H65" s="2617">
        <v>36.093565554236065</v>
      </c>
      <c r="I65" s="2617">
        <v>38.026588026445779</v>
      </c>
      <c r="J65" s="2617">
        <v>40.274047541109546</v>
      </c>
      <c r="K65" s="2617">
        <v>37.397217086837003</v>
      </c>
      <c r="L65" s="2617">
        <v>35.195365063008616</v>
      </c>
      <c r="M65" s="2617">
        <v>32.331530268434861</v>
      </c>
      <c r="N65" s="2617">
        <v>33.071081000358014</v>
      </c>
      <c r="O65" s="2617">
        <v>25.535657067242642</v>
      </c>
      <c r="P65" s="1334"/>
      <c r="Q65" s="1334"/>
      <c r="R65" s="1334"/>
      <c r="S65" s="1334"/>
      <c r="T65" s="1334"/>
      <c r="U65" s="1334"/>
      <c r="V65" s="171"/>
      <c r="W65" s="171"/>
      <c r="X65" s="171"/>
      <c r="Y65" s="171"/>
      <c r="Z65" s="171"/>
      <c r="AA65" s="140"/>
    </row>
    <row r="66" spans="1:27" x14ac:dyDescent="0.35">
      <c r="A66" s="2556"/>
      <c r="B66" s="1195"/>
      <c r="C66" s="1195"/>
      <c r="D66" s="2627" t="s">
        <v>1033</v>
      </c>
      <c r="E66" s="2617">
        <v>282.68130675560485</v>
      </c>
      <c r="F66" s="2617">
        <v>230.40187798103054</v>
      </c>
      <c r="G66" s="2617">
        <v>183.46917640242719</v>
      </c>
      <c r="H66" s="2617">
        <v>195.4652736073167</v>
      </c>
      <c r="I66" s="2617">
        <v>176.12111486595307</v>
      </c>
      <c r="J66" s="2617">
        <v>162.30130970582201</v>
      </c>
      <c r="K66" s="2617">
        <v>152.65694876137988</v>
      </c>
      <c r="L66" s="2617">
        <v>190.10714603106288</v>
      </c>
      <c r="M66" s="2617">
        <v>179.43441467752481</v>
      </c>
      <c r="N66" s="2617">
        <v>152.36733585090298</v>
      </c>
      <c r="O66" s="2617">
        <v>144.25577478991505</v>
      </c>
      <c r="P66" s="1334"/>
      <c r="Q66" s="1334"/>
      <c r="R66" s="1334"/>
      <c r="S66" s="1334"/>
      <c r="T66" s="1334"/>
      <c r="U66" s="1334"/>
      <c r="V66" s="171"/>
      <c r="W66" s="171"/>
      <c r="X66" s="171"/>
      <c r="Y66" s="171"/>
      <c r="Z66" s="171"/>
      <c r="AA66" s="140"/>
    </row>
    <row r="67" spans="1:27" x14ac:dyDescent="0.35">
      <c r="A67" s="2556"/>
      <c r="B67" s="1195"/>
      <c r="C67" s="1195"/>
      <c r="D67" s="2628" t="s">
        <v>1034</v>
      </c>
      <c r="E67" s="2617">
        <v>179.32407654533367</v>
      </c>
      <c r="F67" s="2617">
        <v>165.1306979033121</v>
      </c>
      <c r="G67" s="2617">
        <v>154.78976804966453</v>
      </c>
      <c r="H67" s="2617">
        <v>120.14097663933914</v>
      </c>
      <c r="I67" s="2617">
        <v>131.91034789105049</v>
      </c>
      <c r="J67" s="2617">
        <v>134.89224307116262</v>
      </c>
      <c r="K67" s="2617">
        <v>126.37330576540602</v>
      </c>
      <c r="L67" s="2617">
        <v>142.05500731358799</v>
      </c>
      <c r="M67" s="2617">
        <v>133.46706857170619</v>
      </c>
      <c r="N67" s="2617">
        <v>125.01929304639199</v>
      </c>
      <c r="O67" s="2617">
        <v>126.22293324234904</v>
      </c>
      <c r="P67" s="1334"/>
      <c r="Q67" s="1334"/>
      <c r="R67" s="1334"/>
      <c r="S67" s="1334"/>
      <c r="T67" s="1334"/>
      <c r="U67" s="1334"/>
      <c r="V67" s="171"/>
      <c r="W67" s="171"/>
      <c r="X67" s="171"/>
      <c r="Y67" s="171"/>
      <c r="Z67" s="171"/>
      <c r="AA67" s="140"/>
    </row>
    <row r="68" spans="1:27" x14ac:dyDescent="0.35">
      <c r="A68" s="2556"/>
      <c r="B68" s="1195"/>
      <c r="C68" s="1195"/>
      <c r="D68" s="108" t="s">
        <v>1035</v>
      </c>
      <c r="E68" s="2617">
        <v>1729.8166322970617</v>
      </c>
      <c r="F68" s="2617">
        <v>1605.2624050152863</v>
      </c>
      <c r="G68" s="2617">
        <v>1581.6097024508945</v>
      </c>
      <c r="H68" s="2617">
        <v>1579.5712760661363</v>
      </c>
      <c r="I68" s="2617">
        <v>1655.4518866590865</v>
      </c>
      <c r="J68" s="2617">
        <v>1684.8764642116043</v>
      </c>
      <c r="K68" s="2617">
        <v>1645.0683807824644</v>
      </c>
      <c r="L68" s="2617">
        <v>1774.6407719105289</v>
      </c>
      <c r="M68" s="2617">
        <v>1788.6453366216749</v>
      </c>
      <c r="N68" s="2617">
        <v>1720.6967577446426</v>
      </c>
      <c r="O68" s="2617">
        <v>1721.2621709240852</v>
      </c>
      <c r="P68" s="1334"/>
      <c r="Q68" s="1334"/>
      <c r="R68" s="1334"/>
      <c r="S68" s="1334"/>
      <c r="T68" s="1334"/>
      <c r="U68" s="1334"/>
      <c r="V68" s="171"/>
      <c r="W68" s="171"/>
      <c r="X68" s="171"/>
      <c r="Y68" s="171"/>
      <c r="Z68" s="171"/>
      <c r="AA68" s="140"/>
    </row>
    <row r="69" spans="1:27" x14ac:dyDescent="0.35">
      <c r="A69" s="2556"/>
      <c r="B69" s="1195"/>
      <c r="C69" s="1195"/>
      <c r="D69" s="2627" t="s">
        <v>1036</v>
      </c>
      <c r="E69" s="2617">
        <v>1740.5405621070433</v>
      </c>
      <c r="F69" s="2617">
        <v>1689.6860405228197</v>
      </c>
      <c r="G69" s="2617">
        <v>1641.0208642496477</v>
      </c>
      <c r="H69" s="2617">
        <v>1626.4039119171991</v>
      </c>
      <c r="I69" s="2617">
        <v>1708.894103368134</v>
      </c>
      <c r="J69" s="2617">
        <v>1714.8158906287315</v>
      </c>
      <c r="K69" s="2617">
        <v>1772.9273627235377</v>
      </c>
      <c r="L69" s="2617">
        <v>1795.812175750101</v>
      </c>
      <c r="M69" s="2617">
        <v>1811.385030805606</v>
      </c>
      <c r="N69" s="2617">
        <v>1778.0803141531944</v>
      </c>
      <c r="O69" s="2617">
        <v>1836.0406677848969</v>
      </c>
      <c r="P69" s="1334"/>
      <c r="Q69" s="1334"/>
      <c r="R69" s="1334"/>
      <c r="S69" s="1334"/>
      <c r="T69" s="1334"/>
      <c r="U69" s="1334"/>
      <c r="V69" s="171"/>
      <c r="W69" s="171"/>
      <c r="X69" s="171"/>
      <c r="Y69" s="171"/>
      <c r="Z69" s="171"/>
      <c r="AA69" s="140"/>
    </row>
    <row r="70" spans="1:27" x14ac:dyDescent="0.35">
      <c r="A70" s="2556"/>
      <c r="B70" s="1195"/>
      <c r="C70" s="1195"/>
      <c r="D70" s="2628" t="s">
        <v>1037</v>
      </c>
      <c r="E70" s="2617">
        <v>814.73342829562534</v>
      </c>
      <c r="F70" s="2617">
        <v>842.7937360220152</v>
      </c>
      <c r="G70" s="2617">
        <v>813.843628353947</v>
      </c>
      <c r="H70" s="2617">
        <v>890.5335816354376</v>
      </c>
      <c r="I70" s="2617">
        <v>875.25154312222003</v>
      </c>
      <c r="J70" s="2617">
        <v>958.44724542632298</v>
      </c>
      <c r="K70" s="2617">
        <v>976.33031495823298</v>
      </c>
      <c r="L70" s="2617">
        <v>967.27479515658001</v>
      </c>
      <c r="M70" s="2617">
        <v>912.83742703595942</v>
      </c>
      <c r="N70" s="2617">
        <v>1034.7881549787878</v>
      </c>
      <c r="O70" s="2617">
        <v>1011.4878726128553</v>
      </c>
      <c r="P70" s="1334"/>
      <c r="Q70" s="1334"/>
      <c r="R70" s="1334"/>
      <c r="S70" s="1334"/>
      <c r="T70" s="1334"/>
      <c r="U70" s="1334"/>
      <c r="V70" s="171"/>
      <c r="W70" s="171"/>
      <c r="X70" s="171"/>
      <c r="Y70" s="171"/>
      <c r="Z70" s="171"/>
      <c r="AA70" s="140"/>
    </row>
    <row r="71" spans="1:27" x14ac:dyDescent="0.35">
      <c r="A71" s="2556"/>
      <c r="B71" s="1195"/>
      <c r="C71" s="1195"/>
      <c r="D71" s="108" t="s">
        <v>674</v>
      </c>
      <c r="E71" s="2617">
        <v>50.618417345131398</v>
      </c>
      <c r="F71" s="2617">
        <v>37.837808453287359</v>
      </c>
      <c r="G71" s="2617">
        <v>50.839696813217536</v>
      </c>
      <c r="H71" s="2617">
        <v>51.543449612311001</v>
      </c>
      <c r="I71" s="2617">
        <v>40.272461069771737</v>
      </c>
      <c r="J71" s="2617">
        <v>35.298517947875084</v>
      </c>
      <c r="K71" s="2617">
        <v>47.198058593411353</v>
      </c>
      <c r="L71" s="2617">
        <v>40.150306732965639</v>
      </c>
      <c r="M71" s="2617">
        <v>45.314397563302677</v>
      </c>
      <c r="N71" s="2617">
        <v>39.47919265979975</v>
      </c>
      <c r="O71" s="2617">
        <v>38.591831256950009</v>
      </c>
      <c r="P71" s="1334"/>
      <c r="Q71" s="1334"/>
      <c r="R71" s="1334"/>
      <c r="S71" s="1334"/>
      <c r="T71" s="1334"/>
      <c r="U71" s="1334"/>
      <c r="V71" s="171"/>
      <c r="W71" s="171"/>
      <c r="X71" s="171"/>
      <c r="Y71" s="171"/>
      <c r="Z71" s="171"/>
      <c r="AA71" s="140"/>
    </row>
    <row r="72" spans="1:27" x14ac:dyDescent="0.35">
      <c r="A72" s="2556"/>
      <c r="B72" s="1195"/>
      <c r="C72" s="1195"/>
      <c r="D72" s="2621" t="s">
        <v>232</v>
      </c>
      <c r="E72" s="2622">
        <v>4861.5894497649815</v>
      </c>
      <c r="F72" s="2622">
        <v>4625.1035670486799</v>
      </c>
      <c r="G72" s="2622">
        <v>4471.9476021129012</v>
      </c>
      <c r="H72" s="2622">
        <v>4499.7520350319755</v>
      </c>
      <c r="I72" s="2622">
        <v>4625.9280450026617</v>
      </c>
      <c r="J72" s="2622">
        <v>4730.9057185326274</v>
      </c>
      <c r="K72" s="2622">
        <v>4757.9515886712697</v>
      </c>
      <c r="L72" s="2622">
        <v>4945.235567957835</v>
      </c>
      <c r="M72" s="2622">
        <v>4903.4152055442091</v>
      </c>
      <c r="N72" s="2622">
        <v>4883.5021294340777</v>
      </c>
      <c r="O72" s="2622">
        <v>4903.3969076782942</v>
      </c>
      <c r="P72" s="1334"/>
      <c r="Q72" s="1334"/>
      <c r="R72" s="1334"/>
      <c r="S72" s="1334"/>
      <c r="T72" s="1334"/>
      <c r="U72" s="1334"/>
      <c r="V72" s="171"/>
      <c r="W72" s="171"/>
      <c r="X72" s="171"/>
      <c r="Y72" s="171"/>
      <c r="Z72" s="171"/>
      <c r="AA72" s="140"/>
    </row>
    <row r="73" spans="1:27" x14ac:dyDescent="0.35">
      <c r="A73" s="2556"/>
      <c r="B73" s="1195"/>
      <c r="C73" s="1195"/>
      <c r="D73" s="108"/>
      <c r="E73" s="2582"/>
      <c r="F73" s="2582"/>
      <c r="G73" s="2582"/>
      <c r="H73" s="2582"/>
      <c r="I73" s="2582"/>
      <c r="J73" s="2582"/>
      <c r="K73" s="2582"/>
      <c r="L73" s="2582"/>
      <c r="M73" s="2582"/>
      <c r="N73" s="1334"/>
      <c r="O73" s="1334"/>
      <c r="P73" s="1334"/>
      <c r="Q73" s="1334"/>
      <c r="R73" s="1334"/>
      <c r="S73" s="1334"/>
      <c r="T73" s="1334"/>
      <c r="U73" s="1334"/>
      <c r="V73" s="171"/>
      <c r="W73" s="171"/>
      <c r="X73" s="171"/>
      <c r="Y73" s="171"/>
      <c r="Z73" s="171"/>
      <c r="AA73" s="140"/>
    </row>
    <row r="74" spans="1:27" x14ac:dyDescent="0.35">
      <c r="A74" s="2556"/>
      <c r="B74" s="1195"/>
      <c r="C74" s="1195"/>
      <c r="D74" s="108"/>
      <c r="E74" s="2582"/>
      <c r="F74" s="2582"/>
      <c r="G74" s="2582"/>
      <c r="H74" s="2582"/>
      <c r="I74" s="2582"/>
      <c r="J74" s="2582"/>
      <c r="K74" s="2582"/>
      <c r="L74" s="2582"/>
      <c r="M74" s="2582"/>
      <c r="N74" s="1334"/>
      <c r="O74" s="1334"/>
      <c r="P74" s="1334"/>
      <c r="Q74" s="1334"/>
      <c r="R74" s="1334"/>
      <c r="S74" s="1334"/>
      <c r="T74" s="1334"/>
      <c r="U74" s="1334"/>
      <c r="V74" s="171"/>
      <c r="W74" s="171"/>
      <c r="X74" s="171"/>
      <c r="Y74" s="171"/>
      <c r="Z74" s="171"/>
      <c r="AA74" s="140"/>
    </row>
    <row r="75" spans="1:27" x14ac:dyDescent="0.35">
      <c r="A75" s="2556"/>
      <c r="B75" s="1195"/>
      <c r="C75" s="1195"/>
      <c r="W75" s="171"/>
      <c r="X75" s="171"/>
      <c r="Y75" s="171"/>
      <c r="Z75" s="171"/>
      <c r="AA75" s="140"/>
    </row>
    <row r="76" spans="1:27" x14ac:dyDescent="0.35">
      <c r="A76" s="819">
        <v>5</v>
      </c>
      <c r="B76" s="819" t="s">
        <v>58</v>
      </c>
      <c r="C76" s="2629"/>
      <c r="D76" s="4867" t="s">
        <v>263</v>
      </c>
      <c r="E76" s="4868"/>
      <c r="F76" s="4868"/>
      <c r="G76" s="4868"/>
      <c r="H76" s="4868"/>
      <c r="I76" s="4868"/>
      <c r="J76" s="4868"/>
      <c r="K76" s="4868"/>
      <c r="L76" s="4868"/>
      <c r="M76" s="4868"/>
      <c r="N76" s="4868"/>
      <c r="O76" s="4869"/>
    </row>
    <row r="77" spans="1:27" ht="14.5" customHeight="1" x14ac:dyDescent="0.35">
      <c r="A77" s="819">
        <v>6</v>
      </c>
      <c r="B77" s="819" t="s">
        <v>64</v>
      </c>
      <c r="C77" s="2629"/>
      <c r="D77" s="4867" t="s">
        <v>1041</v>
      </c>
      <c r="E77" s="4868"/>
      <c r="F77" s="4868"/>
      <c r="G77" s="4868"/>
      <c r="H77" s="4868"/>
      <c r="I77" s="4868"/>
      <c r="J77" s="4868"/>
      <c r="K77" s="4868"/>
      <c r="L77" s="4868"/>
      <c r="M77" s="4868"/>
      <c r="N77" s="4868"/>
      <c r="O77" s="4869"/>
    </row>
    <row r="78" spans="1:27" ht="17" customHeight="1" x14ac:dyDescent="0.35">
      <c r="A78" s="870">
        <v>7</v>
      </c>
      <c r="B78" s="870" t="s">
        <v>60</v>
      </c>
      <c r="C78" s="2629"/>
      <c r="D78" s="4867"/>
      <c r="E78" s="4868"/>
      <c r="F78" s="4868"/>
      <c r="G78" s="4868"/>
      <c r="H78" s="4868"/>
      <c r="I78" s="4868"/>
      <c r="J78" s="4868"/>
      <c r="K78" s="4868"/>
      <c r="L78" s="4868"/>
      <c r="M78" s="4868"/>
      <c r="N78" s="4868"/>
      <c r="O78" s="4869"/>
    </row>
    <row r="79" spans="1:27" ht="17" customHeight="1" x14ac:dyDescent="0.35">
      <c r="A79" s="819">
        <v>8</v>
      </c>
      <c r="B79" s="819" t="s">
        <v>62</v>
      </c>
      <c r="C79" s="2630"/>
      <c r="D79" s="4867" t="s">
        <v>1042</v>
      </c>
      <c r="E79" s="4868"/>
      <c r="F79" s="4868"/>
      <c r="G79" s="4868"/>
      <c r="H79" s="4868"/>
      <c r="I79" s="4868"/>
      <c r="J79" s="4868"/>
      <c r="K79" s="4868"/>
      <c r="L79" s="4868"/>
      <c r="M79" s="4868"/>
      <c r="N79" s="4868"/>
      <c r="O79" s="4869"/>
    </row>
  </sheetData>
  <mergeCells count="7">
    <mergeCell ref="D79:O79"/>
    <mergeCell ref="D2:O2"/>
    <mergeCell ref="D3:O3"/>
    <mergeCell ref="D4:O4"/>
    <mergeCell ref="D76:O76"/>
    <mergeCell ref="D77:O77"/>
    <mergeCell ref="D78:O78"/>
  </mergeCells>
  <pageMargins left="0.7" right="0.7" top="0.75" bottom="0.75" header="0.3" footer="0.3"/>
  <pageSetup paperSize="9" scale="37" orientation="portrait"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FE7-AD52-4F42-8E3D-CFA88BB089AF}">
  <sheetPr>
    <tabColor rgb="FF00B0F0"/>
    <pageSetUpPr fitToPage="1"/>
  </sheetPr>
  <dimension ref="A1:AK60"/>
  <sheetViews>
    <sheetView showGridLines="0" view="pageBreakPreview" zoomScaleNormal="100" zoomScaleSheetLayoutView="100" workbookViewId="0">
      <selection activeCell="X9" sqref="X9"/>
    </sheetView>
  </sheetViews>
  <sheetFormatPr defaultColWidth="9.1796875" defaultRowHeight="14" x14ac:dyDescent="0.3"/>
  <cols>
    <col min="1" max="1" width="3.7265625" style="2688" customWidth="1"/>
    <col min="2" max="2" width="14.453125" style="1910" customWidth="1"/>
    <col min="3" max="3" width="3.7265625" style="1910" customWidth="1"/>
    <col min="4" max="4" width="22.7265625" style="1912" customWidth="1"/>
    <col min="5" max="24" width="7.26953125" style="1912" customWidth="1"/>
    <col min="25" max="25" width="7.54296875" style="1912" bestFit="1" customWidth="1"/>
    <col min="26" max="26" width="9.453125" style="1912" customWidth="1"/>
    <col min="27" max="27" width="8.26953125" style="1912" customWidth="1"/>
    <col min="28" max="28" width="7.7265625" style="1912" customWidth="1"/>
    <col min="29" max="260" width="9.1796875" style="1912"/>
    <col min="261" max="261" width="3.7265625" style="1912" customWidth="1"/>
    <col min="262" max="262" width="14.453125" style="1912" customWidth="1"/>
    <col min="263" max="263" width="3.7265625" style="1912" customWidth="1"/>
    <col min="264" max="264" width="22.7265625" style="1912" customWidth="1"/>
    <col min="265" max="282" width="7.26953125" style="1912" customWidth="1"/>
    <col min="283" max="516" width="9.1796875" style="1912"/>
    <col min="517" max="517" width="3.7265625" style="1912" customWidth="1"/>
    <col min="518" max="518" width="14.453125" style="1912" customWidth="1"/>
    <col min="519" max="519" width="3.7265625" style="1912" customWidth="1"/>
    <col min="520" max="520" width="22.7265625" style="1912" customWidth="1"/>
    <col min="521" max="538" width="7.26953125" style="1912" customWidth="1"/>
    <col min="539" max="772" width="9.1796875" style="1912"/>
    <col min="773" max="773" width="3.7265625" style="1912" customWidth="1"/>
    <col min="774" max="774" width="14.453125" style="1912" customWidth="1"/>
    <col min="775" max="775" width="3.7265625" style="1912" customWidth="1"/>
    <col min="776" max="776" width="22.7265625" style="1912" customWidth="1"/>
    <col min="777" max="794" width="7.26953125" style="1912" customWidth="1"/>
    <col min="795" max="1028" width="9.1796875" style="1912"/>
    <col min="1029" max="1029" width="3.7265625" style="1912" customWidth="1"/>
    <col min="1030" max="1030" width="14.453125" style="1912" customWidth="1"/>
    <col min="1031" max="1031" width="3.7265625" style="1912" customWidth="1"/>
    <col min="1032" max="1032" width="22.7265625" style="1912" customWidth="1"/>
    <col min="1033" max="1050" width="7.26953125" style="1912" customWidth="1"/>
    <col min="1051" max="1284" width="9.1796875" style="1912"/>
    <col min="1285" max="1285" width="3.7265625" style="1912" customWidth="1"/>
    <col min="1286" max="1286" width="14.453125" style="1912" customWidth="1"/>
    <col min="1287" max="1287" width="3.7265625" style="1912" customWidth="1"/>
    <col min="1288" max="1288" width="22.7265625" style="1912" customWidth="1"/>
    <col min="1289" max="1306" width="7.26953125" style="1912" customWidth="1"/>
    <col min="1307" max="1540" width="9.1796875" style="1912"/>
    <col min="1541" max="1541" width="3.7265625" style="1912" customWidth="1"/>
    <col min="1542" max="1542" width="14.453125" style="1912" customWidth="1"/>
    <col min="1543" max="1543" width="3.7265625" style="1912" customWidth="1"/>
    <col min="1544" max="1544" width="22.7265625" style="1912" customWidth="1"/>
    <col min="1545" max="1562" width="7.26953125" style="1912" customWidth="1"/>
    <col min="1563" max="1796" width="9.1796875" style="1912"/>
    <col min="1797" max="1797" width="3.7265625" style="1912" customWidth="1"/>
    <col min="1798" max="1798" width="14.453125" style="1912" customWidth="1"/>
    <col min="1799" max="1799" width="3.7265625" style="1912" customWidth="1"/>
    <col min="1800" max="1800" width="22.7265625" style="1912" customWidth="1"/>
    <col min="1801" max="1818" width="7.26953125" style="1912" customWidth="1"/>
    <col min="1819" max="2052" width="9.1796875" style="1912"/>
    <col min="2053" max="2053" width="3.7265625" style="1912" customWidth="1"/>
    <col min="2054" max="2054" width="14.453125" style="1912" customWidth="1"/>
    <col min="2055" max="2055" width="3.7265625" style="1912" customWidth="1"/>
    <col min="2056" max="2056" width="22.7265625" style="1912" customWidth="1"/>
    <col min="2057" max="2074" width="7.26953125" style="1912" customWidth="1"/>
    <col min="2075" max="2308" width="9.1796875" style="1912"/>
    <col min="2309" max="2309" width="3.7265625" style="1912" customWidth="1"/>
    <col min="2310" max="2310" width="14.453125" style="1912" customWidth="1"/>
    <col min="2311" max="2311" width="3.7265625" style="1912" customWidth="1"/>
    <col min="2312" max="2312" width="22.7265625" style="1912" customWidth="1"/>
    <col min="2313" max="2330" width="7.26953125" style="1912" customWidth="1"/>
    <col min="2331" max="2564" width="9.1796875" style="1912"/>
    <col min="2565" max="2565" width="3.7265625" style="1912" customWidth="1"/>
    <col min="2566" max="2566" width="14.453125" style="1912" customWidth="1"/>
    <col min="2567" max="2567" width="3.7265625" style="1912" customWidth="1"/>
    <col min="2568" max="2568" width="22.7265625" style="1912" customWidth="1"/>
    <col min="2569" max="2586" width="7.26953125" style="1912" customWidth="1"/>
    <col min="2587" max="2820" width="9.1796875" style="1912"/>
    <col min="2821" max="2821" width="3.7265625" style="1912" customWidth="1"/>
    <col min="2822" max="2822" width="14.453125" style="1912" customWidth="1"/>
    <col min="2823" max="2823" width="3.7265625" style="1912" customWidth="1"/>
    <col min="2824" max="2824" width="22.7265625" style="1912" customWidth="1"/>
    <col min="2825" max="2842" width="7.26953125" style="1912" customWidth="1"/>
    <col min="2843" max="3076" width="9.1796875" style="1912"/>
    <col min="3077" max="3077" width="3.7265625" style="1912" customWidth="1"/>
    <col min="3078" max="3078" width="14.453125" style="1912" customWidth="1"/>
    <col min="3079" max="3079" width="3.7265625" style="1912" customWidth="1"/>
    <col min="3080" max="3080" width="22.7265625" style="1912" customWidth="1"/>
    <col min="3081" max="3098" width="7.26953125" style="1912" customWidth="1"/>
    <col min="3099" max="3332" width="9.1796875" style="1912"/>
    <col min="3333" max="3333" width="3.7265625" style="1912" customWidth="1"/>
    <col min="3334" max="3334" width="14.453125" style="1912" customWidth="1"/>
    <col min="3335" max="3335" width="3.7265625" style="1912" customWidth="1"/>
    <col min="3336" max="3336" width="22.7265625" style="1912" customWidth="1"/>
    <col min="3337" max="3354" width="7.26953125" style="1912" customWidth="1"/>
    <col min="3355" max="3588" width="9.1796875" style="1912"/>
    <col min="3589" max="3589" width="3.7265625" style="1912" customWidth="1"/>
    <col min="3590" max="3590" width="14.453125" style="1912" customWidth="1"/>
    <col min="3591" max="3591" width="3.7265625" style="1912" customWidth="1"/>
    <col min="3592" max="3592" width="22.7265625" style="1912" customWidth="1"/>
    <col min="3593" max="3610" width="7.26953125" style="1912" customWidth="1"/>
    <col min="3611" max="3844" width="9.1796875" style="1912"/>
    <col min="3845" max="3845" width="3.7265625" style="1912" customWidth="1"/>
    <col min="3846" max="3846" width="14.453125" style="1912" customWidth="1"/>
    <col min="3847" max="3847" width="3.7265625" style="1912" customWidth="1"/>
    <col min="3848" max="3848" width="22.7265625" style="1912" customWidth="1"/>
    <col min="3849" max="3866" width="7.26953125" style="1912" customWidth="1"/>
    <col min="3867" max="4100" width="9.1796875" style="1912"/>
    <col min="4101" max="4101" width="3.7265625" style="1912" customWidth="1"/>
    <col min="4102" max="4102" width="14.453125" style="1912" customWidth="1"/>
    <col min="4103" max="4103" width="3.7265625" style="1912" customWidth="1"/>
    <col min="4104" max="4104" width="22.7265625" style="1912" customWidth="1"/>
    <col min="4105" max="4122" width="7.26953125" style="1912" customWidth="1"/>
    <col min="4123" max="4356" width="9.1796875" style="1912"/>
    <col min="4357" max="4357" width="3.7265625" style="1912" customWidth="1"/>
    <col min="4358" max="4358" width="14.453125" style="1912" customWidth="1"/>
    <col min="4359" max="4359" width="3.7265625" style="1912" customWidth="1"/>
    <col min="4360" max="4360" width="22.7265625" style="1912" customWidth="1"/>
    <col min="4361" max="4378" width="7.26953125" style="1912" customWidth="1"/>
    <col min="4379" max="4612" width="9.1796875" style="1912"/>
    <col min="4613" max="4613" width="3.7265625" style="1912" customWidth="1"/>
    <col min="4614" max="4614" width="14.453125" style="1912" customWidth="1"/>
    <col min="4615" max="4615" width="3.7265625" style="1912" customWidth="1"/>
    <col min="4616" max="4616" width="22.7265625" style="1912" customWidth="1"/>
    <col min="4617" max="4634" width="7.26953125" style="1912" customWidth="1"/>
    <col min="4635" max="4868" width="9.1796875" style="1912"/>
    <col min="4869" max="4869" width="3.7265625" style="1912" customWidth="1"/>
    <col min="4870" max="4870" width="14.453125" style="1912" customWidth="1"/>
    <col min="4871" max="4871" width="3.7265625" style="1912" customWidth="1"/>
    <col min="4872" max="4872" width="22.7265625" style="1912" customWidth="1"/>
    <col min="4873" max="4890" width="7.26953125" style="1912" customWidth="1"/>
    <col min="4891" max="5124" width="9.1796875" style="1912"/>
    <col min="5125" max="5125" width="3.7265625" style="1912" customWidth="1"/>
    <col min="5126" max="5126" width="14.453125" style="1912" customWidth="1"/>
    <col min="5127" max="5127" width="3.7265625" style="1912" customWidth="1"/>
    <col min="5128" max="5128" width="22.7265625" style="1912" customWidth="1"/>
    <col min="5129" max="5146" width="7.26953125" style="1912" customWidth="1"/>
    <col min="5147" max="5380" width="9.1796875" style="1912"/>
    <col min="5381" max="5381" width="3.7265625" style="1912" customWidth="1"/>
    <col min="5382" max="5382" width="14.453125" style="1912" customWidth="1"/>
    <col min="5383" max="5383" width="3.7265625" style="1912" customWidth="1"/>
    <col min="5384" max="5384" width="22.7265625" style="1912" customWidth="1"/>
    <col min="5385" max="5402" width="7.26953125" style="1912" customWidth="1"/>
    <col min="5403" max="5636" width="9.1796875" style="1912"/>
    <col min="5637" max="5637" width="3.7265625" style="1912" customWidth="1"/>
    <col min="5638" max="5638" width="14.453125" style="1912" customWidth="1"/>
    <col min="5639" max="5639" width="3.7265625" style="1912" customWidth="1"/>
    <col min="5640" max="5640" width="22.7265625" style="1912" customWidth="1"/>
    <col min="5641" max="5658" width="7.26953125" style="1912" customWidth="1"/>
    <col min="5659" max="5892" width="9.1796875" style="1912"/>
    <col min="5893" max="5893" width="3.7265625" style="1912" customWidth="1"/>
    <col min="5894" max="5894" width="14.453125" style="1912" customWidth="1"/>
    <col min="5895" max="5895" width="3.7265625" style="1912" customWidth="1"/>
    <col min="5896" max="5896" width="22.7265625" style="1912" customWidth="1"/>
    <col min="5897" max="5914" width="7.26953125" style="1912" customWidth="1"/>
    <col min="5915" max="6148" width="9.1796875" style="1912"/>
    <col min="6149" max="6149" width="3.7265625" style="1912" customWidth="1"/>
    <col min="6150" max="6150" width="14.453125" style="1912" customWidth="1"/>
    <col min="6151" max="6151" width="3.7265625" style="1912" customWidth="1"/>
    <col min="6152" max="6152" width="22.7265625" style="1912" customWidth="1"/>
    <col min="6153" max="6170" width="7.26953125" style="1912" customWidth="1"/>
    <col min="6171" max="6404" width="9.1796875" style="1912"/>
    <col min="6405" max="6405" width="3.7265625" style="1912" customWidth="1"/>
    <col min="6406" max="6406" width="14.453125" style="1912" customWidth="1"/>
    <col min="6407" max="6407" width="3.7265625" style="1912" customWidth="1"/>
    <col min="6408" max="6408" width="22.7265625" style="1912" customWidth="1"/>
    <col min="6409" max="6426" width="7.26953125" style="1912" customWidth="1"/>
    <col min="6427" max="6660" width="9.1796875" style="1912"/>
    <col min="6661" max="6661" width="3.7265625" style="1912" customWidth="1"/>
    <col min="6662" max="6662" width="14.453125" style="1912" customWidth="1"/>
    <col min="6663" max="6663" width="3.7265625" style="1912" customWidth="1"/>
    <col min="6664" max="6664" width="22.7265625" style="1912" customWidth="1"/>
    <col min="6665" max="6682" width="7.26953125" style="1912" customWidth="1"/>
    <col min="6683" max="6916" width="9.1796875" style="1912"/>
    <col min="6917" max="6917" width="3.7265625" style="1912" customWidth="1"/>
    <col min="6918" max="6918" width="14.453125" style="1912" customWidth="1"/>
    <col min="6919" max="6919" width="3.7265625" style="1912" customWidth="1"/>
    <col min="6920" max="6920" width="22.7265625" style="1912" customWidth="1"/>
    <col min="6921" max="6938" width="7.26953125" style="1912" customWidth="1"/>
    <col min="6939" max="7172" width="9.1796875" style="1912"/>
    <col min="7173" max="7173" width="3.7265625" style="1912" customWidth="1"/>
    <col min="7174" max="7174" width="14.453125" style="1912" customWidth="1"/>
    <col min="7175" max="7175" width="3.7265625" style="1912" customWidth="1"/>
    <col min="7176" max="7176" width="22.7265625" style="1912" customWidth="1"/>
    <col min="7177" max="7194" width="7.26953125" style="1912" customWidth="1"/>
    <col min="7195" max="7428" width="9.1796875" style="1912"/>
    <col min="7429" max="7429" width="3.7265625" style="1912" customWidth="1"/>
    <col min="7430" max="7430" width="14.453125" style="1912" customWidth="1"/>
    <col min="7431" max="7431" width="3.7265625" style="1912" customWidth="1"/>
    <col min="7432" max="7432" width="22.7265625" style="1912" customWidth="1"/>
    <col min="7433" max="7450" width="7.26953125" style="1912" customWidth="1"/>
    <col min="7451" max="7684" width="9.1796875" style="1912"/>
    <col min="7685" max="7685" width="3.7265625" style="1912" customWidth="1"/>
    <col min="7686" max="7686" width="14.453125" style="1912" customWidth="1"/>
    <col min="7687" max="7687" width="3.7265625" style="1912" customWidth="1"/>
    <col min="7688" max="7688" width="22.7265625" style="1912" customWidth="1"/>
    <col min="7689" max="7706" width="7.26953125" style="1912" customWidth="1"/>
    <col min="7707" max="7940" width="9.1796875" style="1912"/>
    <col min="7941" max="7941" width="3.7265625" style="1912" customWidth="1"/>
    <col min="7942" max="7942" width="14.453125" style="1912" customWidth="1"/>
    <col min="7943" max="7943" width="3.7265625" style="1912" customWidth="1"/>
    <col min="7944" max="7944" width="22.7265625" style="1912" customWidth="1"/>
    <col min="7945" max="7962" width="7.26953125" style="1912" customWidth="1"/>
    <col min="7963" max="8196" width="9.1796875" style="1912"/>
    <col min="8197" max="8197" width="3.7265625" style="1912" customWidth="1"/>
    <col min="8198" max="8198" width="14.453125" style="1912" customWidth="1"/>
    <col min="8199" max="8199" width="3.7265625" style="1912" customWidth="1"/>
    <col min="8200" max="8200" width="22.7265625" style="1912" customWidth="1"/>
    <col min="8201" max="8218" width="7.26953125" style="1912" customWidth="1"/>
    <col min="8219" max="8452" width="9.1796875" style="1912"/>
    <col min="8453" max="8453" width="3.7265625" style="1912" customWidth="1"/>
    <col min="8454" max="8454" width="14.453125" style="1912" customWidth="1"/>
    <col min="8455" max="8455" width="3.7265625" style="1912" customWidth="1"/>
    <col min="8456" max="8456" width="22.7265625" style="1912" customWidth="1"/>
    <col min="8457" max="8474" width="7.26953125" style="1912" customWidth="1"/>
    <col min="8475" max="8708" width="9.1796875" style="1912"/>
    <col min="8709" max="8709" width="3.7265625" style="1912" customWidth="1"/>
    <col min="8710" max="8710" width="14.453125" style="1912" customWidth="1"/>
    <col min="8711" max="8711" width="3.7265625" style="1912" customWidth="1"/>
    <col min="8712" max="8712" width="22.7265625" style="1912" customWidth="1"/>
    <col min="8713" max="8730" width="7.26953125" style="1912" customWidth="1"/>
    <col min="8731" max="8964" width="9.1796875" style="1912"/>
    <col min="8965" max="8965" width="3.7265625" style="1912" customWidth="1"/>
    <col min="8966" max="8966" width="14.453125" style="1912" customWidth="1"/>
    <col min="8967" max="8967" width="3.7265625" style="1912" customWidth="1"/>
    <col min="8968" max="8968" width="22.7265625" style="1912" customWidth="1"/>
    <col min="8969" max="8986" width="7.26953125" style="1912" customWidth="1"/>
    <col min="8987" max="9220" width="9.1796875" style="1912"/>
    <col min="9221" max="9221" width="3.7265625" style="1912" customWidth="1"/>
    <col min="9222" max="9222" width="14.453125" style="1912" customWidth="1"/>
    <col min="9223" max="9223" width="3.7265625" style="1912" customWidth="1"/>
    <col min="9224" max="9224" width="22.7265625" style="1912" customWidth="1"/>
    <col min="9225" max="9242" width="7.26953125" style="1912" customWidth="1"/>
    <col min="9243" max="9476" width="9.1796875" style="1912"/>
    <col min="9477" max="9477" width="3.7265625" style="1912" customWidth="1"/>
    <col min="9478" max="9478" width="14.453125" style="1912" customWidth="1"/>
    <col min="9479" max="9479" width="3.7265625" style="1912" customWidth="1"/>
    <col min="9480" max="9480" width="22.7265625" style="1912" customWidth="1"/>
    <col min="9481" max="9498" width="7.26953125" style="1912" customWidth="1"/>
    <col min="9499" max="9732" width="9.1796875" style="1912"/>
    <col min="9733" max="9733" width="3.7265625" style="1912" customWidth="1"/>
    <col min="9734" max="9734" width="14.453125" style="1912" customWidth="1"/>
    <col min="9735" max="9735" width="3.7265625" style="1912" customWidth="1"/>
    <col min="9736" max="9736" width="22.7265625" style="1912" customWidth="1"/>
    <col min="9737" max="9754" width="7.26953125" style="1912" customWidth="1"/>
    <col min="9755" max="9988" width="9.1796875" style="1912"/>
    <col min="9989" max="9989" width="3.7265625" style="1912" customWidth="1"/>
    <col min="9990" max="9990" width="14.453125" style="1912" customWidth="1"/>
    <col min="9991" max="9991" width="3.7265625" style="1912" customWidth="1"/>
    <col min="9992" max="9992" width="22.7265625" style="1912" customWidth="1"/>
    <col min="9993" max="10010" width="7.26953125" style="1912" customWidth="1"/>
    <col min="10011" max="10244" width="9.1796875" style="1912"/>
    <col min="10245" max="10245" width="3.7265625" style="1912" customWidth="1"/>
    <col min="10246" max="10246" width="14.453125" style="1912" customWidth="1"/>
    <col min="10247" max="10247" width="3.7265625" style="1912" customWidth="1"/>
    <col min="10248" max="10248" width="22.7265625" style="1912" customWidth="1"/>
    <col min="10249" max="10266" width="7.26953125" style="1912" customWidth="1"/>
    <col min="10267" max="10500" width="9.1796875" style="1912"/>
    <col min="10501" max="10501" width="3.7265625" style="1912" customWidth="1"/>
    <col min="10502" max="10502" width="14.453125" style="1912" customWidth="1"/>
    <col min="10503" max="10503" width="3.7265625" style="1912" customWidth="1"/>
    <col min="10504" max="10504" width="22.7265625" style="1912" customWidth="1"/>
    <col min="10505" max="10522" width="7.26953125" style="1912" customWidth="1"/>
    <col min="10523" max="10756" width="9.1796875" style="1912"/>
    <col min="10757" max="10757" width="3.7265625" style="1912" customWidth="1"/>
    <col min="10758" max="10758" width="14.453125" style="1912" customWidth="1"/>
    <col min="10759" max="10759" width="3.7265625" style="1912" customWidth="1"/>
    <col min="10760" max="10760" width="22.7265625" style="1912" customWidth="1"/>
    <col min="10761" max="10778" width="7.26953125" style="1912" customWidth="1"/>
    <col min="10779" max="11012" width="9.1796875" style="1912"/>
    <col min="11013" max="11013" width="3.7265625" style="1912" customWidth="1"/>
    <col min="11014" max="11014" width="14.453125" style="1912" customWidth="1"/>
    <col min="11015" max="11015" width="3.7265625" style="1912" customWidth="1"/>
    <col min="11016" max="11016" width="22.7265625" style="1912" customWidth="1"/>
    <col min="11017" max="11034" width="7.26953125" style="1912" customWidth="1"/>
    <col min="11035" max="11268" width="9.1796875" style="1912"/>
    <col min="11269" max="11269" width="3.7265625" style="1912" customWidth="1"/>
    <col min="11270" max="11270" width="14.453125" style="1912" customWidth="1"/>
    <col min="11271" max="11271" width="3.7265625" style="1912" customWidth="1"/>
    <col min="11272" max="11272" width="22.7265625" style="1912" customWidth="1"/>
    <col min="11273" max="11290" width="7.26953125" style="1912" customWidth="1"/>
    <col min="11291" max="11524" width="9.1796875" style="1912"/>
    <col min="11525" max="11525" width="3.7265625" style="1912" customWidth="1"/>
    <col min="11526" max="11526" width="14.453125" style="1912" customWidth="1"/>
    <col min="11527" max="11527" width="3.7265625" style="1912" customWidth="1"/>
    <col min="11528" max="11528" width="22.7265625" style="1912" customWidth="1"/>
    <col min="11529" max="11546" width="7.26953125" style="1912" customWidth="1"/>
    <col min="11547" max="11780" width="9.1796875" style="1912"/>
    <col min="11781" max="11781" width="3.7265625" style="1912" customWidth="1"/>
    <col min="11782" max="11782" width="14.453125" style="1912" customWidth="1"/>
    <col min="11783" max="11783" width="3.7265625" style="1912" customWidth="1"/>
    <col min="11784" max="11784" width="22.7265625" style="1912" customWidth="1"/>
    <col min="11785" max="11802" width="7.26953125" style="1912" customWidth="1"/>
    <col min="11803" max="12036" width="9.1796875" style="1912"/>
    <col min="12037" max="12037" width="3.7265625" style="1912" customWidth="1"/>
    <col min="12038" max="12038" width="14.453125" style="1912" customWidth="1"/>
    <col min="12039" max="12039" width="3.7265625" style="1912" customWidth="1"/>
    <col min="12040" max="12040" width="22.7265625" style="1912" customWidth="1"/>
    <col min="12041" max="12058" width="7.26953125" style="1912" customWidth="1"/>
    <col min="12059" max="12292" width="9.1796875" style="1912"/>
    <col min="12293" max="12293" width="3.7265625" style="1912" customWidth="1"/>
    <col min="12294" max="12294" width="14.453125" style="1912" customWidth="1"/>
    <col min="12295" max="12295" width="3.7265625" style="1912" customWidth="1"/>
    <col min="12296" max="12296" width="22.7265625" style="1912" customWidth="1"/>
    <col min="12297" max="12314" width="7.26953125" style="1912" customWidth="1"/>
    <col min="12315" max="12548" width="9.1796875" style="1912"/>
    <col min="12549" max="12549" width="3.7265625" style="1912" customWidth="1"/>
    <col min="12550" max="12550" width="14.453125" style="1912" customWidth="1"/>
    <col min="12551" max="12551" width="3.7265625" style="1912" customWidth="1"/>
    <col min="12552" max="12552" width="22.7265625" style="1912" customWidth="1"/>
    <col min="12553" max="12570" width="7.26953125" style="1912" customWidth="1"/>
    <col min="12571" max="12804" width="9.1796875" style="1912"/>
    <col min="12805" max="12805" width="3.7265625" style="1912" customWidth="1"/>
    <col min="12806" max="12806" width="14.453125" style="1912" customWidth="1"/>
    <col min="12807" max="12807" width="3.7265625" style="1912" customWidth="1"/>
    <col min="12808" max="12808" width="22.7265625" style="1912" customWidth="1"/>
    <col min="12809" max="12826" width="7.26953125" style="1912" customWidth="1"/>
    <col min="12827" max="13060" width="9.1796875" style="1912"/>
    <col min="13061" max="13061" width="3.7265625" style="1912" customWidth="1"/>
    <col min="13062" max="13062" width="14.453125" style="1912" customWidth="1"/>
    <col min="13063" max="13063" width="3.7265625" style="1912" customWidth="1"/>
    <col min="13064" max="13064" width="22.7265625" style="1912" customWidth="1"/>
    <col min="13065" max="13082" width="7.26953125" style="1912" customWidth="1"/>
    <col min="13083" max="13316" width="9.1796875" style="1912"/>
    <col min="13317" max="13317" width="3.7265625" style="1912" customWidth="1"/>
    <col min="13318" max="13318" width="14.453125" style="1912" customWidth="1"/>
    <col min="13319" max="13319" width="3.7265625" style="1912" customWidth="1"/>
    <col min="13320" max="13320" width="22.7265625" style="1912" customWidth="1"/>
    <col min="13321" max="13338" width="7.26953125" style="1912" customWidth="1"/>
    <col min="13339" max="13572" width="9.1796875" style="1912"/>
    <col min="13573" max="13573" width="3.7265625" style="1912" customWidth="1"/>
    <col min="13574" max="13574" width="14.453125" style="1912" customWidth="1"/>
    <col min="13575" max="13575" width="3.7265625" style="1912" customWidth="1"/>
    <col min="13576" max="13576" width="22.7265625" style="1912" customWidth="1"/>
    <col min="13577" max="13594" width="7.26953125" style="1912" customWidth="1"/>
    <col min="13595" max="13828" width="9.1796875" style="1912"/>
    <col min="13829" max="13829" width="3.7265625" style="1912" customWidth="1"/>
    <col min="13830" max="13830" width="14.453125" style="1912" customWidth="1"/>
    <col min="13831" max="13831" width="3.7265625" style="1912" customWidth="1"/>
    <col min="13832" max="13832" width="22.7265625" style="1912" customWidth="1"/>
    <col min="13833" max="13850" width="7.26953125" style="1912" customWidth="1"/>
    <col min="13851" max="14084" width="9.1796875" style="1912"/>
    <col min="14085" max="14085" width="3.7265625" style="1912" customWidth="1"/>
    <col min="14086" max="14086" width="14.453125" style="1912" customWidth="1"/>
    <col min="14087" max="14087" width="3.7265625" style="1912" customWidth="1"/>
    <col min="14088" max="14088" width="22.7265625" style="1912" customWidth="1"/>
    <col min="14089" max="14106" width="7.26953125" style="1912" customWidth="1"/>
    <col min="14107" max="14340" width="9.1796875" style="1912"/>
    <col min="14341" max="14341" width="3.7265625" style="1912" customWidth="1"/>
    <col min="14342" max="14342" width="14.453125" style="1912" customWidth="1"/>
    <col min="14343" max="14343" width="3.7265625" style="1912" customWidth="1"/>
    <col min="14344" max="14344" width="22.7265625" style="1912" customWidth="1"/>
    <col min="14345" max="14362" width="7.26953125" style="1912" customWidth="1"/>
    <col min="14363" max="14596" width="9.1796875" style="1912"/>
    <col min="14597" max="14597" width="3.7265625" style="1912" customWidth="1"/>
    <col min="14598" max="14598" width="14.453125" style="1912" customWidth="1"/>
    <col min="14599" max="14599" width="3.7265625" style="1912" customWidth="1"/>
    <col min="14600" max="14600" width="22.7265625" style="1912" customWidth="1"/>
    <col min="14601" max="14618" width="7.26953125" style="1912" customWidth="1"/>
    <col min="14619" max="14852" width="9.1796875" style="1912"/>
    <col min="14853" max="14853" width="3.7265625" style="1912" customWidth="1"/>
    <col min="14854" max="14854" width="14.453125" style="1912" customWidth="1"/>
    <col min="14855" max="14855" width="3.7265625" style="1912" customWidth="1"/>
    <col min="14856" max="14856" width="22.7265625" style="1912" customWidth="1"/>
    <col min="14857" max="14874" width="7.26953125" style="1912" customWidth="1"/>
    <col min="14875" max="15108" width="9.1796875" style="1912"/>
    <col min="15109" max="15109" width="3.7265625" style="1912" customWidth="1"/>
    <col min="15110" max="15110" width="14.453125" style="1912" customWidth="1"/>
    <col min="15111" max="15111" width="3.7265625" style="1912" customWidth="1"/>
    <col min="15112" max="15112" width="22.7265625" style="1912" customWidth="1"/>
    <col min="15113" max="15130" width="7.26953125" style="1912" customWidth="1"/>
    <col min="15131" max="15364" width="9.1796875" style="1912"/>
    <col min="15365" max="15365" width="3.7265625" style="1912" customWidth="1"/>
    <col min="15366" max="15366" width="14.453125" style="1912" customWidth="1"/>
    <col min="15367" max="15367" width="3.7265625" style="1912" customWidth="1"/>
    <col min="15368" max="15368" width="22.7265625" style="1912" customWidth="1"/>
    <col min="15369" max="15386" width="7.26953125" style="1912" customWidth="1"/>
    <col min="15387" max="15620" width="9.1796875" style="1912"/>
    <col min="15621" max="15621" width="3.7265625" style="1912" customWidth="1"/>
    <col min="15622" max="15622" width="14.453125" style="1912" customWidth="1"/>
    <col min="15623" max="15623" width="3.7265625" style="1912" customWidth="1"/>
    <col min="15624" max="15624" width="22.7265625" style="1912" customWidth="1"/>
    <col min="15625" max="15642" width="7.26953125" style="1912" customWidth="1"/>
    <col min="15643" max="15876" width="9.1796875" style="1912"/>
    <col min="15877" max="15877" width="3.7265625" style="1912" customWidth="1"/>
    <col min="15878" max="15878" width="14.453125" style="1912" customWidth="1"/>
    <col min="15879" max="15879" width="3.7265625" style="1912" customWidth="1"/>
    <col min="15880" max="15880" width="22.7265625" style="1912" customWidth="1"/>
    <col min="15881" max="15898" width="7.26953125" style="1912" customWidth="1"/>
    <col min="15899" max="16132" width="9.1796875" style="1912"/>
    <col min="16133" max="16133" width="3.7265625" style="1912" customWidth="1"/>
    <col min="16134" max="16134" width="14.453125" style="1912" customWidth="1"/>
    <col min="16135" max="16135" width="3.7265625" style="1912" customWidth="1"/>
    <col min="16136" max="16136" width="22.7265625" style="1912" customWidth="1"/>
    <col min="16137" max="16154" width="7.26953125" style="1912" customWidth="1"/>
    <col min="16155" max="16384" width="9.1796875" style="1912"/>
  </cols>
  <sheetData>
    <row r="1" spans="1:37" x14ac:dyDescent="0.3">
      <c r="A1" s="2631"/>
      <c r="B1" s="1868"/>
      <c r="C1" s="1868"/>
      <c r="D1" s="1869"/>
      <c r="E1" s="1869"/>
      <c r="F1" s="1869"/>
      <c r="G1" s="1869"/>
      <c r="H1" s="1869"/>
      <c r="I1" s="1869"/>
      <c r="J1" s="1869"/>
      <c r="K1" s="1869"/>
      <c r="L1" s="1869"/>
      <c r="M1" s="1869"/>
      <c r="N1" s="1869"/>
      <c r="O1" s="1869"/>
      <c r="P1" s="1869"/>
      <c r="Q1" s="1869"/>
      <c r="R1" s="1869"/>
      <c r="S1" s="1869"/>
      <c r="T1" s="1869"/>
      <c r="U1" s="1869"/>
    </row>
    <row r="2" spans="1:37" ht="14.25" customHeight="1" x14ac:dyDescent="0.3">
      <c r="A2" s="819">
        <v>1</v>
      </c>
      <c r="B2" s="819" t="s">
        <v>0</v>
      </c>
      <c r="C2" s="819">
        <v>45</v>
      </c>
      <c r="D2" s="4642" t="s">
        <v>1043</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3"/>
      <c r="AD2" s="4643"/>
      <c r="AE2" s="4643"/>
      <c r="AF2" s="4643"/>
      <c r="AG2" s="4643"/>
      <c r="AH2" s="4644"/>
    </row>
    <row r="3" spans="1:37" ht="15" customHeight="1" x14ac:dyDescent="0.3">
      <c r="A3" s="819">
        <v>2</v>
      </c>
      <c r="B3" s="819" t="s">
        <v>2</v>
      </c>
      <c r="C3" s="819"/>
      <c r="D3" s="4642" t="s">
        <v>952</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3"/>
      <c r="AD3" s="4643"/>
      <c r="AE3" s="4643"/>
      <c r="AF3" s="4643"/>
      <c r="AG3" s="4643"/>
      <c r="AH3" s="4644"/>
    </row>
    <row r="4" spans="1:37" ht="14.25" customHeight="1" x14ac:dyDescent="0.3">
      <c r="A4" s="819">
        <v>3</v>
      </c>
      <c r="B4" s="819" t="s">
        <v>4</v>
      </c>
      <c r="C4" s="819"/>
      <c r="D4" s="4642" t="s">
        <v>1044</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3"/>
      <c r="AD4" s="4643"/>
      <c r="AE4" s="4643"/>
      <c r="AF4" s="4643"/>
      <c r="AG4" s="4643"/>
      <c r="AH4" s="4644"/>
    </row>
    <row r="5" spans="1:37" ht="15.75" customHeight="1" x14ac:dyDescent="0.3">
      <c r="A5" s="1910"/>
      <c r="B5" s="1868"/>
      <c r="C5" s="1192"/>
      <c r="D5" s="2632"/>
      <c r="E5" s="171"/>
      <c r="F5" s="171"/>
      <c r="G5" s="171"/>
      <c r="H5" s="171"/>
      <c r="I5" s="171"/>
      <c r="J5" s="171"/>
      <c r="K5" s="171"/>
      <c r="L5" s="171"/>
      <c r="M5" s="171"/>
      <c r="N5" s="171"/>
      <c r="O5" s="171"/>
      <c r="P5" s="171"/>
    </row>
    <row r="6" spans="1:37" s="33" customFormat="1" ht="13" x14ac:dyDescent="0.25">
      <c r="A6" s="819">
        <v>4</v>
      </c>
      <c r="B6" s="1192" t="s">
        <v>6</v>
      </c>
      <c r="C6" s="1224"/>
      <c r="D6" s="89" t="s">
        <v>85</v>
      </c>
      <c r="E6" s="89" t="str">
        <f>D2</f>
        <v>National Senior Certificate Examination Pass Rate</v>
      </c>
      <c r="F6" s="89"/>
      <c r="G6" s="89"/>
      <c r="H6" s="89"/>
      <c r="I6" s="89"/>
      <c r="J6" s="89"/>
      <c r="K6" s="89"/>
      <c r="L6" s="89"/>
      <c r="M6" s="108"/>
      <c r="N6" s="108"/>
      <c r="O6" s="108"/>
      <c r="P6" s="108"/>
      <c r="Q6" s="108"/>
      <c r="R6" s="109"/>
      <c r="S6" s="109"/>
      <c r="T6" s="109"/>
      <c r="U6" s="109"/>
    </row>
    <row r="7" spans="1:37" s="33" customFormat="1" ht="10.5" x14ac:dyDescent="0.25">
      <c r="A7" s="2633"/>
      <c r="B7" s="1224"/>
      <c r="C7" s="1224"/>
      <c r="D7" s="2634"/>
      <c r="E7" s="2500">
        <v>1994</v>
      </c>
      <c r="F7" s="2500">
        <v>1995</v>
      </c>
      <c r="G7" s="2500">
        <v>1996</v>
      </c>
      <c r="H7" s="2500">
        <v>1997</v>
      </c>
      <c r="I7" s="2500">
        <v>1998</v>
      </c>
      <c r="J7" s="2500">
        <v>1999</v>
      </c>
      <c r="K7" s="2500">
        <v>2000</v>
      </c>
      <c r="L7" s="2500">
        <v>2001</v>
      </c>
      <c r="M7" s="2500">
        <v>2002</v>
      </c>
      <c r="N7" s="2500">
        <v>2003</v>
      </c>
      <c r="O7" s="2500">
        <v>2004</v>
      </c>
      <c r="P7" s="2500">
        <v>2005</v>
      </c>
      <c r="Q7" s="2500">
        <v>2006</v>
      </c>
      <c r="R7" s="2500">
        <v>2007</v>
      </c>
      <c r="S7" s="2500">
        <v>2008</v>
      </c>
      <c r="T7" s="2500">
        <v>2009</v>
      </c>
      <c r="U7" s="2500">
        <v>2010</v>
      </c>
      <c r="V7" s="2500">
        <v>2011</v>
      </c>
      <c r="W7" s="2500">
        <v>2012</v>
      </c>
      <c r="X7" s="2500">
        <v>2013</v>
      </c>
      <c r="Y7" s="2635">
        <v>2014</v>
      </c>
      <c r="Z7" s="2635">
        <v>2015</v>
      </c>
      <c r="AA7" s="2635">
        <v>2016</v>
      </c>
      <c r="AB7" s="2636">
        <v>2017</v>
      </c>
      <c r="AC7" s="2636">
        <v>2018</v>
      </c>
      <c r="AD7" s="2636">
        <v>2019</v>
      </c>
    </row>
    <row r="8" spans="1:37" x14ac:dyDescent="0.3">
      <c r="A8" s="2631"/>
      <c r="B8" s="1868"/>
      <c r="C8" s="1868"/>
      <c r="D8" s="2637" t="s">
        <v>1045</v>
      </c>
      <c r="E8" s="2638"/>
      <c r="F8" s="2639">
        <v>531453</v>
      </c>
      <c r="G8" s="2639">
        <v>513868</v>
      </c>
      <c r="H8" s="2639">
        <v>558970</v>
      </c>
      <c r="I8" s="2639">
        <v>552384</v>
      </c>
      <c r="J8" s="2639">
        <v>511159</v>
      </c>
      <c r="K8" s="2639">
        <v>489298</v>
      </c>
      <c r="L8" s="2639">
        <v>449332</v>
      </c>
      <c r="M8" s="2639">
        <v>443765</v>
      </c>
      <c r="N8" s="2639">
        <v>440096</v>
      </c>
      <c r="O8" s="2639">
        <v>467890</v>
      </c>
      <c r="P8" s="2639">
        <v>508180</v>
      </c>
      <c r="Q8" s="2639">
        <v>527950</v>
      </c>
      <c r="R8" s="2639">
        <v>564381</v>
      </c>
      <c r="S8" s="2640">
        <v>554664</v>
      </c>
      <c r="T8" s="2640">
        <v>552073</v>
      </c>
      <c r="U8" s="2640">
        <v>537543</v>
      </c>
      <c r="V8" s="2640">
        <v>496090</v>
      </c>
      <c r="W8" s="2640">
        <v>511152</v>
      </c>
      <c r="X8" s="2640">
        <v>562116</v>
      </c>
      <c r="Y8" s="2641">
        <v>532860</v>
      </c>
      <c r="Z8" s="2641">
        <v>644536</v>
      </c>
      <c r="AA8" s="2641">
        <v>610178</v>
      </c>
      <c r="AB8" s="2642">
        <v>534484</v>
      </c>
      <c r="AC8" s="2642">
        <v>512735</v>
      </c>
      <c r="AD8" s="2642">
        <v>504303</v>
      </c>
      <c r="AE8" s="33"/>
      <c r="AF8" s="33"/>
    </row>
    <row r="9" spans="1:37" x14ac:dyDescent="0.3">
      <c r="A9" s="2631"/>
      <c r="B9" s="1868"/>
      <c r="C9" s="1868"/>
      <c r="D9" s="2637" t="s">
        <v>1046</v>
      </c>
      <c r="E9" s="2638"/>
      <c r="F9" s="2643">
        <v>283742</v>
      </c>
      <c r="G9" s="2643">
        <v>279487</v>
      </c>
      <c r="H9" s="2643">
        <v>264795</v>
      </c>
      <c r="I9" s="2643">
        <v>272488</v>
      </c>
      <c r="J9" s="2643">
        <v>249831</v>
      </c>
      <c r="K9" s="2643">
        <v>283294</v>
      </c>
      <c r="L9" s="2643">
        <v>277206</v>
      </c>
      <c r="M9" s="2643">
        <v>305774</v>
      </c>
      <c r="N9" s="2643">
        <v>322492</v>
      </c>
      <c r="O9" s="2643">
        <v>330717</v>
      </c>
      <c r="P9" s="2643">
        <v>347184</v>
      </c>
      <c r="Q9" s="2643">
        <v>351503</v>
      </c>
      <c r="R9" s="2639">
        <v>368217</v>
      </c>
      <c r="S9" s="2639">
        <v>344794</v>
      </c>
      <c r="T9" s="2639">
        <v>334716</v>
      </c>
      <c r="U9" s="2640">
        <v>364147</v>
      </c>
      <c r="V9" s="2640">
        <v>348117</v>
      </c>
      <c r="W9" s="2640">
        <v>377829</v>
      </c>
      <c r="X9" s="2640">
        <v>439779</v>
      </c>
      <c r="Y9" s="2641">
        <v>403874</v>
      </c>
      <c r="Z9" s="2641">
        <v>455825</v>
      </c>
      <c r="AA9" s="2641">
        <v>442672</v>
      </c>
      <c r="AB9" s="2644">
        <v>401435</v>
      </c>
      <c r="AC9" s="2644">
        <v>400761</v>
      </c>
      <c r="AD9" s="2644">
        <v>409906</v>
      </c>
      <c r="AE9" s="33"/>
      <c r="AF9" s="33"/>
    </row>
    <row r="10" spans="1:37" x14ac:dyDescent="0.3">
      <c r="A10" s="2631"/>
      <c r="B10" s="1868"/>
      <c r="C10" s="1868"/>
      <c r="D10" s="2637" t="s">
        <v>1047</v>
      </c>
      <c r="E10" s="2638"/>
      <c r="F10" s="2643"/>
      <c r="G10" s="2643"/>
      <c r="H10" s="2643"/>
      <c r="I10" s="2643"/>
      <c r="J10" s="2643"/>
      <c r="K10" s="2643"/>
      <c r="L10" s="2643"/>
      <c r="M10" s="2643"/>
      <c r="N10" s="2643"/>
      <c r="O10" s="2643"/>
      <c r="P10" s="2643"/>
      <c r="Q10" s="2643"/>
      <c r="R10" s="2639"/>
      <c r="S10" s="2639"/>
      <c r="T10" s="2639">
        <v>109697</v>
      </c>
      <c r="U10" s="2640">
        <v>126371</v>
      </c>
      <c r="V10" s="2640">
        <v>120767</v>
      </c>
      <c r="W10" s="2640">
        <v>136047</v>
      </c>
      <c r="X10" s="2640">
        <v>171755</v>
      </c>
      <c r="Y10" s="2641">
        <v>150752</v>
      </c>
      <c r="Z10" s="2641">
        <v>166263</v>
      </c>
      <c r="AA10" s="2641">
        <v>162374</v>
      </c>
      <c r="AB10" s="2644">
        <v>153610</v>
      </c>
      <c r="AC10" s="2644">
        <v>172043</v>
      </c>
      <c r="AD10" s="2644">
        <v>186058</v>
      </c>
      <c r="AE10" s="33"/>
      <c r="AF10" s="33"/>
    </row>
    <row r="11" spans="1:37" s="33" customFormat="1" ht="10.5" x14ac:dyDescent="0.25">
      <c r="A11" s="2633"/>
      <c r="B11" s="1224"/>
      <c r="C11" s="1224"/>
      <c r="D11" s="2645" t="s">
        <v>653</v>
      </c>
      <c r="E11" s="2646">
        <v>0.57999999999999996</v>
      </c>
      <c r="F11" s="2646">
        <v>0.53389857616760095</v>
      </c>
      <c r="G11" s="2646">
        <v>0.54388870293538416</v>
      </c>
      <c r="H11" s="2646">
        <v>0.47371951983111793</v>
      </c>
      <c r="I11" s="2646">
        <v>0.49329451975437377</v>
      </c>
      <c r="J11" s="2646">
        <v>0.48875398848499196</v>
      </c>
      <c r="K11" s="2646">
        <v>0.57898049859186018</v>
      </c>
      <c r="L11" s="2646">
        <v>0.6169291303535025</v>
      </c>
      <c r="M11" s="2646">
        <v>0.68904487735625841</v>
      </c>
      <c r="N11" s="2646">
        <v>0.73277648513051696</v>
      </c>
      <c r="O11" s="2646">
        <v>0.70682639081835474</v>
      </c>
      <c r="P11" s="2646">
        <v>0.68319099531662009</v>
      </c>
      <c r="Q11" s="2646">
        <v>0.66578842693436879</v>
      </c>
      <c r="R11" s="2646">
        <v>0.65242628649795087</v>
      </c>
      <c r="S11" s="2646">
        <v>0.62162678666724358</v>
      </c>
      <c r="T11" s="2646">
        <v>0.60628938564284074</v>
      </c>
      <c r="U11" s="2646">
        <v>0.67800000000000005</v>
      </c>
      <c r="V11" s="2646">
        <v>0.70199999999999996</v>
      </c>
      <c r="W11" s="2646">
        <v>0.73917151845243689</v>
      </c>
      <c r="X11" s="2646">
        <v>0.78200000000000003</v>
      </c>
      <c r="Y11" s="2647">
        <v>0.75800000000000001</v>
      </c>
      <c r="Z11" s="2647">
        <v>0.70699999999999996</v>
      </c>
      <c r="AA11" s="2647">
        <v>0.72499999999999998</v>
      </c>
      <c r="AB11" s="2648">
        <v>0.751</v>
      </c>
      <c r="AC11" s="2648">
        <v>0.78200000000000003</v>
      </c>
      <c r="AD11" s="2648">
        <v>0.81299999999999994</v>
      </c>
    </row>
    <row r="12" spans="1:37" s="33" customFormat="1" ht="10.5" x14ac:dyDescent="0.2">
      <c r="A12" s="2633"/>
      <c r="B12" s="1224"/>
      <c r="C12" s="1224"/>
      <c r="D12" s="2637"/>
      <c r="E12" s="2534"/>
      <c r="F12" s="2534"/>
      <c r="G12" s="2534"/>
      <c r="H12" s="2534"/>
      <c r="I12" s="2534"/>
      <c r="J12" s="2534"/>
      <c r="K12" s="2534"/>
      <c r="L12" s="2534"/>
      <c r="M12" s="2534"/>
      <c r="N12" s="2534"/>
      <c r="O12" s="2534"/>
      <c r="P12" s="2534"/>
      <c r="Q12" s="2534"/>
      <c r="R12" s="2534"/>
      <c r="S12" s="2534"/>
      <c r="T12" s="2534"/>
      <c r="U12" s="2534"/>
    </row>
    <row r="13" spans="1:37" s="33" customFormat="1" ht="10.5" x14ac:dyDescent="0.25">
      <c r="A13" s="2633"/>
      <c r="B13" s="1224"/>
      <c r="C13" s="1224"/>
      <c r="D13" s="2649" t="s">
        <v>74</v>
      </c>
      <c r="E13" s="4870" t="s">
        <v>1048</v>
      </c>
      <c r="F13" s="4871"/>
      <c r="G13" s="4871"/>
      <c r="H13" s="4871"/>
      <c r="I13" s="4871"/>
      <c r="J13" s="4871"/>
      <c r="K13" s="2534"/>
      <c r="L13" s="2650"/>
      <c r="M13" s="2534"/>
      <c r="N13" s="2651"/>
      <c r="O13" s="2534"/>
      <c r="P13" s="2651"/>
      <c r="Q13" s="2534"/>
      <c r="R13" s="2651"/>
      <c r="S13" s="2534"/>
      <c r="T13" s="2651"/>
      <c r="U13" s="2534"/>
      <c r="V13" s="2651"/>
    </row>
    <row r="14" spans="1:37" ht="13.9" customHeight="1" x14ac:dyDescent="0.3">
      <c r="A14" s="2631"/>
      <c r="B14" s="2631"/>
      <c r="C14" s="2631"/>
      <c r="D14" s="2652"/>
      <c r="E14" s="4872">
        <v>2009</v>
      </c>
      <c r="F14" s="4873"/>
      <c r="G14" s="4874"/>
      <c r="H14" s="4873">
        <v>2010</v>
      </c>
      <c r="I14" s="4873"/>
      <c r="J14" s="4874"/>
      <c r="K14" s="4873">
        <v>2011</v>
      </c>
      <c r="L14" s="4873"/>
      <c r="M14" s="4874"/>
      <c r="N14" s="4873">
        <v>2012</v>
      </c>
      <c r="O14" s="4873"/>
      <c r="P14" s="4874"/>
      <c r="Q14" s="4873">
        <v>2013</v>
      </c>
      <c r="R14" s="4873"/>
      <c r="S14" s="4874"/>
      <c r="T14" s="4875">
        <v>2014</v>
      </c>
      <c r="U14" s="4875"/>
      <c r="V14" s="4876"/>
      <c r="W14" s="4877">
        <v>2015</v>
      </c>
      <c r="X14" s="4875"/>
      <c r="Y14" s="4876"/>
      <c r="Z14" s="4877">
        <v>2016</v>
      </c>
      <c r="AA14" s="4875"/>
      <c r="AB14" s="4878"/>
      <c r="AC14" s="4877">
        <v>2017</v>
      </c>
      <c r="AD14" s="4875"/>
      <c r="AE14" s="4878"/>
      <c r="AF14" s="4877">
        <v>2018</v>
      </c>
      <c r="AG14" s="4875"/>
      <c r="AH14" s="4878"/>
      <c r="AI14" s="4877">
        <v>2019</v>
      </c>
      <c r="AJ14" s="4875"/>
      <c r="AK14" s="4878"/>
    </row>
    <row r="15" spans="1:37" ht="28.15" customHeight="1" x14ac:dyDescent="0.3">
      <c r="A15" s="2631"/>
      <c r="B15" s="2631"/>
      <c r="C15" s="2631"/>
      <c r="D15" s="2653" t="s">
        <v>424</v>
      </c>
      <c r="E15" s="2654" t="s">
        <v>1045</v>
      </c>
      <c r="F15" s="2655" t="s">
        <v>1046</v>
      </c>
      <c r="G15" s="2656" t="s">
        <v>653</v>
      </c>
      <c r="H15" s="2655" t="s">
        <v>1045</v>
      </c>
      <c r="I15" s="2655" t="s">
        <v>1046</v>
      </c>
      <c r="J15" s="2656" t="s">
        <v>653</v>
      </c>
      <c r="K15" s="2655" t="s">
        <v>1045</v>
      </c>
      <c r="L15" s="2655" t="s">
        <v>1046</v>
      </c>
      <c r="M15" s="2656" t="s">
        <v>653</v>
      </c>
      <c r="N15" s="2655" t="s">
        <v>1045</v>
      </c>
      <c r="O15" s="2655" t="s">
        <v>1046</v>
      </c>
      <c r="P15" s="2656" t="s">
        <v>653</v>
      </c>
      <c r="Q15" s="2655" t="s">
        <v>1045</v>
      </c>
      <c r="R15" s="2655" t="s">
        <v>1046</v>
      </c>
      <c r="S15" s="2656" t="s">
        <v>653</v>
      </c>
      <c r="T15" s="2657" t="s">
        <v>1045</v>
      </c>
      <c r="U15" s="2657" t="s">
        <v>1046</v>
      </c>
      <c r="V15" s="2658" t="s">
        <v>653</v>
      </c>
      <c r="W15" s="2657" t="s">
        <v>1045</v>
      </c>
      <c r="X15" s="2657" t="s">
        <v>1046</v>
      </c>
      <c r="Y15" s="2658" t="s">
        <v>653</v>
      </c>
      <c r="Z15" s="2657" t="s">
        <v>1045</v>
      </c>
      <c r="AA15" s="2657" t="s">
        <v>1046</v>
      </c>
      <c r="AB15" s="2659" t="s">
        <v>653</v>
      </c>
      <c r="AC15" s="2657" t="s">
        <v>1045</v>
      </c>
      <c r="AD15" s="2657" t="s">
        <v>1046</v>
      </c>
      <c r="AE15" s="2659" t="s">
        <v>653</v>
      </c>
      <c r="AF15" s="2657" t="s">
        <v>1045</v>
      </c>
      <c r="AG15" s="2657" t="s">
        <v>1046</v>
      </c>
      <c r="AH15" s="2659" t="s">
        <v>653</v>
      </c>
      <c r="AI15" s="2657" t="s">
        <v>1045</v>
      </c>
      <c r="AJ15" s="2657" t="s">
        <v>1046</v>
      </c>
      <c r="AK15" s="2659" t="s">
        <v>653</v>
      </c>
    </row>
    <row r="16" spans="1:37" ht="15" customHeight="1" x14ac:dyDescent="0.3">
      <c r="A16" s="2631"/>
      <c r="B16" s="2631"/>
      <c r="C16" s="2631"/>
      <c r="D16" s="2195" t="s">
        <v>402</v>
      </c>
      <c r="E16" s="2660">
        <v>68129</v>
      </c>
      <c r="F16" s="2661">
        <v>34731</v>
      </c>
      <c r="G16" s="2535">
        <f t="shared" ref="G16:G25" si="0">+F16/E16</f>
        <v>0.50978291182903024</v>
      </c>
      <c r="H16" s="2662">
        <v>64090</v>
      </c>
      <c r="I16" s="2661">
        <v>37345</v>
      </c>
      <c r="J16" s="2535">
        <f t="shared" ref="J16:J24" si="1">+I16/H16</f>
        <v>0.58269620845685755</v>
      </c>
      <c r="K16" s="2662">
        <v>65359</v>
      </c>
      <c r="L16" s="2661">
        <v>37997</v>
      </c>
      <c r="M16" s="2535">
        <f t="shared" ref="M16:M25" si="2">+L16/K16</f>
        <v>0.58135834391591057</v>
      </c>
      <c r="N16" s="2662">
        <v>63989</v>
      </c>
      <c r="O16" s="2661">
        <v>39443</v>
      </c>
      <c r="P16" s="2535">
        <f t="shared" ref="P16:P25" si="3">+O16/N16</f>
        <v>0.61640281923455598</v>
      </c>
      <c r="Q16" s="2662">
        <v>72138</v>
      </c>
      <c r="R16" s="2661">
        <v>46840</v>
      </c>
      <c r="S16" s="2535">
        <v>0.64900000000000002</v>
      </c>
      <c r="T16" s="2663">
        <v>66935</v>
      </c>
      <c r="U16" s="2664">
        <v>43777</v>
      </c>
      <c r="V16" s="2665">
        <v>0.65400000000000003</v>
      </c>
      <c r="W16" s="2663">
        <v>87090</v>
      </c>
      <c r="X16" s="2664">
        <v>49475</v>
      </c>
      <c r="Y16" s="2535">
        <v>0.56799999999999995</v>
      </c>
      <c r="Z16" s="2663">
        <v>82902</v>
      </c>
      <c r="AA16" s="2664">
        <v>49168</v>
      </c>
      <c r="AB16" s="2666">
        <f t="shared" ref="AB16:AB25" si="4">AA16/Z16</f>
        <v>0.59308581216375966</v>
      </c>
      <c r="AC16" s="2663">
        <v>67648</v>
      </c>
      <c r="AD16" s="2664">
        <v>43981</v>
      </c>
      <c r="AE16" s="2666">
        <f t="shared" ref="AE16:AE25" si="5">AD16/AC16</f>
        <v>0.65014486754966883</v>
      </c>
      <c r="AF16" s="2663">
        <v>65733</v>
      </c>
      <c r="AG16" s="2664">
        <v>46393</v>
      </c>
      <c r="AH16" s="2666">
        <v>0.70599999999999996</v>
      </c>
      <c r="AI16" s="2663">
        <v>63198</v>
      </c>
      <c r="AJ16" s="2664">
        <v>48331</v>
      </c>
      <c r="AK16" s="2666" t="s">
        <v>1049</v>
      </c>
    </row>
    <row r="17" spans="1:37" ht="15" customHeight="1" x14ac:dyDescent="0.3">
      <c r="A17" s="2631"/>
      <c r="B17" s="2631"/>
      <c r="C17" s="2631"/>
      <c r="D17" s="2195" t="s">
        <v>404</v>
      </c>
      <c r="E17" s="2660">
        <v>29808</v>
      </c>
      <c r="F17" s="2661">
        <v>20680</v>
      </c>
      <c r="G17" s="2535">
        <f t="shared" si="0"/>
        <v>0.69377348362855606</v>
      </c>
      <c r="H17" s="2662">
        <v>27586</v>
      </c>
      <c r="I17" s="2661">
        <v>19484</v>
      </c>
      <c r="J17" s="2535">
        <f t="shared" si="1"/>
        <v>0.70630029725222943</v>
      </c>
      <c r="K17" s="2662">
        <v>25932</v>
      </c>
      <c r="L17" s="2661">
        <v>19618</v>
      </c>
      <c r="M17" s="2535">
        <f t="shared" si="2"/>
        <v>0.75651704457812741</v>
      </c>
      <c r="N17" s="2662">
        <v>24265</v>
      </c>
      <c r="O17" s="2661">
        <v>19676</v>
      </c>
      <c r="P17" s="2535">
        <f t="shared" si="3"/>
        <v>0.81087986812281065</v>
      </c>
      <c r="Q17" s="2662">
        <v>27105</v>
      </c>
      <c r="R17" s="2661">
        <v>23689</v>
      </c>
      <c r="S17" s="2535">
        <v>0.874</v>
      </c>
      <c r="T17" s="2663">
        <v>26440</v>
      </c>
      <c r="U17" s="2664">
        <v>21899</v>
      </c>
      <c r="V17" s="2665">
        <v>0.82799999999999996</v>
      </c>
      <c r="W17" s="2663">
        <v>31161</v>
      </c>
      <c r="X17" s="2664">
        <v>25416</v>
      </c>
      <c r="Y17" s="2535">
        <v>0.81599999999999995</v>
      </c>
      <c r="Z17" s="2663">
        <v>26786</v>
      </c>
      <c r="AA17" s="2664">
        <v>23629</v>
      </c>
      <c r="AB17" s="2666">
        <f t="shared" si="4"/>
        <v>0.88213992384081241</v>
      </c>
      <c r="AC17" s="2663">
        <v>25130</v>
      </c>
      <c r="AD17" s="2664">
        <v>21631</v>
      </c>
      <c r="AE17" s="2666">
        <f t="shared" si="5"/>
        <v>0.86076402705929167</v>
      </c>
      <c r="AF17" s="2663">
        <v>24914</v>
      </c>
      <c r="AG17" s="2664">
        <v>21806</v>
      </c>
      <c r="AH17" s="2666">
        <v>0.875</v>
      </c>
      <c r="AI17" s="2663">
        <v>25572</v>
      </c>
      <c r="AJ17" s="2664">
        <v>22602</v>
      </c>
      <c r="AK17" s="2666" t="s">
        <v>1050</v>
      </c>
    </row>
    <row r="18" spans="1:37" ht="15" customHeight="1" x14ac:dyDescent="0.3">
      <c r="A18" s="2631"/>
      <c r="B18" s="2631"/>
      <c r="C18" s="2631"/>
      <c r="D18" s="2195" t="s">
        <v>407</v>
      </c>
      <c r="E18" s="2660">
        <v>98659</v>
      </c>
      <c r="F18" s="2661">
        <v>70871</v>
      </c>
      <c r="G18" s="2535">
        <f t="shared" si="0"/>
        <v>0.71834297935312541</v>
      </c>
      <c r="H18" s="2662">
        <v>92241</v>
      </c>
      <c r="I18" s="2661">
        <v>72538</v>
      </c>
      <c r="J18" s="2535">
        <f t="shared" si="1"/>
        <v>0.78639650480805712</v>
      </c>
      <c r="K18" s="2662">
        <v>85367</v>
      </c>
      <c r="L18" s="2661">
        <v>69216</v>
      </c>
      <c r="M18" s="2535">
        <f t="shared" si="2"/>
        <v>0.81080511204563821</v>
      </c>
      <c r="N18" s="2662">
        <v>89627</v>
      </c>
      <c r="O18" s="2661">
        <v>75214</v>
      </c>
      <c r="P18" s="2535">
        <f t="shared" si="3"/>
        <v>0.839189083646669</v>
      </c>
      <c r="Q18" s="2662">
        <v>97897</v>
      </c>
      <c r="R18" s="2661">
        <v>85122</v>
      </c>
      <c r="S18" s="2535">
        <v>0.87</v>
      </c>
      <c r="T18" s="2663">
        <v>99478</v>
      </c>
      <c r="U18" s="2664">
        <v>84247</v>
      </c>
      <c r="V18" s="2665">
        <v>0.84699999999999998</v>
      </c>
      <c r="W18" s="2663">
        <v>108442</v>
      </c>
      <c r="X18" s="2664">
        <v>91327</v>
      </c>
      <c r="Y18" s="2535">
        <v>0.84199999999999997</v>
      </c>
      <c r="Z18" s="2663">
        <v>103829</v>
      </c>
      <c r="AA18" s="2664">
        <v>88381</v>
      </c>
      <c r="AB18" s="2666">
        <f t="shared" si="4"/>
        <v>0.851216904718335</v>
      </c>
      <c r="AC18" s="2663">
        <v>97284</v>
      </c>
      <c r="AD18" s="2664">
        <v>82826</v>
      </c>
      <c r="AE18" s="2666">
        <f t="shared" si="5"/>
        <v>0.85138357797787922</v>
      </c>
      <c r="AF18" s="2663">
        <v>94870</v>
      </c>
      <c r="AG18" s="2664">
        <v>83406</v>
      </c>
      <c r="AH18" s="2666">
        <v>0.879</v>
      </c>
      <c r="AI18" s="2663">
        <v>97829</v>
      </c>
      <c r="AJ18" s="2664">
        <v>85342</v>
      </c>
      <c r="AK18" s="2666" t="s">
        <v>1051</v>
      </c>
    </row>
    <row r="19" spans="1:37" ht="15" customHeight="1" x14ac:dyDescent="0.3">
      <c r="A19" s="2631"/>
      <c r="B19" s="2631"/>
      <c r="C19" s="2631"/>
      <c r="D19" s="2195" t="s">
        <v>405</v>
      </c>
      <c r="E19" s="2660">
        <v>132176</v>
      </c>
      <c r="F19" s="2661">
        <v>80733</v>
      </c>
      <c r="G19" s="2535">
        <f t="shared" si="0"/>
        <v>0.61079923738046238</v>
      </c>
      <c r="H19" s="2662">
        <v>122444</v>
      </c>
      <c r="I19" s="2661">
        <v>86556</v>
      </c>
      <c r="J19" s="2535">
        <f t="shared" si="1"/>
        <v>0.70690274737839343</v>
      </c>
      <c r="K19" s="2662">
        <v>122126</v>
      </c>
      <c r="L19" s="2661">
        <v>83204</v>
      </c>
      <c r="M19" s="2535">
        <f t="shared" si="2"/>
        <v>0.68129636604817978</v>
      </c>
      <c r="N19" s="2662">
        <v>127253</v>
      </c>
      <c r="O19" s="2661">
        <v>93003</v>
      </c>
      <c r="P19" s="2535">
        <f t="shared" si="3"/>
        <v>0.7308511390694129</v>
      </c>
      <c r="Q19" s="2662">
        <v>145278</v>
      </c>
      <c r="R19" s="2661">
        <v>112403</v>
      </c>
      <c r="S19" s="2535">
        <v>0.77400000000000002</v>
      </c>
      <c r="T19" s="2663">
        <v>139367</v>
      </c>
      <c r="U19" s="2664">
        <v>97144</v>
      </c>
      <c r="V19" s="2665">
        <v>0.69699999999999995</v>
      </c>
      <c r="W19" s="2663">
        <v>162658</v>
      </c>
      <c r="X19" s="2664">
        <v>98761</v>
      </c>
      <c r="Y19" s="2535">
        <v>0.60699999999999998</v>
      </c>
      <c r="Z19" s="2663">
        <v>147648</v>
      </c>
      <c r="AA19" s="2664">
        <v>98032</v>
      </c>
      <c r="AB19" s="2666">
        <f t="shared" si="4"/>
        <v>0.66395752058951019</v>
      </c>
      <c r="AC19" s="2663">
        <v>124317</v>
      </c>
      <c r="AD19" s="2664">
        <v>90589</v>
      </c>
      <c r="AE19" s="2666">
        <f t="shared" si="5"/>
        <v>0.72869358173057586</v>
      </c>
      <c r="AF19" s="2663">
        <v>116152</v>
      </c>
      <c r="AG19" s="2664">
        <v>88485</v>
      </c>
      <c r="AH19" s="2666">
        <v>0.76200000000000001</v>
      </c>
      <c r="AI19" s="2663">
        <v>116937</v>
      </c>
      <c r="AJ19" s="2664">
        <v>95017</v>
      </c>
      <c r="AK19" s="2666" t="s">
        <v>1052</v>
      </c>
    </row>
    <row r="20" spans="1:37" ht="15" customHeight="1" x14ac:dyDescent="0.3">
      <c r="A20" s="2631"/>
      <c r="B20" s="2631"/>
      <c r="C20" s="2631"/>
      <c r="D20" s="2195" t="s">
        <v>409</v>
      </c>
      <c r="E20" s="2660">
        <v>83350</v>
      </c>
      <c r="F20" s="2661">
        <v>40776</v>
      </c>
      <c r="G20" s="2535">
        <f t="shared" si="0"/>
        <v>0.48921415716856631</v>
      </c>
      <c r="H20" s="2662">
        <v>94632</v>
      </c>
      <c r="I20" s="2661">
        <v>54771</v>
      </c>
      <c r="J20" s="2535">
        <f t="shared" si="1"/>
        <v>0.57877884859244233</v>
      </c>
      <c r="K20" s="2662">
        <v>73731</v>
      </c>
      <c r="L20" s="2661">
        <v>47091</v>
      </c>
      <c r="M20" s="2535">
        <f t="shared" si="2"/>
        <v>0.63868657688082353</v>
      </c>
      <c r="N20" s="2662">
        <v>77360</v>
      </c>
      <c r="O20" s="2661">
        <v>51745</v>
      </c>
      <c r="P20" s="2535">
        <f>+O20/N20</f>
        <v>0.66888572905894517</v>
      </c>
      <c r="Q20" s="2662">
        <v>82483</v>
      </c>
      <c r="R20" s="2661">
        <v>59184</v>
      </c>
      <c r="S20" s="2535">
        <v>0.71799999999999997</v>
      </c>
      <c r="T20" s="2663">
        <v>72990</v>
      </c>
      <c r="U20" s="2664">
        <v>53179</v>
      </c>
      <c r="V20" s="2665">
        <v>0.72899999999999998</v>
      </c>
      <c r="W20" s="2663">
        <v>101575</v>
      </c>
      <c r="X20" s="2664">
        <v>66946</v>
      </c>
      <c r="Y20" s="2535">
        <v>0.65900000000000003</v>
      </c>
      <c r="Z20" s="2663">
        <v>101807</v>
      </c>
      <c r="AA20" s="2664">
        <v>63595</v>
      </c>
      <c r="AB20" s="2666">
        <f t="shared" si="4"/>
        <v>0.62466235131179582</v>
      </c>
      <c r="AC20" s="2663">
        <v>83228</v>
      </c>
      <c r="AD20" s="2664">
        <v>54625</v>
      </c>
      <c r="AE20" s="2666">
        <f t="shared" si="5"/>
        <v>0.65632960061517753</v>
      </c>
      <c r="AF20" s="2663">
        <v>76730</v>
      </c>
      <c r="AG20" s="2664">
        <v>53254</v>
      </c>
      <c r="AH20" s="2666">
        <v>0.69399999999999995</v>
      </c>
      <c r="AI20" s="2663">
        <v>70847</v>
      </c>
      <c r="AJ20" s="2664">
        <v>51855</v>
      </c>
      <c r="AK20" s="2666" t="s">
        <v>1053</v>
      </c>
    </row>
    <row r="21" spans="1:37" ht="15" customHeight="1" x14ac:dyDescent="0.3">
      <c r="A21" s="2631"/>
      <c r="B21" s="2631"/>
      <c r="C21" s="2631"/>
      <c r="D21" s="2195" t="s">
        <v>408</v>
      </c>
      <c r="E21" s="2660">
        <v>53978</v>
      </c>
      <c r="F21" s="2661">
        <v>25852</v>
      </c>
      <c r="G21" s="2535">
        <f t="shared" si="0"/>
        <v>0.47893586275890176</v>
      </c>
      <c r="H21" s="2662">
        <v>51695</v>
      </c>
      <c r="I21" s="2661">
        <v>29382</v>
      </c>
      <c r="J21" s="2535">
        <f t="shared" si="1"/>
        <v>0.56837218299642134</v>
      </c>
      <c r="K21" s="2662">
        <v>48135</v>
      </c>
      <c r="L21" s="2661">
        <v>31187</v>
      </c>
      <c r="M21" s="2535">
        <f t="shared" si="2"/>
        <v>0.64790692843045605</v>
      </c>
      <c r="N21" s="2662">
        <v>47889</v>
      </c>
      <c r="O21" s="2661">
        <v>33504</v>
      </c>
      <c r="P21" s="2535">
        <f t="shared" si="3"/>
        <v>0.69961786631585543</v>
      </c>
      <c r="Q21" s="2662">
        <v>50053</v>
      </c>
      <c r="R21" s="2661">
        <v>38836</v>
      </c>
      <c r="S21" s="2535">
        <v>0.77600000000000002</v>
      </c>
      <c r="T21" s="2663">
        <v>45081</v>
      </c>
      <c r="U21" s="2664">
        <v>35615</v>
      </c>
      <c r="V21" s="2665">
        <v>0.79</v>
      </c>
      <c r="W21" s="2663">
        <v>54980</v>
      </c>
      <c r="X21" s="2664">
        <v>43229</v>
      </c>
      <c r="Y21" s="2535">
        <v>0.78600000000000003</v>
      </c>
      <c r="Z21" s="2663">
        <v>54251</v>
      </c>
      <c r="AA21" s="2664">
        <v>41801</v>
      </c>
      <c r="AB21" s="2666">
        <f t="shared" si="4"/>
        <v>0.77051114265174836</v>
      </c>
      <c r="AC21" s="2663">
        <v>48483</v>
      </c>
      <c r="AD21" s="2664">
        <v>36273</v>
      </c>
      <c r="AE21" s="2666">
        <f t="shared" si="5"/>
        <v>0.74815914856753918</v>
      </c>
      <c r="AF21" s="2663">
        <v>44612</v>
      </c>
      <c r="AG21" s="2664">
        <v>35225</v>
      </c>
      <c r="AH21" s="2666">
        <v>0.79</v>
      </c>
      <c r="AI21" s="2663">
        <v>43559</v>
      </c>
      <c r="AJ21" s="2664">
        <v>34995</v>
      </c>
      <c r="AK21" s="2666" t="s">
        <v>1054</v>
      </c>
    </row>
    <row r="22" spans="1:37" ht="15" customHeight="1" x14ac:dyDescent="0.3">
      <c r="A22" s="2631"/>
      <c r="B22" s="2631"/>
      <c r="C22" s="2631"/>
      <c r="D22" s="2195" t="s">
        <v>406</v>
      </c>
      <c r="E22" s="2660">
        <v>30665</v>
      </c>
      <c r="F22" s="2661">
        <v>20700</v>
      </c>
      <c r="G22" s="2535">
        <f t="shared" si="0"/>
        <v>0.67503668677645523</v>
      </c>
      <c r="H22" s="2662">
        <v>28909</v>
      </c>
      <c r="I22" s="2661">
        <v>21874</v>
      </c>
      <c r="J22" s="2535">
        <f t="shared" si="1"/>
        <v>0.75665017814521429</v>
      </c>
      <c r="K22" s="2662">
        <v>25364</v>
      </c>
      <c r="L22" s="2661">
        <v>19737</v>
      </c>
      <c r="M22" s="2535">
        <f t="shared" si="2"/>
        <v>0.77815013404825739</v>
      </c>
      <c r="N22" s="2662">
        <v>27174</v>
      </c>
      <c r="O22" s="2661">
        <v>21609</v>
      </c>
      <c r="P22" s="2535">
        <f t="shared" si="3"/>
        <v>0.79520865533230289</v>
      </c>
      <c r="Q22" s="2662">
        <v>29140</v>
      </c>
      <c r="R22" s="2661">
        <v>25414</v>
      </c>
      <c r="S22" s="2535">
        <v>0.872</v>
      </c>
      <c r="T22" s="2663">
        <v>26066</v>
      </c>
      <c r="U22" s="2664">
        <v>22061</v>
      </c>
      <c r="V22" s="2665">
        <v>0.84599999999999997</v>
      </c>
      <c r="W22" s="2663">
        <v>33286</v>
      </c>
      <c r="X22" s="2664">
        <v>27118</v>
      </c>
      <c r="Y22" s="2535">
        <v>0.81499999999999995</v>
      </c>
      <c r="Z22" s="2663">
        <v>32045</v>
      </c>
      <c r="AA22" s="2664">
        <v>26448</v>
      </c>
      <c r="AB22" s="2666">
        <f t="shared" si="4"/>
        <v>0.82533936651583706</v>
      </c>
      <c r="AC22" s="2663">
        <v>30792</v>
      </c>
      <c r="AD22" s="2664">
        <v>24462</v>
      </c>
      <c r="AE22" s="2666">
        <f t="shared" si="5"/>
        <v>0.79442712392829307</v>
      </c>
      <c r="AF22" s="2663">
        <v>29061</v>
      </c>
      <c r="AG22" s="2664">
        <v>23578</v>
      </c>
      <c r="AH22" s="2666">
        <v>0.81100000000000005</v>
      </c>
      <c r="AI22" s="2663">
        <v>26819</v>
      </c>
      <c r="AJ22" s="2664">
        <v>23272</v>
      </c>
      <c r="AK22" s="2666" t="s">
        <v>1055</v>
      </c>
    </row>
    <row r="23" spans="1:37" ht="15" customHeight="1" x14ac:dyDescent="0.3">
      <c r="A23" s="2631"/>
      <c r="B23" s="2631"/>
      <c r="C23" s="2631"/>
      <c r="D23" s="2195" t="s">
        <v>403</v>
      </c>
      <c r="E23" s="2660">
        <v>10377</v>
      </c>
      <c r="F23" s="2661">
        <v>6356</v>
      </c>
      <c r="G23" s="2535">
        <f t="shared" si="0"/>
        <v>0.61250843210947292</v>
      </c>
      <c r="H23" s="2662">
        <v>10182</v>
      </c>
      <c r="I23" s="2661">
        <v>7366</v>
      </c>
      <c r="J23" s="2535">
        <f t="shared" si="1"/>
        <v>0.72343351011589074</v>
      </c>
      <c r="K23" s="2662">
        <v>10116</v>
      </c>
      <c r="L23" s="2661">
        <v>6957</v>
      </c>
      <c r="M23" s="2535">
        <f t="shared" si="2"/>
        <v>0.68772241992882566</v>
      </c>
      <c r="N23" s="2662">
        <v>8925</v>
      </c>
      <c r="O23" s="2661">
        <v>6661</v>
      </c>
      <c r="P23" s="2535">
        <f t="shared" si="3"/>
        <v>0.74633053221288514</v>
      </c>
      <c r="Q23" s="2662">
        <v>10403</v>
      </c>
      <c r="R23" s="2661">
        <v>7749</v>
      </c>
      <c r="S23" s="2535">
        <v>0.745</v>
      </c>
      <c r="T23" s="2663">
        <v>8794</v>
      </c>
      <c r="U23" s="2664">
        <v>6715</v>
      </c>
      <c r="V23" s="2665">
        <v>0.76400000000000001</v>
      </c>
      <c r="W23" s="2663">
        <v>11623</v>
      </c>
      <c r="X23" s="2664">
        <v>8064</v>
      </c>
      <c r="Y23" s="2535">
        <v>0.69399999999999995</v>
      </c>
      <c r="Z23" s="2663">
        <v>10041</v>
      </c>
      <c r="AA23" s="2664">
        <v>7902</v>
      </c>
      <c r="AB23" s="2666">
        <f t="shared" si="4"/>
        <v>0.78697340902300572</v>
      </c>
      <c r="AC23" s="2663">
        <v>8735</v>
      </c>
      <c r="AD23" s="2664">
        <v>6608</v>
      </c>
      <c r="AE23" s="2666">
        <f t="shared" si="5"/>
        <v>0.75649685174585002</v>
      </c>
      <c r="AF23" s="2663">
        <v>9909</v>
      </c>
      <c r="AG23" s="2664">
        <v>7264</v>
      </c>
      <c r="AH23" s="2666">
        <v>0.73299999999999998</v>
      </c>
      <c r="AI23" s="2663">
        <v>9138</v>
      </c>
      <c r="AJ23" s="2664">
        <v>6990</v>
      </c>
      <c r="AK23" s="2666" t="s">
        <v>1049</v>
      </c>
    </row>
    <row r="24" spans="1:37" ht="15" customHeight="1" x14ac:dyDescent="0.3">
      <c r="A24" s="2631"/>
      <c r="B24" s="2631"/>
      <c r="C24" s="2631"/>
      <c r="D24" s="2667" t="s">
        <v>401</v>
      </c>
      <c r="E24" s="2668">
        <v>44931</v>
      </c>
      <c r="F24" s="2669">
        <v>34017</v>
      </c>
      <c r="G24" s="2670">
        <f t="shared" si="0"/>
        <v>0.75709421112372299</v>
      </c>
      <c r="H24" s="2671">
        <v>45764</v>
      </c>
      <c r="I24" s="2669">
        <v>34831</v>
      </c>
      <c r="J24" s="2670">
        <f t="shared" si="1"/>
        <v>0.76110042828424085</v>
      </c>
      <c r="K24" s="2671">
        <v>39960</v>
      </c>
      <c r="L24" s="2669">
        <v>33110</v>
      </c>
      <c r="M24" s="2670">
        <f t="shared" si="2"/>
        <v>0.82857857857857853</v>
      </c>
      <c r="N24" s="2671">
        <v>44670</v>
      </c>
      <c r="O24" s="2669">
        <v>36974</v>
      </c>
      <c r="P24" s="2670">
        <f t="shared" si="3"/>
        <v>0.82771434967539737</v>
      </c>
      <c r="Q24" s="2671">
        <v>47615</v>
      </c>
      <c r="R24" s="2669">
        <v>40542</v>
      </c>
      <c r="S24" s="2670">
        <v>0.85099999999999998</v>
      </c>
      <c r="T24" s="2672">
        <v>47709</v>
      </c>
      <c r="U24" s="2673">
        <v>39237</v>
      </c>
      <c r="V24" s="2674">
        <v>0.82199999999999995</v>
      </c>
      <c r="W24" s="2663">
        <v>53721</v>
      </c>
      <c r="X24" s="2664">
        <v>45489</v>
      </c>
      <c r="Y24" s="2535">
        <v>0.84699999999999998</v>
      </c>
      <c r="Z24" s="2663">
        <v>50869</v>
      </c>
      <c r="AA24" s="2664">
        <v>43716</v>
      </c>
      <c r="AB24" s="2666">
        <f t="shared" si="4"/>
        <v>0.85938390768444439</v>
      </c>
      <c r="AC24" s="2663">
        <v>48867</v>
      </c>
      <c r="AD24" s="2664">
        <v>40440</v>
      </c>
      <c r="AE24" s="2666">
        <f t="shared" si="5"/>
        <v>0.82755233593222421</v>
      </c>
      <c r="AF24" s="2663">
        <v>50754</v>
      </c>
      <c r="AG24" s="2664">
        <v>41350</v>
      </c>
      <c r="AH24" s="2666">
        <v>0.81499999999999995</v>
      </c>
      <c r="AI24" s="2663">
        <v>50404</v>
      </c>
      <c r="AJ24" s="2664">
        <v>41502</v>
      </c>
      <c r="AK24" s="2666" t="s">
        <v>1056</v>
      </c>
    </row>
    <row r="25" spans="1:37" ht="15" customHeight="1" x14ac:dyDescent="0.3">
      <c r="A25" s="2631"/>
      <c r="B25" s="2631"/>
      <c r="C25" s="2631"/>
      <c r="D25" s="2522" t="s">
        <v>1057</v>
      </c>
      <c r="E25" s="2675">
        <f>SUM(E16:E24)</f>
        <v>552073</v>
      </c>
      <c r="F25" s="2676">
        <f>SUM(F16:F24)</f>
        <v>334716</v>
      </c>
      <c r="G25" s="2677">
        <f t="shared" si="0"/>
        <v>0.60628938564284074</v>
      </c>
      <c r="H25" s="2678">
        <f>SUM(H16:H24)</f>
        <v>537543</v>
      </c>
      <c r="I25" s="2676">
        <f>SUM(I16:I24)</f>
        <v>364147</v>
      </c>
      <c r="J25" s="2677">
        <v>0.67800000000000005</v>
      </c>
      <c r="K25" s="2678">
        <f>SUM(K16:K24)</f>
        <v>496090</v>
      </c>
      <c r="L25" s="2676">
        <f>SUM(L16:L24)</f>
        <v>348117</v>
      </c>
      <c r="M25" s="2677">
        <f t="shared" si="2"/>
        <v>0.70172146183152251</v>
      </c>
      <c r="N25" s="2678">
        <v>511152</v>
      </c>
      <c r="O25" s="2676">
        <v>377829</v>
      </c>
      <c r="P25" s="2677">
        <f t="shared" si="3"/>
        <v>0.73917151845243689</v>
      </c>
      <c r="Q25" s="2676">
        <v>562112</v>
      </c>
      <c r="R25" s="2676">
        <v>439779</v>
      </c>
      <c r="S25" s="2656">
        <v>0.78200000000000003</v>
      </c>
      <c r="T25" s="2679">
        <f>SUM(T16:T24)</f>
        <v>532860</v>
      </c>
      <c r="U25" s="2679">
        <f>SUM(U16:U24)</f>
        <v>403874</v>
      </c>
      <c r="V25" s="2658">
        <v>0.75800000000000001</v>
      </c>
      <c r="W25" s="2680">
        <v>644536</v>
      </c>
      <c r="X25" s="2681">
        <v>455825</v>
      </c>
      <c r="Y25" s="2682">
        <v>0.70699999999999996</v>
      </c>
      <c r="Z25" s="2681">
        <v>610178</v>
      </c>
      <c r="AA25" s="2681">
        <v>442672</v>
      </c>
      <c r="AB25" s="2683">
        <f t="shared" si="4"/>
        <v>0.72548010580519129</v>
      </c>
      <c r="AC25" s="2681">
        <v>534484</v>
      </c>
      <c r="AD25" s="2681">
        <v>401435</v>
      </c>
      <c r="AE25" s="2683">
        <f t="shared" si="5"/>
        <v>0.75107019106278206</v>
      </c>
      <c r="AF25" s="2681">
        <f>SUM(AF16:AF24)</f>
        <v>512735</v>
      </c>
      <c r="AG25" s="2681">
        <f>SUM(AG16:AG24)</f>
        <v>400761</v>
      </c>
      <c r="AH25" s="2683">
        <v>0.78200000000000003</v>
      </c>
      <c r="AI25" s="2681">
        <v>504303</v>
      </c>
      <c r="AJ25" s="2681">
        <v>409906</v>
      </c>
      <c r="AK25" s="2683" t="s">
        <v>1052</v>
      </c>
    </row>
    <row r="26" spans="1:37" x14ac:dyDescent="0.3">
      <c r="A26" s="2631"/>
      <c r="B26" s="2631"/>
      <c r="C26" s="2631"/>
      <c r="D26" s="2195"/>
      <c r="E26" s="2684"/>
      <c r="F26" s="2684"/>
      <c r="G26" s="2534"/>
      <c r="H26" s="2195"/>
      <c r="I26" s="2684"/>
      <c r="J26" s="2534"/>
      <c r="K26" s="1869"/>
      <c r="L26" s="1869"/>
      <c r="M26" s="1869"/>
      <c r="N26" s="1869"/>
      <c r="O26" s="1869"/>
      <c r="P26" s="1869"/>
      <c r="Q26" s="1869"/>
      <c r="R26" s="1869"/>
      <c r="S26" s="1869"/>
      <c r="T26" s="1869"/>
      <c r="U26" s="1869"/>
      <c r="V26" s="1869"/>
      <c r="W26" s="1869"/>
      <c r="X26" s="1869"/>
    </row>
    <row r="27" spans="1:37" x14ac:dyDescent="0.3">
      <c r="A27" s="2631"/>
      <c r="B27" s="2631"/>
      <c r="C27" s="2631"/>
      <c r="D27" s="2195"/>
      <c r="E27" s="2684"/>
      <c r="F27" s="2684"/>
      <c r="G27" s="2534"/>
      <c r="H27" s="2195"/>
      <c r="I27" s="2684"/>
      <c r="J27" s="2534"/>
      <c r="K27" s="1869"/>
      <c r="L27" s="1869"/>
      <c r="M27" s="1869"/>
      <c r="N27" s="1869"/>
      <c r="O27" s="1869"/>
      <c r="P27" s="1869"/>
      <c r="Q27" s="1869"/>
      <c r="R27" s="1869"/>
      <c r="S27" s="1869"/>
      <c r="T27" s="1869"/>
      <c r="U27" s="1869"/>
      <c r="V27" s="1869"/>
      <c r="W27" s="1869"/>
      <c r="X27" s="1869"/>
    </row>
    <row r="28" spans="1:37" x14ac:dyDescent="0.3">
      <c r="A28" s="2631"/>
      <c r="B28" s="2631"/>
      <c r="C28" s="2631"/>
      <c r="D28" s="2195"/>
      <c r="E28" s="2684"/>
      <c r="F28" s="2684"/>
      <c r="G28" s="2534"/>
      <c r="H28" s="2195"/>
      <c r="I28" s="2684"/>
      <c r="J28" s="2534"/>
      <c r="K28" s="1869"/>
      <c r="L28" s="1869"/>
      <c r="M28" s="1869"/>
      <c r="N28" s="1869"/>
      <c r="O28" s="1869"/>
      <c r="P28" s="1869"/>
      <c r="Q28" s="1869"/>
      <c r="R28" s="1869"/>
      <c r="S28" s="1869"/>
      <c r="T28" s="1869"/>
      <c r="U28" s="1869"/>
      <c r="V28" s="1869"/>
      <c r="W28" s="1869"/>
      <c r="X28" s="1869"/>
    </row>
    <row r="29" spans="1:37" x14ac:dyDescent="0.3">
      <c r="A29" s="2631"/>
      <c r="B29" s="2631"/>
      <c r="C29" s="2631"/>
      <c r="D29" s="2195"/>
      <c r="E29" s="2684"/>
      <c r="F29" s="2684"/>
      <c r="G29" s="2534"/>
      <c r="H29" s="2195"/>
      <c r="I29" s="2684"/>
      <c r="J29" s="2534"/>
      <c r="K29" s="1869"/>
      <c r="L29" s="1869"/>
      <c r="M29" s="1869"/>
      <c r="N29" s="1869"/>
      <c r="O29" s="1869"/>
      <c r="P29" s="1869"/>
      <c r="Q29" s="1869"/>
      <c r="R29" s="1869"/>
      <c r="S29" s="1869"/>
      <c r="T29" s="1869"/>
      <c r="U29" s="1869"/>
      <c r="V29" s="1869"/>
      <c r="W29" s="1869"/>
      <c r="X29" s="1869"/>
    </row>
    <row r="30" spans="1:37" x14ac:dyDescent="0.3">
      <c r="A30" s="2631"/>
      <c r="B30" s="2631"/>
      <c r="C30" s="2631"/>
      <c r="D30" s="2195"/>
      <c r="E30" s="2684"/>
      <c r="F30" s="2684"/>
      <c r="G30" s="2534"/>
      <c r="H30" s="2195"/>
      <c r="I30" s="2684"/>
      <c r="J30" s="2534"/>
      <c r="K30" s="1869"/>
      <c r="L30" s="1869"/>
      <c r="M30" s="1869"/>
      <c r="N30" s="1869"/>
      <c r="O30" s="1869"/>
      <c r="P30" s="1869"/>
      <c r="Q30" s="1869"/>
      <c r="R30" s="1869"/>
      <c r="S30" s="1869"/>
      <c r="T30" s="1869"/>
      <c r="U30" s="1869"/>
      <c r="V30" s="1869"/>
      <c r="W30" s="1869"/>
      <c r="X30" s="1869"/>
    </row>
    <row r="31" spans="1:37" x14ac:dyDescent="0.3">
      <c r="A31" s="2631"/>
      <c r="B31" s="2631"/>
      <c r="C31" s="2631"/>
      <c r="D31" s="2195"/>
      <c r="E31" s="2684"/>
      <c r="F31" s="2684"/>
      <c r="G31" s="2534"/>
      <c r="H31" s="2195"/>
      <c r="I31" s="2684"/>
      <c r="J31" s="2534"/>
      <c r="K31" s="1869"/>
      <c r="L31" s="1869"/>
      <c r="M31" s="1869"/>
      <c r="N31" s="1869"/>
      <c r="O31" s="1869"/>
      <c r="P31" s="1869"/>
      <c r="Q31" s="1869"/>
      <c r="R31" s="1869"/>
      <c r="S31" s="1869"/>
      <c r="T31" s="1869"/>
      <c r="U31" s="1869"/>
      <c r="V31" s="1869"/>
      <c r="W31" s="1869"/>
      <c r="X31" s="1869"/>
    </row>
    <row r="32" spans="1:37" x14ac:dyDescent="0.3">
      <c r="A32" s="2631"/>
      <c r="B32" s="2631"/>
      <c r="C32" s="2631"/>
      <c r="D32" s="2195"/>
      <c r="E32" s="2684"/>
      <c r="F32" s="2684"/>
      <c r="G32" s="2534"/>
      <c r="H32" s="2195"/>
      <c r="I32" s="2684"/>
      <c r="J32" s="2534"/>
      <c r="K32" s="1869"/>
      <c r="L32" s="1869"/>
      <c r="M32" s="1869"/>
      <c r="N32" s="1869"/>
      <c r="O32" s="1869"/>
      <c r="P32" s="1869"/>
      <c r="Q32" s="1869"/>
      <c r="R32" s="1869"/>
      <c r="S32" s="1869"/>
      <c r="T32" s="1869"/>
      <c r="U32" s="1869"/>
      <c r="V32" s="1869"/>
      <c r="W32" s="1869"/>
      <c r="X32" s="1869"/>
    </row>
    <row r="33" spans="1:34" x14ac:dyDescent="0.3">
      <c r="A33" s="2631"/>
      <c r="B33" s="2631"/>
      <c r="C33" s="2631"/>
      <c r="D33" s="2195"/>
      <c r="E33" s="2684"/>
      <c r="F33" s="2684"/>
      <c r="G33" s="2534"/>
      <c r="H33" s="2195"/>
      <c r="I33" s="2684"/>
      <c r="J33" s="2534"/>
      <c r="K33" s="1869"/>
      <c r="L33" s="1869"/>
      <c r="M33" s="1869"/>
      <c r="N33" s="1869"/>
      <c r="O33" s="1869"/>
      <c r="P33" s="1869"/>
      <c r="Q33" s="1869"/>
      <c r="R33" s="1869"/>
      <c r="S33" s="1869"/>
      <c r="T33" s="1869"/>
      <c r="U33" s="1869"/>
      <c r="V33" s="1869"/>
      <c r="W33" s="1869"/>
      <c r="X33" s="1869"/>
    </row>
    <row r="34" spans="1:34" x14ac:dyDescent="0.3">
      <c r="A34" s="2631"/>
      <c r="B34" s="2631"/>
      <c r="C34" s="2631"/>
      <c r="D34" s="2195"/>
      <c r="E34" s="2684"/>
      <c r="F34" s="2684"/>
      <c r="G34" s="2534"/>
      <c r="H34" s="2195"/>
      <c r="I34" s="2684"/>
      <c r="J34" s="2534"/>
      <c r="K34" s="1869"/>
      <c r="L34" s="1869"/>
      <c r="M34" s="1869"/>
      <c r="N34" s="1869"/>
      <c r="O34" s="1869"/>
      <c r="P34" s="1869"/>
      <c r="Q34" s="1869"/>
      <c r="R34" s="1869"/>
      <c r="S34" s="1869"/>
      <c r="T34" s="1869"/>
      <c r="U34" s="1869"/>
      <c r="V34" s="1869"/>
      <c r="W34" s="1869"/>
      <c r="X34" s="1869"/>
    </row>
    <row r="35" spans="1:34" x14ac:dyDescent="0.3">
      <c r="A35" s="2631"/>
      <c r="B35" s="2631"/>
      <c r="C35" s="2631"/>
      <c r="D35" s="2195"/>
      <c r="E35" s="2684"/>
      <c r="F35" s="2684"/>
      <c r="G35" s="2534"/>
      <c r="H35" s="2195"/>
      <c r="I35" s="2684"/>
      <c r="J35" s="2534"/>
      <c r="K35" s="1869"/>
      <c r="L35" s="1869"/>
      <c r="M35" s="1869"/>
      <c r="N35" s="1869"/>
      <c r="O35" s="1869"/>
      <c r="P35" s="1869"/>
      <c r="Q35" s="1869"/>
      <c r="R35" s="1869"/>
      <c r="S35" s="1869"/>
      <c r="T35" s="1869"/>
      <c r="U35" s="1869"/>
      <c r="V35" s="1869"/>
      <c r="W35" s="1869"/>
      <c r="X35" s="1869"/>
    </row>
    <row r="36" spans="1:34" x14ac:dyDescent="0.3">
      <c r="A36" s="2631"/>
      <c r="B36" s="2631"/>
      <c r="C36" s="2631"/>
      <c r="D36" s="2195"/>
      <c r="E36" s="2684"/>
      <c r="F36" s="2684"/>
      <c r="G36" s="2534"/>
      <c r="H36" s="2195"/>
      <c r="I36" s="2684"/>
      <c r="J36" s="2534"/>
      <c r="K36" s="1869"/>
      <c r="L36" s="1869"/>
      <c r="M36" s="1869"/>
      <c r="N36" s="1869"/>
      <c r="O36" s="1869"/>
      <c r="P36" s="1869"/>
      <c r="Q36" s="1869"/>
      <c r="R36" s="1869"/>
      <c r="S36" s="1869"/>
      <c r="T36" s="1869"/>
      <c r="U36" s="1869"/>
      <c r="V36" s="1869"/>
      <c r="W36" s="1869"/>
      <c r="X36" s="1869"/>
    </row>
    <row r="37" spans="1:34" x14ac:dyDescent="0.3">
      <c r="A37" s="2631"/>
      <c r="B37" s="2631"/>
      <c r="C37" s="2631"/>
      <c r="D37" s="2195"/>
      <c r="E37" s="2684"/>
      <c r="F37" s="2684"/>
      <c r="G37" s="2534"/>
      <c r="H37" s="2195"/>
      <c r="I37" s="2684"/>
      <c r="J37" s="2534"/>
      <c r="K37" s="1869"/>
      <c r="L37" s="1869"/>
      <c r="M37" s="1869"/>
      <c r="N37" s="1869"/>
      <c r="O37" s="1869"/>
      <c r="P37" s="1869"/>
      <c r="Q37" s="1869"/>
      <c r="R37" s="1869"/>
      <c r="S37" s="1869"/>
      <c r="T37" s="1869"/>
      <c r="U37" s="1869"/>
      <c r="V37" s="1869"/>
      <c r="W37" s="1869"/>
      <c r="X37" s="1869"/>
    </row>
    <row r="38" spans="1:34" x14ac:dyDescent="0.3">
      <c r="A38" s="2631"/>
      <c r="B38" s="2631"/>
      <c r="C38" s="2631"/>
      <c r="D38" s="2195"/>
      <c r="E38" s="2684"/>
      <c r="F38" s="2684"/>
      <c r="G38" s="2534"/>
      <c r="H38" s="2195"/>
      <c r="I38" s="2684"/>
      <c r="J38" s="2534"/>
      <c r="K38" s="1869"/>
      <c r="L38" s="1869"/>
      <c r="M38" s="1869"/>
      <c r="N38" s="1869"/>
      <c r="O38" s="1869"/>
      <c r="P38" s="1869"/>
      <c r="Q38" s="1869"/>
      <c r="R38" s="1869"/>
      <c r="S38" s="1869"/>
      <c r="T38" s="1869"/>
      <c r="U38" s="1869"/>
      <c r="V38" s="1869"/>
      <c r="W38" s="1869"/>
      <c r="X38" s="1869"/>
    </row>
    <row r="39" spans="1:34" x14ac:dyDescent="0.3">
      <c r="A39" s="2631"/>
      <c r="B39" s="2631"/>
      <c r="C39" s="2631"/>
      <c r="D39" s="2195"/>
      <c r="E39" s="2684"/>
      <c r="F39" s="2684"/>
      <c r="G39" s="2534"/>
      <c r="H39" s="2195"/>
      <c r="I39" s="2684"/>
      <c r="J39" s="2534"/>
      <c r="K39" s="1869"/>
      <c r="L39" s="1869"/>
      <c r="M39" s="1869"/>
      <c r="N39" s="1869"/>
      <c r="O39" s="1869"/>
      <c r="P39" s="1869"/>
      <c r="Q39" s="1869"/>
      <c r="R39" s="1869"/>
      <c r="S39" s="1869"/>
      <c r="T39" s="1869"/>
      <c r="U39" s="1869"/>
      <c r="V39" s="1869"/>
      <c r="W39" s="1869"/>
      <c r="X39" s="1869"/>
    </row>
    <row r="40" spans="1:34" x14ac:dyDescent="0.3">
      <c r="A40" s="2631"/>
      <c r="B40" s="2631"/>
      <c r="C40" s="2631"/>
      <c r="D40" s="2195"/>
      <c r="E40" s="2684"/>
      <c r="F40" s="2684"/>
      <c r="G40" s="2534"/>
      <c r="H40" s="2195"/>
      <c r="I40" s="2684"/>
      <c r="J40" s="2534"/>
      <c r="K40" s="1869"/>
      <c r="L40" s="1869"/>
      <c r="M40" s="1869"/>
      <c r="N40" s="1869"/>
      <c r="O40" s="1869"/>
      <c r="P40" s="1869"/>
      <c r="Q40" s="1869"/>
      <c r="R40" s="1869"/>
      <c r="S40" s="1869"/>
      <c r="T40" s="1869"/>
      <c r="U40" s="1869"/>
      <c r="V40" s="1869"/>
      <c r="W40" s="1869"/>
      <c r="X40" s="1869"/>
    </row>
    <row r="41" spans="1:34" x14ac:dyDescent="0.3">
      <c r="A41" s="2631"/>
      <c r="B41" s="2631"/>
      <c r="C41" s="2631"/>
      <c r="D41" s="2195"/>
      <c r="E41" s="2684"/>
      <c r="F41" s="2685"/>
      <c r="G41" s="2534"/>
      <c r="H41" s="2195"/>
      <c r="I41" s="2685"/>
      <c r="J41" s="2534"/>
      <c r="K41" s="1869"/>
      <c r="L41" s="1869"/>
      <c r="M41" s="1869"/>
      <c r="N41" s="1869"/>
      <c r="O41" s="1869"/>
      <c r="P41" s="1869"/>
      <c r="Q41" s="1869"/>
      <c r="R41" s="1869"/>
      <c r="S41" s="1869"/>
      <c r="T41" s="1869"/>
      <c r="U41" s="1869"/>
      <c r="V41" s="1869"/>
      <c r="W41" s="1869"/>
      <c r="X41" s="1869"/>
    </row>
    <row r="42" spans="1:34" x14ac:dyDescent="0.3">
      <c r="A42" s="2631"/>
      <c r="B42" s="2631"/>
      <c r="C42" s="2631"/>
      <c r="D42" s="1869"/>
      <c r="E42" s="1869"/>
      <c r="F42" s="1869"/>
      <c r="G42" s="1869"/>
      <c r="H42" s="1869"/>
      <c r="I42" s="1869"/>
      <c r="J42" s="1869"/>
      <c r="K42" s="1869"/>
      <c r="L42" s="1869"/>
      <c r="M42" s="1869"/>
      <c r="N42" s="1869"/>
      <c r="O42" s="1869"/>
      <c r="P42" s="1869"/>
      <c r="Q42" s="1869"/>
      <c r="R42" s="1869"/>
      <c r="S42" s="1869"/>
      <c r="T42" s="1869"/>
      <c r="U42" s="1869"/>
    </row>
    <row r="43" spans="1:34" x14ac:dyDescent="0.3">
      <c r="A43" s="2631"/>
      <c r="B43" s="2631"/>
      <c r="C43" s="2631"/>
      <c r="D43" s="1869"/>
      <c r="E43" s="1869"/>
      <c r="F43" s="1869"/>
      <c r="G43" s="1869"/>
      <c r="H43" s="1869"/>
      <c r="I43" s="1869"/>
      <c r="J43" s="1869"/>
      <c r="K43" s="1869"/>
      <c r="L43" s="1869"/>
      <c r="M43" s="1869"/>
      <c r="N43" s="1869"/>
      <c r="O43" s="1869"/>
      <c r="P43" s="1869"/>
      <c r="Q43" s="1869"/>
      <c r="R43" s="1869"/>
      <c r="S43" s="1869"/>
      <c r="T43" s="1869"/>
      <c r="U43" s="1869"/>
    </row>
    <row r="44" spans="1:34" ht="14.25" customHeight="1" x14ac:dyDescent="0.3">
      <c r="A44" s="819">
        <v>5</v>
      </c>
      <c r="B44" s="819" t="s">
        <v>58</v>
      </c>
      <c r="C44" s="819"/>
      <c r="D44" s="4642" t="s">
        <v>1058</v>
      </c>
      <c r="E44" s="4643"/>
      <c r="F44" s="4643"/>
      <c r="G44" s="4643"/>
      <c r="H44" s="4643"/>
      <c r="I44" s="4643"/>
      <c r="J44" s="4643"/>
      <c r="K44" s="4643"/>
      <c r="L44" s="4643"/>
      <c r="M44" s="4643"/>
      <c r="N44" s="4643"/>
      <c r="O44" s="4643"/>
      <c r="P44" s="4643"/>
      <c r="Q44" s="4643"/>
      <c r="R44" s="4643"/>
      <c r="S44" s="4643"/>
      <c r="T44" s="4643"/>
      <c r="U44" s="4643"/>
      <c r="V44" s="4643"/>
      <c r="W44" s="4643"/>
      <c r="X44" s="4643"/>
      <c r="Y44" s="4643"/>
      <c r="Z44" s="4643"/>
      <c r="AA44" s="4643"/>
      <c r="AB44" s="4643"/>
      <c r="AC44" s="4643"/>
      <c r="AD44" s="4643"/>
      <c r="AE44" s="4643"/>
      <c r="AF44" s="4643"/>
      <c r="AG44" s="4643"/>
      <c r="AH44" s="4644"/>
    </row>
    <row r="45" spans="1:34" ht="15" customHeight="1" x14ac:dyDescent="0.3">
      <c r="A45" s="870">
        <v>6</v>
      </c>
      <c r="B45" s="870" t="s">
        <v>60</v>
      </c>
      <c r="C45" s="870"/>
      <c r="D45" s="4642" t="s">
        <v>1059</v>
      </c>
      <c r="E45" s="4643"/>
      <c r="F45" s="4643"/>
      <c r="G45" s="4643"/>
      <c r="H45" s="4643"/>
      <c r="I45" s="4643"/>
      <c r="J45" s="4643"/>
      <c r="K45" s="4643"/>
      <c r="L45" s="4643"/>
      <c r="M45" s="4643"/>
      <c r="N45" s="4643"/>
      <c r="O45" s="4643"/>
      <c r="P45" s="4643"/>
      <c r="Q45" s="4643"/>
      <c r="R45" s="4643"/>
      <c r="S45" s="4643"/>
      <c r="T45" s="4643"/>
      <c r="U45" s="4643"/>
      <c r="V45" s="4643"/>
      <c r="W45" s="4643"/>
      <c r="X45" s="4643"/>
      <c r="Y45" s="4643"/>
      <c r="Z45" s="4643"/>
      <c r="AA45" s="4643"/>
      <c r="AB45" s="4643"/>
      <c r="AC45" s="4643"/>
      <c r="AD45" s="4643"/>
      <c r="AE45" s="4643"/>
      <c r="AF45" s="4643"/>
      <c r="AG45" s="4643"/>
      <c r="AH45" s="4644"/>
    </row>
    <row r="46" spans="1:34" ht="14.25" customHeight="1" x14ac:dyDescent="0.3">
      <c r="A46" s="819">
        <v>7</v>
      </c>
      <c r="B46" s="819" t="s">
        <v>62</v>
      </c>
      <c r="C46" s="819"/>
      <c r="D46" s="4642" t="s">
        <v>1060</v>
      </c>
      <c r="E46" s="4643"/>
      <c r="F46" s="4643"/>
      <c r="G46" s="4643"/>
      <c r="H46" s="4643"/>
      <c r="I46" s="4643"/>
      <c r="J46" s="4643"/>
      <c r="K46" s="4643"/>
      <c r="L46" s="4643"/>
      <c r="M46" s="4643"/>
      <c r="N46" s="4643"/>
      <c r="O46" s="4643"/>
      <c r="P46" s="4643"/>
      <c r="Q46" s="4643"/>
      <c r="R46" s="4643"/>
      <c r="S46" s="4643"/>
      <c r="T46" s="4643"/>
      <c r="U46" s="4643"/>
      <c r="V46" s="4643"/>
      <c r="W46" s="4643"/>
      <c r="X46" s="4643"/>
      <c r="Y46" s="4643"/>
      <c r="Z46" s="4643"/>
      <c r="AA46" s="4643"/>
      <c r="AB46" s="4643"/>
      <c r="AC46" s="4643"/>
      <c r="AD46" s="4643"/>
      <c r="AE46" s="4643"/>
      <c r="AF46" s="4643"/>
      <c r="AG46" s="4643"/>
      <c r="AH46" s="4644"/>
    </row>
    <row r="47" spans="1:34" ht="14.25" customHeight="1" x14ac:dyDescent="0.3">
      <c r="A47" s="819">
        <v>8</v>
      </c>
      <c r="B47" s="819" t="s">
        <v>134</v>
      </c>
      <c r="D47" s="4642" t="s">
        <v>1041</v>
      </c>
      <c r="E47" s="4643"/>
      <c r="F47" s="4643"/>
      <c r="G47" s="4643"/>
      <c r="H47" s="4643"/>
      <c r="I47" s="4643"/>
      <c r="J47" s="4643"/>
      <c r="K47" s="4643"/>
      <c r="L47" s="4643"/>
      <c r="M47" s="4643"/>
      <c r="N47" s="4643"/>
      <c r="O47" s="4643"/>
      <c r="P47" s="4643"/>
      <c r="Q47" s="4643"/>
      <c r="R47" s="4643"/>
      <c r="S47" s="4643"/>
      <c r="T47" s="4643"/>
      <c r="U47" s="4643"/>
      <c r="V47" s="4643"/>
      <c r="W47" s="4643"/>
      <c r="X47" s="4643"/>
      <c r="Y47" s="4643"/>
      <c r="Z47" s="4643"/>
      <c r="AA47" s="4643"/>
      <c r="AB47" s="4643"/>
      <c r="AC47" s="4643"/>
      <c r="AD47" s="4643"/>
      <c r="AE47" s="4643"/>
      <c r="AF47" s="4643"/>
      <c r="AG47" s="4643"/>
      <c r="AH47" s="4644"/>
    </row>
    <row r="48" spans="1:34" x14ac:dyDescent="0.3">
      <c r="A48" s="2686"/>
      <c r="B48" s="1868"/>
      <c r="C48" s="1868"/>
    </row>
    <row r="49" spans="2:16" x14ac:dyDescent="0.3">
      <c r="B49" s="2687"/>
      <c r="C49" s="2687"/>
      <c r="D49" s="1914"/>
      <c r="E49" s="1914"/>
      <c r="F49" s="1914"/>
      <c r="G49" s="1914"/>
      <c r="H49" s="1914"/>
      <c r="I49" s="1914"/>
      <c r="J49" s="1914"/>
      <c r="K49" s="1914"/>
      <c r="L49" s="1914"/>
      <c r="M49" s="1914"/>
      <c r="N49" s="1914"/>
      <c r="O49" s="1914"/>
      <c r="P49" s="1914"/>
    </row>
    <row r="50" spans="2:16" x14ac:dyDescent="0.3">
      <c r="D50" s="1914"/>
      <c r="E50" s="1914"/>
      <c r="F50" s="1914"/>
      <c r="G50" s="1914"/>
      <c r="H50" s="1914"/>
      <c r="I50" s="1914"/>
      <c r="J50" s="1914"/>
      <c r="K50" s="1914"/>
      <c r="L50" s="1914"/>
      <c r="M50" s="1914"/>
      <c r="N50" s="1914"/>
      <c r="O50" s="1914"/>
      <c r="P50" s="1914"/>
    </row>
    <row r="51" spans="2:16" x14ac:dyDescent="0.3">
      <c r="D51" s="1914"/>
      <c r="E51" s="1914"/>
      <c r="F51" s="1914"/>
      <c r="G51" s="1914"/>
      <c r="H51" s="1914"/>
      <c r="I51" s="1914"/>
      <c r="J51" s="1914"/>
      <c r="K51" s="1914"/>
      <c r="L51" s="1914"/>
      <c r="M51" s="1914"/>
      <c r="N51" s="1914"/>
      <c r="O51" s="1914"/>
      <c r="P51" s="1914"/>
    </row>
    <row r="52" spans="2:16" x14ac:dyDescent="0.3">
      <c r="D52" s="2195"/>
      <c r="E52" s="2195"/>
      <c r="F52" s="2195"/>
      <c r="G52" s="2195"/>
      <c r="H52" s="2195"/>
      <c r="I52" s="2195"/>
      <c r="J52" s="2195"/>
      <c r="K52" s="2195"/>
      <c r="L52" s="2195"/>
      <c r="M52" s="2195"/>
      <c r="N52" s="2195"/>
      <c r="O52" s="2195"/>
      <c r="P52" s="1914"/>
    </row>
    <row r="53" spans="2:16" x14ac:dyDescent="0.3">
      <c r="D53" s="4879"/>
      <c r="E53" s="2195"/>
      <c r="F53" s="2684"/>
      <c r="G53" s="2684"/>
      <c r="H53" s="2684"/>
      <c r="I53" s="2684"/>
      <c r="J53" s="2684"/>
      <c r="K53" s="2684"/>
      <c r="L53" s="2684"/>
      <c r="M53" s="2684"/>
      <c r="N53" s="2684"/>
      <c r="O53" s="2684"/>
      <c r="P53" s="1914"/>
    </row>
    <row r="54" spans="2:16" x14ac:dyDescent="0.3">
      <c r="D54" s="4879"/>
      <c r="E54" s="2195"/>
      <c r="F54" s="2684"/>
      <c r="G54" s="2684"/>
      <c r="H54" s="2684"/>
      <c r="I54" s="2684"/>
      <c r="J54" s="2684"/>
      <c r="K54" s="2684"/>
      <c r="L54" s="2684"/>
      <c r="M54" s="2684"/>
      <c r="N54" s="2684"/>
      <c r="O54" s="2685"/>
      <c r="P54" s="1914"/>
    </row>
    <row r="55" spans="2:16" x14ac:dyDescent="0.3">
      <c r="D55" s="4879"/>
      <c r="E55" s="2195"/>
      <c r="F55" s="2534"/>
      <c r="G55" s="2534"/>
      <c r="H55" s="2534"/>
      <c r="I55" s="2534"/>
      <c r="J55" s="2534"/>
      <c r="K55" s="2534"/>
      <c r="L55" s="2534"/>
      <c r="M55" s="2534"/>
      <c r="N55" s="2534"/>
      <c r="O55" s="2534"/>
      <c r="P55" s="1914"/>
    </row>
    <row r="56" spans="2:16" x14ac:dyDescent="0.3">
      <c r="D56" s="4879"/>
      <c r="E56" s="2195"/>
      <c r="F56" s="2195"/>
      <c r="G56" s="2195"/>
      <c r="H56" s="2195"/>
      <c r="I56" s="2195"/>
      <c r="J56" s="2195"/>
      <c r="K56" s="2195"/>
      <c r="L56" s="2195"/>
      <c r="M56" s="2195"/>
      <c r="N56" s="2195"/>
      <c r="O56" s="2195"/>
      <c r="P56" s="1914"/>
    </row>
    <row r="57" spans="2:16" x14ac:dyDescent="0.3">
      <c r="D57" s="4879"/>
      <c r="E57" s="2195"/>
      <c r="F57" s="2684"/>
      <c r="G57" s="2684"/>
      <c r="H57" s="2684"/>
      <c r="I57" s="2684"/>
      <c r="J57" s="2684"/>
      <c r="K57" s="2684"/>
      <c r="L57" s="2684"/>
      <c r="M57" s="2684"/>
      <c r="N57" s="2684"/>
      <c r="O57" s="2685"/>
      <c r="P57" s="1914"/>
    </row>
    <row r="58" spans="2:16" x14ac:dyDescent="0.3">
      <c r="D58" s="4879"/>
      <c r="E58" s="2195"/>
      <c r="F58" s="2534"/>
      <c r="G58" s="2534"/>
      <c r="H58" s="2534"/>
      <c r="I58" s="2534"/>
      <c r="J58" s="2534"/>
      <c r="K58" s="2534"/>
      <c r="L58" s="2534"/>
      <c r="M58" s="2534"/>
      <c r="N58" s="2534"/>
      <c r="O58" s="2534"/>
      <c r="P58" s="1914"/>
    </row>
    <row r="59" spans="2:16" x14ac:dyDescent="0.3">
      <c r="D59" s="1914"/>
      <c r="E59" s="1914"/>
      <c r="F59" s="1914"/>
      <c r="G59" s="1914"/>
      <c r="H59" s="1914"/>
      <c r="I59" s="1914"/>
      <c r="J59" s="1914"/>
      <c r="K59" s="1914"/>
      <c r="L59" s="1914"/>
      <c r="M59" s="1914"/>
      <c r="N59" s="1914"/>
      <c r="O59" s="1914"/>
      <c r="P59" s="1914"/>
    </row>
    <row r="60" spans="2:16" x14ac:dyDescent="0.3">
      <c r="D60" s="1914"/>
      <c r="E60" s="1914"/>
      <c r="F60" s="1914"/>
      <c r="G60" s="1914"/>
      <c r="H60" s="1914"/>
      <c r="I60" s="1914"/>
      <c r="J60" s="1914"/>
      <c r="K60" s="1914"/>
      <c r="L60" s="1914"/>
      <c r="M60" s="1914"/>
      <c r="N60" s="1914"/>
      <c r="O60" s="1914"/>
      <c r="P60" s="1914"/>
    </row>
  </sheetData>
  <mergeCells count="21">
    <mergeCell ref="D56:D58"/>
    <mergeCell ref="AI14:AK14"/>
    <mergeCell ref="D45:AH45"/>
    <mergeCell ref="D46:AH46"/>
    <mergeCell ref="D47:AH47"/>
    <mergeCell ref="D53:D55"/>
    <mergeCell ref="D44:AH44"/>
    <mergeCell ref="D2:AH2"/>
    <mergeCell ref="D3:AH3"/>
    <mergeCell ref="D4:AH4"/>
    <mergeCell ref="E13:J13"/>
    <mergeCell ref="E14:G14"/>
    <mergeCell ref="H14:J14"/>
    <mergeCell ref="K14:M14"/>
    <mergeCell ref="N14:P14"/>
    <mergeCell ref="Q14:S14"/>
    <mergeCell ref="T14:V14"/>
    <mergeCell ref="W14:Y14"/>
    <mergeCell ref="Z14:AB14"/>
    <mergeCell ref="AC14:AE14"/>
    <mergeCell ref="AF14:AH14"/>
  </mergeCells>
  <pageMargins left="0.74803149606299202" right="0.74803149606299202" top="0.98425196850393704" bottom="0.98425196850393704" header="0.511811023622047" footer="0.511811023622047"/>
  <pageSetup paperSize="9" scale="4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91B2-4929-4060-A865-0A1B32C1A32B}">
  <sheetPr>
    <tabColor theme="8" tint="-0.249977111117893"/>
    <pageSetUpPr fitToPage="1"/>
  </sheetPr>
  <dimension ref="A1:AC36"/>
  <sheetViews>
    <sheetView showGridLines="0" view="pageBreakPreview" zoomScaleNormal="100" zoomScaleSheetLayoutView="100" workbookViewId="0">
      <selection activeCell="F9" sqref="F9"/>
    </sheetView>
  </sheetViews>
  <sheetFormatPr defaultColWidth="9.1796875" defaultRowHeight="14" x14ac:dyDescent="0.3"/>
  <cols>
    <col min="1" max="1" width="3.7265625" style="2688" customWidth="1"/>
    <col min="2" max="2" width="14.453125" style="1910" customWidth="1"/>
    <col min="3" max="3" width="3.26953125" style="1910" customWidth="1"/>
    <col min="4" max="4" width="41" style="1912" customWidth="1"/>
    <col min="5" max="13" width="9.26953125" style="1912" customWidth="1"/>
    <col min="14" max="19" width="9.26953125" style="1912" hidden="1" customWidth="1"/>
    <col min="20" max="20" width="9.26953125" style="1912" customWidth="1"/>
    <col min="21" max="259" width="9.1796875" style="1912"/>
    <col min="260" max="260" width="3.7265625" style="1912" customWidth="1"/>
    <col min="261" max="261" width="14.453125" style="1912" customWidth="1"/>
    <col min="262" max="262" width="3.7265625" style="1912" customWidth="1"/>
    <col min="263" max="263" width="20.81640625" style="1912" customWidth="1"/>
    <col min="264" max="279" width="9.26953125" style="1912" customWidth="1"/>
    <col min="280" max="515" width="9.1796875" style="1912"/>
    <col min="516" max="516" width="3.7265625" style="1912" customWidth="1"/>
    <col min="517" max="517" width="14.453125" style="1912" customWidth="1"/>
    <col min="518" max="518" width="3.7265625" style="1912" customWidth="1"/>
    <col min="519" max="519" width="20.81640625" style="1912" customWidth="1"/>
    <col min="520" max="535" width="9.26953125" style="1912" customWidth="1"/>
    <col min="536" max="771" width="9.1796875" style="1912"/>
    <col min="772" max="772" width="3.7265625" style="1912" customWidth="1"/>
    <col min="773" max="773" width="14.453125" style="1912" customWidth="1"/>
    <col min="774" max="774" width="3.7265625" style="1912" customWidth="1"/>
    <col min="775" max="775" width="20.81640625" style="1912" customWidth="1"/>
    <col min="776" max="791" width="9.26953125" style="1912" customWidth="1"/>
    <col min="792" max="1027" width="9.1796875" style="1912"/>
    <col min="1028" max="1028" width="3.7265625" style="1912" customWidth="1"/>
    <col min="1029" max="1029" width="14.453125" style="1912" customWidth="1"/>
    <col min="1030" max="1030" width="3.7265625" style="1912" customWidth="1"/>
    <col min="1031" max="1031" width="20.81640625" style="1912" customWidth="1"/>
    <col min="1032" max="1047" width="9.26953125" style="1912" customWidth="1"/>
    <col min="1048" max="1283" width="9.1796875" style="1912"/>
    <col min="1284" max="1284" width="3.7265625" style="1912" customWidth="1"/>
    <col min="1285" max="1285" width="14.453125" style="1912" customWidth="1"/>
    <col min="1286" max="1286" width="3.7265625" style="1912" customWidth="1"/>
    <col min="1287" max="1287" width="20.81640625" style="1912" customWidth="1"/>
    <col min="1288" max="1303" width="9.26953125" style="1912" customWidth="1"/>
    <col min="1304" max="1539" width="9.1796875" style="1912"/>
    <col min="1540" max="1540" width="3.7265625" style="1912" customWidth="1"/>
    <col min="1541" max="1541" width="14.453125" style="1912" customWidth="1"/>
    <col min="1542" max="1542" width="3.7265625" style="1912" customWidth="1"/>
    <col min="1543" max="1543" width="20.81640625" style="1912" customWidth="1"/>
    <col min="1544" max="1559" width="9.26953125" style="1912" customWidth="1"/>
    <col min="1560" max="1795" width="9.1796875" style="1912"/>
    <col min="1796" max="1796" width="3.7265625" style="1912" customWidth="1"/>
    <col min="1797" max="1797" width="14.453125" style="1912" customWidth="1"/>
    <col min="1798" max="1798" width="3.7265625" style="1912" customWidth="1"/>
    <col min="1799" max="1799" width="20.81640625" style="1912" customWidth="1"/>
    <col min="1800" max="1815" width="9.26953125" style="1912" customWidth="1"/>
    <col min="1816" max="2051" width="9.1796875" style="1912"/>
    <col min="2052" max="2052" width="3.7265625" style="1912" customWidth="1"/>
    <col min="2053" max="2053" width="14.453125" style="1912" customWidth="1"/>
    <col min="2054" max="2054" width="3.7265625" style="1912" customWidth="1"/>
    <col min="2055" max="2055" width="20.81640625" style="1912" customWidth="1"/>
    <col min="2056" max="2071" width="9.26953125" style="1912" customWidth="1"/>
    <col min="2072" max="2307" width="9.1796875" style="1912"/>
    <col min="2308" max="2308" width="3.7265625" style="1912" customWidth="1"/>
    <col min="2309" max="2309" width="14.453125" style="1912" customWidth="1"/>
    <col min="2310" max="2310" width="3.7265625" style="1912" customWidth="1"/>
    <col min="2311" max="2311" width="20.81640625" style="1912" customWidth="1"/>
    <col min="2312" max="2327" width="9.26953125" style="1912" customWidth="1"/>
    <col min="2328" max="2563" width="9.1796875" style="1912"/>
    <col min="2564" max="2564" width="3.7265625" style="1912" customWidth="1"/>
    <col min="2565" max="2565" width="14.453125" style="1912" customWidth="1"/>
    <col min="2566" max="2566" width="3.7265625" style="1912" customWidth="1"/>
    <col min="2567" max="2567" width="20.81640625" style="1912" customWidth="1"/>
    <col min="2568" max="2583" width="9.26953125" style="1912" customWidth="1"/>
    <col min="2584" max="2819" width="9.1796875" style="1912"/>
    <col min="2820" max="2820" width="3.7265625" style="1912" customWidth="1"/>
    <col min="2821" max="2821" width="14.453125" style="1912" customWidth="1"/>
    <col min="2822" max="2822" width="3.7265625" style="1912" customWidth="1"/>
    <col min="2823" max="2823" width="20.81640625" style="1912" customWidth="1"/>
    <col min="2824" max="2839" width="9.26953125" style="1912" customWidth="1"/>
    <col min="2840" max="3075" width="9.1796875" style="1912"/>
    <col min="3076" max="3076" width="3.7265625" style="1912" customWidth="1"/>
    <col min="3077" max="3077" width="14.453125" style="1912" customWidth="1"/>
    <col min="3078" max="3078" width="3.7265625" style="1912" customWidth="1"/>
    <col min="3079" max="3079" width="20.81640625" style="1912" customWidth="1"/>
    <col min="3080" max="3095" width="9.26953125" style="1912" customWidth="1"/>
    <col min="3096" max="3331" width="9.1796875" style="1912"/>
    <col min="3332" max="3332" width="3.7265625" style="1912" customWidth="1"/>
    <col min="3333" max="3333" width="14.453125" style="1912" customWidth="1"/>
    <col min="3334" max="3334" width="3.7265625" style="1912" customWidth="1"/>
    <col min="3335" max="3335" width="20.81640625" style="1912" customWidth="1"/>
    <col min="3336" max="3351" width="9.26953125" style="1912" customWidth="1"/>
    <col min="3352" max="3587" width="9.1796875" style="1912"/>
    <col min="3588" max="3588" width="3.7265625" style="1912" customWidth="1"/>
    <col min="3589" max="3589" width="14.453125" style="1912" customWidth="1"/>
    <col min="3590" max="3590" width="3.7265625" style="1912" customWidth="1"/>
    <col min="3591" max="3591" width="20.81640625" style="1912" customWidth="1"/>
    <col min="3592" max="3607" width="9.26953125" style="1912" customWidth="1"/>
    <col min="3608" max="3843" width="9.1796875" style="1912"/>
    <col min="3844" max="3844" width="3.7265625" style="1912" customWidth="1"/>
    <col min="3845" max="3845" width="14.453125" style="1912" customWidth="1"/>
    <col min="3846" max="3846" width="3.7265625" style="1912" customWidth="1"/>
    <col min="3847" max="3847" width="20.81640625" style="1912" customWidth="1"/>
    <col min="3848" max="3863" width="9.26953125" style="1912" customWidth="1"/>
    <col min="3864" max="4099" width="9.1796875" style="1912"/>
    <col min="4100" max="4100" width="3.7265625" style="1912" customWidth="1"/>
    <col min="4101" max="4101" width="14.453125" style="1912" customWidth="1"/>
    <col min="4102" max="4102" width="3.7265625" style="1912" customWidth="1"/>
    <col min="4103" max="4103" width="20.81640625" style="1912" customWidth="1"/>
    <col min="4104" max="4119" width="9.26953125" style="1912" customWidth="1"/>
    <col min="4120" max="4355" width="9.1796875" style="1912"/>
    <col min="4356" max="4356" width="3.7265625" style="1912" customWidth="1"/>
    <col min="4357" max="4357" width="14.453125" style="1912" customWidth="1"/>
    <col min="4358" max="4358" width="3.7265625" style="1912" customWidth="1"/>
    <col min="4359" max="4359" width="20.81640625" style="1912" customWidth="1"/>
    <col min="4360" max="4375" width="9.26953125" style="1912" customWidth="1"/>
    <col min="4376" max="4611" width="9.1796875" style="1912"/>
    <col min="4612" max="4612" width="3.7265625" style="1912" customWidth="1"/>
    <col min="4613" max="4613" width="14.453125" style="1912" customWidth="1"/>
    <col min="4614" max="4614" width="3.7265625" style="1912" customWidth="1"/>
    <col min="4615" max="4615" width="20.81640625" style="1912" customWidth="1"/>
    <col min="4616" max="4631" width="9.26953125" style="1912" customWidth="1"/>
    <col min="4632" max="4867" width="9.1796875" style="1912"/>
    <col min="4868" max="4868" width="3.7265625" style="1912" customWidth="1"/>
    <col min="4869" max="4869" width="14.453125" style="1912" customWidth="1"/>
    <col min="4870" max="4870" width="3.7265625" style="1912" customWidth="1"/>
    <col min="4871" max="4871" width="20.81640625" style="1912" customWidth="1"/>
    <col min="4872" max="4887" width="9.26953125" style="1912" customWidth="1"/>
    <col min="4888" max="5123" width="9.1796875" style="1912"/>
    <col min="5124" max="5124" width="3.7265625" style="1912" customWidth="1"/>
    <col min="5125" max="5125" width="14.453125" style="1912" customWidth="1"/>
    <col min="5126" max="5126" width="3.7265625" style="1912" customWidth="1"/>
    <col min="5127" max="5127" width="20.81640625" style="1912" customWidth="1"/>
    <col min="5128" max="5143" width="9.26953125" style="1912" customWidth="1"/>
    <col min="5144" max="5379" width="9.1796875" style="1912"/>
    <col min="5380" max="5380" width="3.7265625" style="1912" customWidth="1"/>
    <col min="5381" max="5381" width="14.453125" style="1912" customWidth="1"/>
    <col min="5382" max="5382" width="3.7265625" style="1912" customWidth="1"/>
    <col min="5383" max="5383" width="20.81640625" style="1912" customWidth="1"/>
    <col min="5384" max="5399" width="9.26953125" style="1912" customWidth="1"/>
    <col min="5400" max="5635" width="9.1796875" style="1912"/>
    <col min="5636" max="5636" width="3.7265625" style="1912" customWidth="1"/>
    <col min="5637" max="5637" width="14.453125" style="1912" customWidth="1"/>
    <col min="5638" max="5638" width="3.7265625" style="1912" customWidth="1"/>
    <col min="5639" max="5639" width="20.81640625" style="1912" customWidth="1"/>
    <col min="5640" max="5655" width="9.26953125" style="1912" customWidth="1"/>
    <col min="5656" max="5891" width="9.1796875" style="1912"/>
    <col min="5892" max="5892" width="3.7265625" style="1912" customWidth="1"/>
    <col min="5893" max="5893" width="14.453125" style="1912" customWidth="1"/>
    <col min="5894" max="5894" width="3.7265625" style="1912" customWidth="1"/>
    <col min="5895" max="5895" width="20.81640625" style="1912" customWidth="1"/>
    <col min="5896" max="5911" width="9.26953125" style="1912" customWidth="1"/>
    <col min="5912" max="6147" width="9.1796875" style="1912"/>
    <col min="6148" max="6148" width="3.7265625" style="1912" customWidth="1"/>
    <col min="6149" max="6149" width="14.453125" style="1912" customWidth="1"/>
    <col min="6150" max="6150" width="3.7265625" style="1912" customWidth="1"/>
    <col min="6151" max="6151" width="20.81640625" style="1912" customWidth="1"/>
    <col min="6152" max="6167" width="9.26953125" style="1912" customWidth="1"/>
    <col min="6168" max="6403" width="9.1796875" style="1912"/>
    <col min="6404" max="6404" width="3.7265625" style="1912" customWidth="1"/>
    <col min="6405" max="6405" width="14.453125" style="1912" customWidth="1"/>
    <col min="6406" max="6406" width="3.7265625" style="1912" customWidth="1"/>
    <col min="6407" max="6407" width="20.81640625" style="1912" customWidth="1"/>
    <col min="6408" max="6423" width="9.26953125" style="1912" customWidth="1"/>
    <col min="6424" max="6659" width="9.1796875" style="1912"/>
    <col min="6660" max="6660" width="3.7265625" style="1912" customWidth="1"/>
    <col min="6661" max="6661" width="14.453125" style="1912" customWidth="1"/>
    <col min="6662" max="6662" width="3.7265625" style="1912" customWidth="1"/>
    <col min="6663" max="6663" width="20.81640625" style="1912" customWidth="1"/>
    <col min="6664" max="6679" width="9.26953125" style="1912" customWidth="1"/>
    <col min="6680" max="6915" width="9.1796875" style="1912"/>
    <col min="6916" max="6916" width="3.7265625" style="1912" customWidth="1"/>
    <col min="6917" max="6917" width="14.453125" style="1912" customWidth="1"/>
    <col min="6918" max="6918" width="3.7265625" style="1912" customWidth="1"/>
    <col min="6919" max="6919" width="20.81640625" style="1912" customWidth="1"/>
    <col min="6920" max="6935" width="9.26953125" style="1912" customWidth="1"/>
    <col min="6936" max="7171" width="9.1796875" style="1912"/>
    <col min="7172" max="7172" width="3.7265625" style="1912" customWidth="1"/>
    <col min="7173" max="7173" width="14.453125" style="1912" customWidth="1"/>
    <col min="7174" max="7174" width="3.7265625" style="1912" customWidth="1"/>
    <col min="7175" max="7175" width="20.81640625" style="1912" customWidth="1"/>
    <col min="7176" max="7191" width="9.26953125" style="1912" customWidth="1"/>
    <col min="7192" max="7427" width="9.1796875" style="1912"/>
    <col min="7428" max="7428" width="3.7265625" style="1912" customWidth="1"/>
    <col min="7429" max="7429" width="14.453125" style="1912" customWidth="1"/>
    <col min="7430" max="7430" width="3.7265625" style="1912" customWidth="1"/>
    <col min="7431" max="7431" width="20.81640625" style="1912" customWidth="1"/>
    <col min="7432" max="7447" width="9.26953125" style="1912" customWidth="1"/>
    <col min="7448" max="7683" width="9.1796875" style="1912"/>
    <col min="7684" max="7684" width="3.7265625" style="1912" customWidth="1"/>
    <col min="7685" max="7685" width="14.453125" style="1912" customWidth="1"/>
    <col min="7686" max="7686" width="3.7265625" style="1912" customWidth="1"/>
    <col min="7687" max="7687" width="20.81640625" style="1912" customWidth="1"/>
    <col min="7688" max="7703" width="9.26953125" style="1912" customWidth="1"/>
    <col min="7704" max="7939" width="9.1796875" style="1912"/>
    <col min="7940" max="7940" width="3.7265625" style="1912" customWidth="1"/>
    <col min="7941" max="7941" width="14.453125" style="1912" customWidth="1"/>
    <col min="7942" max="7942" width="3.7265625" style="1912" customWidth="1"/>
    <col min="7943" max="7943" width="20.81640625" style="1912" customWidth="1"/>
    <col min="7944" max="7959" width="9.26953125" style="1912" customWidth="1"/>
    <col min="7960" max="8195" width="9.1796875" style="1912"/>
    <col min="8196" max="8196" width="3.7265625" style="1912" customWidth="1"/>
    <col min="8197" max="8197" width="14.453125" style="1912" customWidth="1"/>
    <col min="8198" max="8198" width="3.7265625" style="1912" customWidth="1"/>
    <col min="8199" max="8199" width="20.81640625" style="1912" customWidth="1"/>
    <col min="8200" max="8215" width="9.26953125" style="1912" customWidth="1"/>
    <col min="8216" max="8451" width="9.1796875" style="1912"/>
    <col min="8452" max="8452" width="3.7265625" style="1912" customWidth="1"/>
    <col min="8453" max="8453" width="14.453125" style="1912" customWidth="1"/>
    <col min="8454" max="8454" width="3.7265625" style="1912" customWidth="1"/>
    <col min="8455" max="8455" width="20.81640625" style="1912" customWidth="1"/>
    <col min="8456" max="8471" width="9.26953125" style="1912" customWidth="1"/>
    <col min="8472" max="8707" width="9.1796875" style="1912"/>
    <col min="8708" max="8708" width="3.7265625" style="1912" customWidth="1"/>
    <col min="8709" max="8709" width="14.453125" style="1912" customWidth="1"/>
    <col min="8710" max="8710" width="3.7265625" style="1912" customWidth="1"/>
    <col min="8711" max="8711" width="20.81640625" style="1912" customWidth="1"/>
    <col min="8712" max="8727" width="9.26953125" style="1912" customWidth="1"/>
    <col min="8728" max="8963" width="9.1796875" style="1912"/>
    <col min="8964" max="8964" width="3.7265625" style="1912" customWidth="1"/>
    <col min="8965" max="8965" width="14.453125" style="1912" customWidth="1"/>
    <col min="8966" max="8966" width="3.7265625" style="1912" customWidth="1"/>
    <col min="8967" max="8967" width="20.81640625" style="1912" customWidth="1"/>
    <col min="8968" max="8983" width="9.26953125" style="1912" customWidth="1"/>
    <col min="8984" max="9219" width="9.1796875" style="1912"/>
    <col min="9220" max="9220" width="3.7265625" style="1912" customWidth="1"/>
    <col min="9221" max="9221" width="14.453125" style="1912" customWidth="1"/>
    <col min="9222" max="9222" width="3.7265625" style="1912" customWidth="1"/>
    <col min="9223" max="9223" width="20.81640625" style="1912" customWidth="1"/>
    <col min="9224" max="9239" width="9.26953125" style="1912" customWidth="1"/>
    <col min="9240" max="9475" width="9.1796875" style="1912"/>
    <col min="9476" max="9476" width="3.7265625" style="1912" customWidth="1"/>
    <col min="9477" max="9477" width="14.453125" style="1912" customWidth="1"/>
    <col min="9478" max="9478" width="3.7265625" style="1912" customWidth="1"/>
    <col min="9479" max="9479" width="20.81640625" style="1912" customWidth="1"/>
    <col min="9480" max="9495" width="9.26953125" style="1912" customWidth="1"/>
    <col min="9496" max="9731" width="9.1796875" style="1912"/>
    <col min="9732" max="9732" width="3.7265625" style="1912" customWidth="1"/>
    <col min="9733" max="9733" width="14.453125" style="1912" customWidth="1"/>
    <col min="9734" max="9734" width="3.7265625" style="1912" customWidth="1"/>
    <col min="9735" max="9735" width="20.81640625" style="1912" customWidth="1"/>
    <col min="9736" max="9751" width="9.26953125" style="1912" customWidth="1"/>
    <col min="9752" max="9987" width="9.1796875" style="1912"/>
    <col min="9988" max="9988" width="3.7265625" style="1912" customWidth="1"/>
    <col min="9989" max="9989" width="14.453125" style="1912" customWidth="1"/>
    <col min="9990" max="9990" width="3.7265625" style="1912" customWidth="1"/>
    <col min="9991" max="9991" width="20.81640625" style="1912" customWidth="1"/>
    <col min="9992" max="10007" width="9.26953125" style="1912" customWidth="1"/>
    <col min="10008" max="10243" width="9.1796875" style="1912"/>
    <col min="10244" max="10244" width="3.7265625" style="1912" customWidth="1"/>
    <col min="10245" max="10245" width="14.453125" style="1912" customWidth="1"/>
    <col min="10246" max="10246" width="3.7265625" style="1912" customWidth="1"/>
    <col min="10247" max="10247" width="20.81640625" style="1912" customWidth="1"/>
    <col min="10248" max="10263" width="9.26953125" style="1912" customWidth="1"/>
    <col min="10264" max="10499" width="9.1796875" style="1912"/>
    <col min="10500" max="10500" width="3.7265625" style="1912" customWidth="1"/>
    <col min="10501" max="10501" width="14.453125" style="1912" customWidth="1"/>
    <col min="10502" max="10502" width="3.7265625" style="1912" customWidth="1"/>
    <col min="10503" max="10503" width="20.81640625" style="1912" customWidth="1"/>
    <col min="10504" max="10519" width="9.26953125" style="1912" customWidth="1"/>
    <col min="10520" max="10755" width="9.1796875" style="1912"/>
    <col min="10756" max="10756" width="3.7265625" style="1912" customWidth="1"/>
    <col min="10757" max="10757" width="14.453125" style="1912" customWidth="1"/>
    <col min="10758" max="10758" width="3.7265625" style="1912" customWidth="1"/>
    <col min="10759" max="10759" width="20.81640625" style="1912" customWidth="1"/>
    <col min="10760" max="10775" width="9.26953125" style="1912" customWidth="1"/>
    <col min="10776" max="11011" width="9.1796875" style="1912"/>
    <col min="11012" max="11012" width="3.7265625" style="1912" customWidth="1"/>
    <col min="11013" max="11013" width="14.453125" style="1912" customWidth="1"/>
    <col min="11014" max="11014" width="3.7265625" style="1912" customWidth="1"/>
    <col min="11015" max="11015" width="20.81640625" style="1912" customWidth="1"/>
    <col min="11016" max="11031" width="9.26953125" style="1912" customWidth="1"/>
    <col min="11032" max="11267" width="9.1796875" style="1912"/>
    <col min="11268" max="11268" width="3.7265625" style="1912" customWidth="1"/>
    <col min="11269" max="11269" width="14.453125" style="1912" customWidth="1"/>
    <col min="11270" max="11270" width="3.7265625" style="1912" customWidth="1"/>
    <col min="11271" max="11271" width="20.81640625" style="1912" customWidth="1"/>
    <col min="11272" max="11287" width="9.26953125" style="1912" customWidth="1"/>
    <col min="11288" max="11523" width="9.1796875" style="1912"/>
    <col min="11524" max="11524" width="3.7265625" style="1912" customWidth="1"/>
    <col min="11525" max="11525" width="14.453125" style="1912" customWidth="1"/>
    <col min="11526" max="11526" width="3.7265625" style="1912" customWidth="1"/>
    <col min="11527" max="11527" width="20.81640625" style="1912" customWidth="1"/>
    <col min="11528" max="11543" width="9.26953125" style="1912" customWidth="1"/>
    <col min="11544" max="11779" width="9.1796875" style="1912"/>
    <col min="11780" max="11780" width="3.7265625" style="1912" customWidth="1"/>
    <col min="11781" max="11781" width="14.453125" style="1912" customWidth="1"/>
    <col min="11782" max="11782" width="3.7265625" style="1912" customWidth="1"/>
    <col min="11783" max="11783" width="20.81640625" style="1912" customWidth="1"/>
    <col min="11784" max="11799" width="9.26953125" style="1912" customWidth="1"/>
    <col min="11800" max="12035" width="9.1796875" style="1912"/>
    <col min="12036" max="12036" width="3.7265625" style="1912" customWidth="1"/>
    <col min="12037" max="12037" width="14.453125" style="1912" customWidth="1"/>
    <col min="12038" max="12038" width="3.7265625" style="1912" customWidth="1"/>
    <col min="12039" max="12039" width="20.81640625" style="1912" customWidth="1"/>
    <col min="12040" max="12055" width="9.26953125" style="1912" customWidth="1"/>
    <col min="12056" max="12291" width="9.1796875" style="1912"/>
    <col min="12292" max="12292" width="3.7265625" style="1912" customWidth="1"/>
    <col min="12293" max="12293" width="14.453125" style="1912" customWidth="1"/>
    <col min="12294" max="12294" width="3.7265625" style="1912" customWidth="1"/>
    <col min="12295" max="12295" width="20.81640625" style="1912" customWidth="1"/>
    <col min="12296" max="12311" width="9.26953125" style="1912" customWidth="1"/>
    <col min="12312" max="12547" width="9.1796875" style="1912"/>
    <col min="12548" max="12548" width="3.7265625" style="1912" customWidth="1"/>
    <col min="12549" max="12549" width="14.453125" style="1912" customWidth="1"/>
    <col min="12550" max="12550" width="3.7265625" style="1912" customWidth="1"/>
    <col min="12551" max="12551" width="20.81640625" style="1912" customWidth="1"/>
    <col min="12552" max="12567" width="9.26953125" style="1912" customWidth="1"/>
    <col min="12568" max="12803" width="9.1796875" style="1912"/>
    <col min="12804" max="12804" width="3.7265625" style="1912" customWidth="1"/>
    <col min="12805" max="12805" width="14.453125" style="1912" customWidth="1"/>
    <col min="12806" max="12806" width="3.7265625" style="1912" customWidth="1"/>
    <col min="12807" max="12807" width="20.81640625" style="1912" customWidth="1"/>
    <col min="12808" max="12823" width="9.26953125" style="1912" customWidth="1"/>
    <col min="12824" max="13059" width="9.1796875" style="1912"/>
    <col min="13060" max="13060" width="3.7265625" style="1912" customWidth="1"/>
    <col min="13061" max="13061" width="14.453125" style="1912" customWidth="1"/>
    <col min="13062" max="13062" width="3.7265625" style="1912" customWidth="1"/>
    <col min="13063" max="13063" width="20.81640625" style="1912" customWidth="1"/>
    <col min="13064" max="13079" width="9.26953125" style="1912" customWidth="1"/>
    <col min="13080" max="13315" width="9.1796875" style="1912"/>
    <col min="13316" max="13316" width="3.7265625" style="1912" customWidth="1"/>
    <col min="13317" max="13317" width="14.453125" style="1912" customWidth="1"/>
    <col min="13318" max="13318" width="3.7265625" style="1912" customWidth="1"/>
    <col min="13319" max="13319" width="20.81640625" style="1912" customWidth="1"/>
    <col min="13320" max="13335" width="9.26953125" style="1912" customWidth="1"/>
    <col min="13336" max="13571" width="9.1796875" style="1912"/>
    <col min="13572" max="13572" width="3.7265625" style="1912" customWidth="1"/>
    <col min="13573" max="13573" width="14.453125" style="1912" customWidth="1"/>
    <col min="13574" max="13574" width="3.7265625" style="1912" customWidth="1"/>
    <col min="13575" max="13575" width="20.81640625" style="1912" customWidth="1"/>
    <col min="13576" max="13591" width="9.26953125" style="1912" customWidth="1"/>
    <col min="13592" max="13827" width="9.1796875" style="1912"/>
    <col min="13828" max="13828" width="3.7265625" style="1912" customWidth="1"/>
    <col min="13829" max="13829" width="14.453125" style="1912" customWidth="1"/>
    <col min="13830" max="13830" width="3.7265625" style="1912" customWidth="1"/>
    <col min="13831" max="13831" width="20.81640625" style="1912" customWidth="1"/>
    <col min="13832" max="13847" width="9.26953125" style="1912" customWidth="1"/>
    <col min="13848" max="14083" width="9.1796875" style="1912"/>
    <col min="14084" max="14084" width="3.7265625" style="1912" customWidth="1"/>
    <col min="14085" max="14085" width="14.453125" style="1912" customWidth="1"/>
    <col min="14086" max="14086" width="3.7265625" style="1912" customWidth="1"/>
    <col min="14087" max="14087" width="20.81640625" style="1912" customWidth="1"/>
    <col min="14088" max="14103" width="9.26953125" style="1912" customWidth="1"/>
    <col min="14104" max="14339" width="9.1796875" style="1912"/>
    <col min="14340" max="14340" width="3.7265625" style="1912" customWidth="1"/>
    <col min="14341" max="14341" width="14.453125" style="1912" customWidth="1"/>
    <col min="14342" max="14342" width="3.7265625" style="1912" customWidth="1"/>
    <col min="14343" max="14343" width="20.81640625" style="1912" customWidth="1"/>
    <col min="14344" max="14359" width="9.26953125" style="1912" customWidth="1"/>
    <col min="14360" max="14595" width="9.1796875" style="1912"/>
    <col min="14596" max="14596" width="3.7265625" style="1912" customWidth="1"/>
    <col min="14597" max="14597" width="14.453125" style="1912" customWidth="1"/>
    <col min="14598" max="14598" width="3.7265625" style="1912" customWidth="1"/>
    <col min="14599" max="14599" width="20.81640625" style="1912" customWidth="1"/>
    <col min="14600" max="14615" width="9.26953125" style="1912" customWidth="1"/>
    <col min="14616" max="14851" width="9.1796875" style="1912"/>
    <col min="14852" max="14852" width="3.7265625" style="1912" customWidth="1"/>
    <col min="14853" max="14853" width="14.453125" style="1912" customWidth="1"/>
    <col min="14854" max="14854" width="3.7265625" style="1912" customWidth="1"/>
    <col min="14855" max="14855" width="20.81640625" style="1912" customWidth="1"/>
    <col min="14856" max="14871" width="9.26953125" style="1912" customWidth="1"/>
    <col min="14872" max="15107" width="9.1796875" style="1912"/>
    <col min="15108" max="15108" width="3.7265625" style="1912" customWidth="1"/>
    <col min="15109" max="15109" width="14.453125" style="1912" customWidth="1"/>
    <col min="15110" max="15110" width="3.7265625" style="1912" customWidth="1"/>
    <col min="15111" max="15111" width="20.81640625" style="1912" customWidth="1"/>
    <col min="15112" max="15127" width="9.26953125" style="1912" customWidth="1"/>
    <col min="15128" max="15363" width="9.1796875" style="1912"/>
    <col min="15364" max="15364" width="3.7265625" style="1912" customWidth="1"/>
    <col min="15365" max="15365" width="14.453125" style="1912" customWidth="1"/>
    <col min="15366" max="15366" width="3.7265625" style="1912" customWidth="1"/>
    <col min="15367" max="15367" width="20.81640625" style="1912" customWidth="1"/>
    <col min="15368" max="15383" width="9.26953125" style="1912" customWidth="1"/>
    <col min="15384" max="15619" width="9.1796875" style="1912"/>
    <col min="15620" max="15620" width="3.7265625" style="1912" customWidth="1"/>
    <col min="15621" max="15621" width="14.453125" style="1912" customWidth="1"/>
    <col min="15622" max="15622" width="3.7265625" style="1912" customWidth="1"/>
    <col min="15623" max="15623" width="20.81640625" style="1912" customWidth="1"/>
    <col min="15624" max="15639" width="9.26953125" style="1912" customWidth="1"/>
    <col min="15640" max="15875" width="9.1796875" style="1912"/>
    <col min="15876" max="15876" width="3.7265625" style="1912" customWidth="1"/>
    <col min="15877" max="15877" width="14.453125" style="1912" customWidth="1"/>
    <col min="15878" max="15878" width="3.7265625" style="1912" customWidth="1"/>
    <col min="15879" max="15879" width="20.81640625" style="1912" customWidth="1"/>
    <col min="15880" max="15895" width="9.26953125" style="1912" customWidth="1"/>
    <col min="15896" max="16131" width="9.1796875" style="1912"/>
    <col min="16132" max="16132" width="3.7265625" style="1912" customWidth="1"/>
    <col min="16133" max="16133" width="14.453125" style="1912" customWidth="1"/>
    <col min="16134" max="16134" width="3.7265625" style="1912" customWidth="1"/>
    <col min="16135" max="16135" width="20.81640625" style="1912" customWidth="1"/>
    <col min="16136" max="16151" width="9.26953125" style="1912" customWidth="1"/>
    <col min="16152" max="16384" width="9.1796875" style="1912"/>
  </cols>
  <sheetData>
    <row r="1" spans="1:29" ht="14.25" customHeight="1" x14ac:dyDescent="0.3">
      <c r="A1" s="819"/>
      <c r="B1" s="1195"/>
      <c r="C1" s="1195"/>
      <c r="D1" s="1190"/>
      <c r="E1" s="1190"/>
      <c r="F1" s="1190"/>
      <c r="G1" s="1190"/>
      <c r="H1" s="1190"/>
      <c r="I1" s="1190"/>
      <c r="J1" s="1190"/>
      <c r="K1" s="1190"/>
      <c r="L1" s="1190"/>
      <c r="M1" s="1190"/>
      <c r="N1" s="1190"/>
      <c r="O1" s="1190"/>
      <c r="P1" s="1190"/>
      <c r="Q1" s="1869"/>
      <c r="R1" s="1869"/>
    </row>
    <row r="2" spans="1:29" ht="14.25" customHeight="1" x14ac:dyDescent="0.3">
      <c r="A2" s="819">
        <v>1</v>
      </c>
      <c r="B2" s="819" t="s">
        <v>0</v>
      </c>
      <c r="C2" s="819">
        <v>46</v>
      </c>
      <c r="D2" s="4757" t="s">
        <v>1061</v>
      </c>
      <c r="E2" s="4758"/>
      <c r="F2" s="4758"/>
      <c r="G2" s="4758"/>
      <c r="H2" s="4758"/>
      <c r="I2" s="4758"/>
      <c r="J2" s="4758"/>
      <c r="K2" s="4758"/>
      <c r="L2" s="4758"/>
      <c r="M2" s="4758"/>
      <c r="N2" s="4758"/>
      <c r="O2" s="4758"/>
      <c r="P2" s="4758"/>
      <c r="Q2" s="4758"/>
      <c r="R2" s="4758"/>
      <c r="S2" s="4758"/>
      <c r="T2" s="4758"/>
      <c r="U2" s="4758"/>
      <c r="V2" s="4758"/>
      <c r="W2" s="4758"/>
      <c r="X2" s="4758"/>
      <c r="Y2" s="4758"/>
      <c r="Z2" s="4758"/>
      <c r="AA2" s="4758"/>
      <c r="AB2" s="4759"/>
    </row>
    <row r="3" spans="1:29" ht="14.25" customHeight="1" x14ac:dyDescent="0.3">
      <c r="A3" s="819">
        <v>2</v>
      </c>
      <c r="B3" s="819" t="s">
        <v>2</v>
      </c>
      <c r="C3" s="819"/>
      <c r="D3" s="4757" t="s">
        <v>952</v>
      </c>
      <c r="E3" s="4758"/>
      <c r="F3" s="4758"/>
      <c r="G3" s="4758"/>
      <c r="H3" s="4758"/>
      <c r="I3" s="4758"/>
      <c r="J3" s="4758"/>
      <c r="K3" s="4758"/>
      <c r="L3" s="4758"/>
      <c r="M3" s="4758"/>
      <c r="N3" s="4758"/>
      <c r="O3" s="4758"/>
      <c r="P3" s="4758"/>
      <c r="Q3" s="4758"/>
      <c r="R3" s="4758"/>
      <c r="S3" s="4758"/>
      <c r="T3" s="4758"/>
      <c r="U3" s="4758"/>
      <c r="V3" s="4758"/>
      <c r="W3" s="4758"/>
      <c r="X3" s="4758"/>
      <c r="Y3" s="4758"/>
      <c r="Z3" s="4758"/>
      <c r="AA3" s="4758"/>
      <c r="AB3" s="4759"/>
    </row>
    <row r="4" spans="1:29" ht="14.25" customHeight="1" x14ac:dyDescent="0.3">
      <c r="A4" s="819">
        <v>3</v>
      </c>
      <c r="B4" s="819" t="s">
        <v>4</v>
      </c>
      <c r="C4" s="819"/>
      <c r="D4" s="4757" t="s">
        <v>1062</v>
      </c>
      <c r="E4" s="4758"/>
      <c r="F4" s="4758"/>
      <c r="G4" s="4758"/>
      <c r="H4" s="4758"/>
      <c r="I4" s="4758"/>
      <c r="J4" s="4758"/>
      <c r="K4" s="4758"/>
      <c r="L4" s="4758"/>
      <c r="M4" s="4758"/>
      <c r="N4" s="4758"/>
      <c r="O4" s="4758"/>
      <c r="P4" s="4758"/>
      <c r="Q4" s="4758"/>
      <c r="R4" s="4758"/>
      <c r="S4" s="4758"/>
      <c r="T4" s="4758"/>
      <c r="U4" s="4758"/>
      <c r="V4" s="4758"/>
      <c r="W4" s="4758"/>
      <c r="X4" s="4758"/>
      <c r="Y4" s="4758"/>
      <c r="Z4" s="4758"/>
      <c r="AA4" s="4758"/>
      <c r="AB4" s="4759"/>
    </row>
    <row r="5" spans="1:29" ht="14.25" customHeight="1" x14ac:dyDescent="0.3">
      <c r="A5" s="819"/>
      <c r="B5" s="819"/>
      <c r="C5" s="1912"/>
      <c r="D5" s="2689"/>
      <c r="E5" s="2689"/>
      <c r="F5" s="2689"/>
      <c r="G5" s="2689"/>
      <c r="H5" s="2689"/>
      <c r="I5" s="2689"/>
      <c r="J5" s="2689"/>
      <c r="K5" s="2689"/>
      <c r="L5" s="2689"/>
      <c r="M5" s="2689"/>
      <c r="N5" s="2689"/>
      <c r="O5" s="2689"/>
      <c r="P5" s="2689"/>
      <c r="Q5" s="2689"/>
      <c r="R5" s="2689"/>
      <c r="S5" s="2689"/>
      <c r="T5" s="2689"/>
      <c r="U5" s="2689"/>
      <c r="V5" s="2689"/>
      <c r="W5" s="2689"/>
      <c r="X5" s="2689"/>
      <c r="Y5" s="2689"/>
      <c r="Z5" s="2689"/>
      <c r="AA5" s="2689"/>
    </row>
    <row r="6" spans="1:29" ht="14.25" customHeight="1" x14ac:dyDescent="0.3">
      <c r="A6" s="1912"/>
      <c r="B6" s="1912"/>
      <c r="C6" s="819"/>
      <c r="D6" s="171"/>
      <c r="E6" s="171"/>
      <c r="F6" s="171"/>
      <c r="G6" s="171"/>
      <c r="H6" s="171"/>
      <c r="I6" s="171"/>
      <c r="J6" s="171"/>
      <c r="K6" s="171"/>
      <c r="L6" s="171"/>
      <c r="M6" s="171"/>
      <c r="N6" s="171"/>
      <c r="O6" s="50"/>
      <c r="P6" s="50"/>
      <c r="Q6" s="1914"/>
      <c r="R6" s="1914"/>
    </row>
    <row r="7" spans="1:29" s="33" customFormat="1" ht="11.25" customHeight="1" x14ac:dyDescent="0.25">
      <c r="A7" s="819">
        <v>4</v>
      </c>
      <c r="B7" s="819" t="s">
        <v>6</v>
      </c>
      <c r="C7" s="1224"/>
      <c r="D7" s="90" t="s">
        <v>85</v>
      </c>
      <c r="E7" s="90" t="str">
        <f>D2</f>
        <v>Number of candidates for the National Senior Certficate examinations with mathematics and physical science passes</v>
      </c>
      <c r="F7" s="90"/>
      <c r="G7" s="90"/>
      <c r="H7" s="90"/>
      <c r="I7" s="90"/>
      <c r="J7" s="90"/>
      <c r="K7" s="90"/>
      <c r="L7" s="90"/>
      <c r="M7" s="120"/>
      <c r="N7" s="120"/>
      <c r="O7" s="120"/>
      <c r="P7" s="120"/>
      <c r="Q7" s="108"/>
      <c r="R7" s="108"/>
      <c r="S7" s="178"/>
      <c r="T7" s="178"/>
    </row>
    <row r="8" spans="1:29" s="33" customFormat="1" ht="12.75" customHeight="1" x14ac:dyDescent="0.25">
      <c r="A8" s="2633"/>
      <c r="B8" s="1224"/>
      <c r="C8" s="1224"/>
      <c r="D8" s="2690"/>
      <c r="E8" s="2691">
        <v>1995</v>
      </c>
      <c r="F8" s="2691">
        <v>1996</v>
      </c>
      <c r="G8" s="2691">
        <v>1997</v>
      </c>
      <c r="H8" s="2691">
        <v>1998</v>
      </c>
      <c r="I8" s="2691">
        <v>1999</v>
      </c>
      <c r="J8" s="2691">
        <v>2000</v>
      </c>
      <c r="K8" s="2691">
        <v>2001</v>
      </c>
      <c r="L8" s="2691">
        <v>2002</v>
      </c>
      <c r="M8" s="2691">
        <v>2003</v>
      </c>
      <c r="N8" s="2691">
        <v>2004</v>
      </c>
      <c r="O8" s="2691">
        <v>2005</v>
      </c>
      <c r="P8" s="2691">
        <v>2006</v>
      </c>
      <c r="Q8" s="2691">
        <v>2007</v>
      </c>
      <c r="R8" s="2691">
        <v>2008</v>
      </c>
      <c r="S8" s="2691">
        <v>2009</v>
      </c>
      <c r="T8" s="2474">
        <v>2010</v>
      </c>
      <c r="U8" s="2474">
        <v>2011</v>
      </c>
      <c r="V8" s="2474">
        <v>2012</v>
      </c>
      <c r="W8" s="2474">
        <v>2013</v>
      </c>
      <c r="X8" s="2474">
        <v>2014</v>
      </c>
      <c r="Y8" s="2474">
        <v>2015</v>
      </c>
      <c r="Z8" s="2474">
        <v>2016</v>
      </c>
      <c r="AA8" s="2476">
        <v>2017</v>
      </c>
      <c r="AB8" s="2476">
        <v>2018</v>
      </c>
      <c r="AC8" s="2476">
        <v>2019</v>
      </c>
    </row>
    <row r="9" spans="1:29" s="33" customFormat="1" ht="13.5" customHeight="1" x14ac:dyDescent="0.25">
      <c r="A9" s="2633"/>
      <c r="B9" s="1224"/>
      <c r="C9" s="1224"/>
      <c r="D9" s="107" t="s">
        <v>1063</v>
      </c>
      <c r="E9" s="2692"/>
      <c r="F9" s="2692"/>
      <c r="G9" s="2692"/>
      <c r="H9" s="2692"/>
      <c r="I9" s="2692"/>
      <c r="J9" s="2692"/>
      <c r="K9" s="2692"/>
      <c r="L9" s="2692"/>
      <c r="M9" s="1650"/>
      <c r="N9" s="2693"/>
      <c r="O9" s="11"/>
      <c r="P9" s="2694"/>
      <c r="Q9" s="2692"/>
      <c r="R9" s="2695">
        <v>136184</v>
      </c>
      <c r="S9" s="2696">
        <v>133505</v>
      </c>
      <c r="T9" s="2697">
        <v>124749</v>
      </c>
      <c r="U9" s="2697">
        <v>104033</v>
      </c>
      <c r="V9" s="2697">
        <v>121970</v>
      </c>
      <c r="W9" s="2697">
        <v>142666</v>
      </c>
      <c r="X9" s="2697">
        <v>120523</v>
      </c>
      <c r="Y9" s="2697">
        <v>129481</v>
      </c>
      <c r="Z9" s="2697">
        <v>135958</v>
      </c>
      <c r="AA9" s="2698">
        <v>127197</v>
      </c>
      <c r="AB9" s="2698">
        <v>135638</v>
      </c>
      <c r="AC9" s="2698">
        <v>121179</v>
      </c>
    </row>
    <row r="10" spans="1:29" s="2708" customFormat="1" ht="13.5" customHeight="1" x14ac:dyDescent="0.25">
      <c r="A10" s="2699"/>
      <c r="B10" s="2700"/>
      <c r="C10" s="2700"/>
      <c r="D10" s="2701" t="s">
        <v>1064</v>
      </c>
      <c r="E10" s="2702"/>
      <c r="F10" s="2702"/>
      <c r="G10" s="2702"/>
      <c r="H10" s="2702"/>
      <c r="I10" s="2702"/>
      <c r="J10" s="2702"/>
      <c r="K10" s="2702"/>
      <c r="L10" s="2702"/>
      <c r="M10" s="2703"/>
      <c r="N10" s="2704"/>
      <c r="O10" s="2705"/>
      <c r="P10" s="2706"/>
      <c r="Q10" s="2702"/>
      <c r="R10" s="2696">
        <v>62388</v>
      </c>
      <c r="S10" s="2696">
        <v>52866</v>
      </c>
      <c r="T10" s="2707">
        <v>50195</v>
      </c>
      <c r="U10" s="2707">
        <v>41586</v>
      </c>
      <c r="V10" s="2707">
        <v>51231</v>
      </c>
      <c r="W10" s="2707">
        <v>63151</v>
      </c>
      <c r="X10" s="2707">
        <v>50365</v>
      </c>
      <c r="Y10" s="2707">
        <v>53588</v>
      </c>
      <c r="Z10" s="2707">
        <v>56555</v>
      </c>
      <c r="AA10" s="2698">
        <v>54359</v>
      </c>
      <c r="AB10" s="2698">
        <v>50701</v>
      </c>
      <c r="AC10" s="2698">
        <v>45090</v>
      </c>
    </row>
    <row r="11" spans="1:29" s="11" customFormat="1" ht="12" customHeight="1" x14ac:dyDescent="0.25">
      <c r="A11" s="1431"/>
      <c r="B11" s="1223"/>
      <c r="C11" s="1223"/>
      <c r="D11" s="2709" t="s">
        <v>1065</v>
      </c>
      <c r="E11" s="2710"/>
      <c r="F11" s="2710"/>
      <c r="G11" s="2710"/>
      <c r="H11" s="2710"/>
      <c r="I11" s="2710"/>
      <c r="J11" s="2710"/>
      <c r="K11" s="2710"/>
      <c r="L11" s="2710"/>
      <c r="M11" s="1650"/>
      <c r="N11" s="2693"/>
      <c r="P11" s="2694"/>
      <c r="Q11" s="2710"/>
      <c r="R11" s="2711">
        <v>119206</v>
      </c>
      <c r="S11" s="2696">
        <v>81356</v>
      </c>
      <c r="T11" s="2707">
        <v>98260</v>
      </c>
      <c r="U11" s="2707">
        <v>96441</v>
      </c>
      <c r="V11" s="2707">
        <v>109918</v>
      </c>
      <c r="W11" s="2707">
        <v>124206</v>
      </c>
      <c r="X11" s="2707">
        <v>103348</v>
      </c>
      <c r="Y11" s="2707">
        <v>113121</v>
      </c>
      <c r="Z11" s="2707">
        <v>119427</v>
      </c>
      <c r="AA11" s="2712">
        <v>116862</v>
      </c>
      <c r="AB11" s="2712">
        <v>127919</v>
      </c>
      <c r="AC11" s="2712">
        <v>124237</v>
      </c>
    </row>
    <row r="12" spans="1:29" s="2708" customFormat="1" ht="12" customHeight="1" x14ac:dyDescent="0.25">
      <c r="A12" s="2699"/>
      <c r="B12" s="2700"/>
      <c r="C12" s="2700"/>
      <c r="D12" s="2713" t="s">
        <v>1064</v>
      </c>
      <c r="E12" s="2714"/>
      <c r="F12" s="2714"/>
      <c r="G12" s="2714"/>
      <c r="H12" s="2714"/>
      <c r="I12" s="2714"/>
      <c r="J12" s="2714"/>
      <c r="K12" s="2714"/>
      <c r="L12" s="2714"/>
      <c r="M12" s="2715"/>
      <c r="N12" s="2716"/>
      <c r="O12" s="2717"/>
      <c r="P12" s="2718"/>
      <c r="Q12" s="2714"/>
      <c r="R12" s="2719">
        <v>32524</v>
      </c>
      <c r="S12" s="2719">
        <v>22329</v>
      </c>
      <c r="T12" s="2720">
        <v>37853</v>
      </c>
      <c r="U12" s="2720">
        <v>37106</v>
      </c>
      <c r="V12" s="2720">
        <v>43639</v>
      </c>
      <c r="W12" s="2720">
        <v>47030</v>
      </c>
      <c r="X12" s="2720">
        <v>37749</v>
      </c>
      <c r="Y12" s="2720">
        <v>42433</v>
      </c>
      <c r="Z12" s="2720">
        <v>47586</v>
      </c>
      <c r="AA12" s="2721">
        <v>48260</v>
      </c>
      <c r="AB12" s="2721">
        <v>51466</v>
      </c>
      <c r="AC12" s="2721">
        <v>54467</v>
      </c>
    </row>
    <row r="13" spans="1:29" ht="13.5" customHeight="1" x14ac:dyDescent="0.3">
      <c r="A13" s="2631"/>
      <c r="B13" s="1868"/>
      <c r="C13" s="1868"/>
      <c r="D13" s="107"/>
      <c r="E13" s="2710"/>
      <c r="F13" s="2710"/>
      <c r="G13" s="2710"/>
      <c r="H13" s="2710"/>
      <c r="I13" s="2710"/>
      <c r="J13" s="2710"/>
      <c r="K13" s="2710"/>
      <c r="L13" s="2710"/>
      <c r="M13" s="2710"/>
      <c r="N13" s="2710"/>
      <c r="O13" s="2710"/>
      <c r="P13" s="2710"/>
      <c r="Q13" s="2710"/>
      <c r="R13" s="2710"/>
      <c r="S13" s="2722"/>
      <c r="T13" s="2722"/>
      <c r="U13" s="2722"/>
      <c r="V13" s="2722"/>
      <c r="W13" s="2722"/>
      <c r="X13" s="2722"/>
    </row>
    <row r="14" spans="1:29" ht="13.5" customHeight="1" x14ac:dyDescent="0.3">
      <c r="A14" s="2631"/>
      <c r="B14" s="1868"/>
      <c r="C14" s="1868"/>
      <c r="D14" s="107"/>
      <c r="E14" s="2710"/>
      <c r="F14" s="2710"/>
      <c r="G14" s="2710"/>
      <c r="H14" s="2710"/>
      <c r="I14" s="2710"/>
      <c r="J14" s="2710"/>
      <c r="K14" s="2710"/>
      <c r="L14" s="2710"/>
      <c r="M14" s="2710"/>
      <c r="N14" s="2710"/>
      <c r="O14" s="2710"/>
      <c r="P14" s="2710"/>
      <c r="Q14" s="2710"/>
      <c r="R14" s="2710"/>
    </row>
    <row r="15" spans="1:29" x14ac:dyDescent="0.3">
      <c r="C15" s="819"/>
      <c r="D15" s="1869"/>
      <c r="E15" s="1869"/>
      <c r="F15" s="1869"/>
      <c r="G15" s="1869"/>
      <c r="H15" s="1869"/>
      <c r="I15" s="1869"/>
      <c r="J15" s="1869"/>
      <c r="K15" s="1869"/>
      <c r="L15" s="1869"/>
      <c r="M15" s="1869"/>
      <c r="N15" s="1869"/>
      <c r="O15" s="1869"/>
      <c r="P15" s="1869"/>
      <c r="Q15" s="1869"/>
      <c r="R15" s="1869"/>
    </row>
    <row r="16" spans="1:29" x14ac:dyDescent="0.3">
      <c r="A16" s="819">
        <v>5</v>
      </c>
      <c r="B16" s="819" t="s">
        <v>56</v>
      </c>
      <c r="C16" s="2631"/>
      <c r="D16" s="1869"/>
      <c r="E16" s="1869"/>
      <c r="F16" s="1869"/>
      <c r="G16" s="1869"/>
      <c r="H16" s="1869"/>
      <c r="I16" s="1869"/>
      <c r="J16" s="1869"/>
      <c r="K16" s="1869"/>
      <c r="L16" s="1869"/>
      <c r="M16" s="1869"/>
      <c r="N16" s="1869"/>
      <c r="O16" s="1869"/>
      <c r="P16" s="1869"/>
      <c r="Q16" s="1869"/>
      <c r="R16" s="1869"/>
    </row>
    <row r="17" spans="1:28" x14ac:dyDescent="0.3">
      <c r="A17" s="2631"/>
      <c r="B17" s="2631"/>
      <c r="C17" s="2631"/>
      <c r="D17" s="1869"/>
      <c r="E17" s="1869"/>
      <c r="F17" s="1869"/>
      <c r="G17" s="1869"/>
      <c r="H17" s="1869"/>
      <c r="I17" s="1869"/>
      <c r="J17" s="1869"/>
      <c r="K17" s="1869"/>
      <c r="L17" s="1869"/>
      <c r="M17" s="1869"/>
      <c r="N17" s="1869"/>
      <c r="O17" s="1869"/>
      <c r="P17" s="1869"/>
      <c r="Q17" s="1869"/>
      <c r="R17" s="1869"/>
    </row>
    <row r="18" spans="1:28" x14ac:dyDescent="0.3">
      <c r="A18" s="2631"/>
      <c r="B18" s="2631"/>
      <c r="C18" s="2631"/>
      <c r="D18" s="1869"/>
      <c r="E18" s="1869"/>
      <c r="F18" s="1869"/>
      <c r="G18" s="1869"/>
      <c r="H18" s="1869"/>
      <c r="I18" s="1869"/>
      <c r="J18" s="1869"/>
      <c r="K18" s="1869"/>
      <c r="L18" s="1869"/>
      <c r="M18" s="1869"/>
      <c r="N18" s="1869"/>
      <c r="O18" s="1869"/>
      <c r="P18" s="1869"/>
      <c r="Q18" s="1869"/>
      <c r="R18" s="1869"/>
    </row>
    <row r="19" spans="1:28" x14ac:dyDescent="0.3">
      <c r="A19" s="2631"/>
      <c r="B19" s="2631"/>
      <c r="C19" s="2631"/>
      <c r="D19" s="1869"/>
      <c r="E19" s="1869"/>
      <c r="F19" s="1869"/>
      <c r="G19" s="1869"/>
      <c r="H19" s="1869"/>
      <c r="I19" s="1869"/>
      <c r="J19" s="1869"/>
      <c r="K19" s="1869"/>
      <c r="L19" s="1869"/>
      <c r="M19" s="1869"/>
      <c r="N19" s="1869"/>
      <c r="O19" s="1869"/>
      <c r="P19" s="1869"/>
      <c r="Q19" s="1869"/>
      <c r="R19" s="1869"/>
    </row>
    <row r="20" spans="1:28" x14ac:dyDescent="0.3">
      <c r="A20" s="2631"/>
      <c r="B20" s="2631"/>
      <c r="C20" s="2631"/>
      <c r="D20" s="1869"/>
      <c r="E20" s="1869"/>
      <c r="F20" s="1869"/>
      <c r="G20" s="1869"/>
      <c r="H20" s="1869"/>
      <c r="I20" s="1869"/>
      <c r="J20" s="1869"/>
      <c r="K20" s="1869"/>
      <c r="L20" s="1869"/>
      <c r="M20" s="1869"/>
      <c r="N20" s="1869"/>
      <c r="O20" s="1869"/>
      <c r="P20" s="1869"/>
      <c r="Q20" s="1869"/>
      <c r="R20" s="1869"/>
    </row>
    <row r="21" spans="1:28" x14ac:dyDescent="0.3">
      <c r="A21" s="2631"/>
      <c r="B21" s="2631"/>
      <c r="C21" s="2631"/>
      <c r="D21" s="1869"/>
      <c r="E21" s="1869"/>
      <c r="F21" s="1869"/>
      <c r="G21" s="1869"/>
      <c r="H21" s="1869"/>
      <c r="I21" s="1869"/>
      <c r="J21" s="1869"/>
      <c r="K21" s="1869"/>
      <c r="L21" s="1869"/>
      <c r="M21" s="1869"/>
      <c r="N21" s="1869"/>
      <c r="O21" s="1869"/>
      <c r="P21" s="1869"/>
      <c r="Q21" s="1869"/>
      <c r="R21" s="1869"/>
    </row>
    <row r="22" spans="1:28" x14ac:dyDescent="0.3">
      <c r="A22" s="2631"/>
      <c r="B22" s="2631"/>
      <c r="C22" s="2631"/>
      <c r="D22" s="1869"/>
      <c r="E22" s="1869"/>
      <c r="F22" s="1869"/>
      <c r="G22" s="1869"/>
      <c r="H22" s="1869"/>
      <c r="I22" s="1869"/>
      <c r="J22" s="1869"/>
      <c r="K22" s="1869"/>
      <c r="L22" s="1869"/>
      <c r="M22" s="1869"/>
      <c r="N22" s="1869"/>
      <c r="O22" s="1869"/>
      <c r="P22" s="1869"/>
      <c r="Q22" s="1869"/>
      <c r="R22" s="1869"/>
    </row>
    <row r="23" spans="1:28" x14ac:dyDescent="0.3">
      <c r="A23" s="2631"/>
      <c r="B23" s="2631"/>
      <c r="C23" s="2631"/>
      <c r="D23" s="1869"/>
      <c r="E23" s="1869"/>
      <c r="F23" s="1869"/>
      <c r="G23" s="1869"/>
      <c r="H23" s="1869"/>
      <c r="I23" s="1869"/>
      <c r="J23" s="1869"/>
      <c r="K23" s="1869"/>
      <c r="L23" s="1869"/>
      <c r="M23" s="1869"/>
      <c r="N23" s="1869"/>
      <c r="O23" s="1869"/>
      <c r="P23" s="1869"/>
      <c r="Q23" s="1869"/>
      <c r="R23" s="1869"/>
    </row>
    <row r="24" spans="1:28" x14ac:dyDescent="0.3">
      <c r="A24" s="2631"/>
      <c r="B24" s="2631"/>
      <c r="C24" s="2631"/>
      <c r="D24" s="1869"/>
      <c r="E24" s="1869"/>
      <c r="F24" s="1869"/>
      <c r="G24" s="1869"/>
      <c r="H24" s="1869"/>
      <c r="I24" s="1869"/>
      <c r="J24" s="1869"/>
      <c r="K24" s="1869"/>
      <c r="L24" s="1869"/>
      <c r="M24" s="1869"/>
      <c r="N24" s="1869"/>
      <c r="O24" s="1869"/>
      <c r="P24" s="1869"/>
      <c r="Q24" s="1869"/>
      <c r="R24" s="1869"/>
    </row>
    <row r="25" spans="1:28" x14ac:dyDescent="0.3">
      <c r="A25" s="2631"/>
      <c r="B25" s="2631"/>
      <c r="C25" s="2631"/>
      <c r="D25" s="1869"/>
      <c r="E25" s="1869"/>
      <c r="F25" s="1869"/>
      <c r="G25" s="1869"/>
      <c r="H25" s="1869"/>
      <c r="I25" s="1869"/>
      <c r="J25" s="1869"/>
      <c r="K25" s="1869"/>
      <c r="L25" s="1869"/>
      <c r="M25" s="1869"/>
      <c r="N25" s="1869"/>
      <c r="O25" s="1869"/>
      <c r="P25" s="1869"/>
      <c r="Q25" s="1869"/>
      <c r="R25" s="1869"/>
    </row>
    <row r="26" spans="1:28" x14ac:dyDescent="0.3">
      <c r="A26" s="2631"/>
      <c r="B26" s="2631"/>
      <c r="C26" s="2631"/>
      <c r="D26" s="1869"/>
      <c r="E26" s="1869"/>
      <c r="F26" s="1869"/>
      <c r="G26" s="1869"/>
      <c r="H26" s="1869"/>
      <c r="I26" s="1869"/>
      <c r="J26" s="1869"/>
      <c r="K26" s="1869"/>
      <c r="L26" s="1869"/>
      <c r="M26" s="1869"/>
      <c r="N26" s="1869"/>
      <c r="O26" s="1869"/>
      <c r="P26" s="1869"/>
      <c r="Q26" s="1869"/>
      <c r="R26" s="1869"/>
    </row>
    <row r="27" spans="1:28" x14ac:dyDescent="0.3">
      <c r="A27" s="2631"/>
      <c r="B27" s="2631"/>
      <c r="C27" s="2631"/>
      <c r="D27" s="1869"/>
      <c r="E27" s="1869"/>
      <c r="F27" s="1869"/>
      <c r="G27" s="1869"/>
      <c r="H27" s="1869"/>
      <c r="I27" s="1869"/>
      <c r="J27" s="1869"/>
      <c r="K27" s="1869"/>
      <c r="L27" s="1869"/>
      <c r="M27" s="1869"/>
      <c r="N27" s="1869"/>
      <c r="O27" s="1869"/>
      <c r="P27" s="1869"/>
      <c r="Q27" s="1869"/>
      <c r="R27" s="1869"/>
    </row>
    <row r="28" spans="1:28" x14ac:dyDescent="0.3">
      <c r="A28" s="2631"/>
      <c r="B28" s="2631"/>
      <c r="C28" s="2631"/>
      <c r="D28" s="1869"/>
      <c r="E28" s="1869"/>
      <c r="F28" s="1869"/>
      <c r="G28" s="1869"/>
      <c r="H28" s="1869"/>
      <c r="I28" s="1869"/>
      <c r="J28" s="1869"/>
      <c r="K28" s="1869"/>
      <c r="L28" s="1869"/>
      <c r="M28" s="1869"/>
      <c r="N28" s="1869"/>
      <c r="O28" s="1869"/>
      <c r="P28" s="1869"/>
      <c r="Q28" s="1869"/>
      <c r="R28" s="1869"/>
    </row>
    <row r="29" spans="1:28" ht="22.5" customHeight="1" x14ac:dyDescent="0.3">
      <c r="A29" s="2631"/>
      <c r="B29" s="2631"/>
      <c r="C29" s="2631"/>
      <c r="D29" s="1869"/>
      <c r="E29" s="1869"/>
      <c r="F29" s="1869"/>
      <c r="G29" s="1869"/>
      <c r="H29" s="1869"/>
      <c r="I29" s="1869"/>
      <c r="J29" s="1869"/>
      <c r="K29" s="1869"/>
      <c r="L29" s="1869"/>
      <c r="M29" s="1869"/>
      <c r="N29" s="1869"/>
      <c r="O29" s="1869"/>
      <c r="P29" s="1869"/>
      <c r="Q29" s="1869"/>
      <c r="R29" s="1869"/>
    </row>
    <row r="30" spans="1:28" ht="15" customHeight="1" x14ac:dyDescent="0.3">
      <c r="A30" s="819">
        <v>6</v>
      </c>
      <c r="B30" s="819" t="s">
        <v>58</v>
      </c>
      <c r="C30" s="819"/>
      <c r="D30" s="4757" t="s">
        <v>263</v>
      </c>
      <c r="E30" s="4758"/>
      <c r="F30" s="4758"/>
      <c r="G30" s="4758"/>
      <c r="H30" s="4758"/>
      <c r="I30" s="4758"/>
      <c r="J30" s="4758"/>
      <c r="K30" s="4758"/>
      <c r="L30" s="4758"/>
      <c r="M30" s="4758"/>
      <c r="N30" s="4758"/>
      <c r="O30" s="4758"/>
      <c r="P30" s="4758"/>
      <c r="Q30" s="4758"/>
      <c r="R30" s="4758"/>
      <c r="S30" s="4758"/>
      <c r="T30" s="4758"/>
      <c r="U30" s="4758"/>
      <c r="V30" s="4758"/>
      <c r="W30" s="4758"/>
      <c r="X30" s="4758"/>
      <c r="Y30" s="4758"/>
      <c r="Z30" s="4758"/>
      <c r="AA30" s="4758"/>
      <c r="AB30" s="4759"/>
    </row>
    <row r="31" spans="1:28" ht="25.5" customHeight="1" x14ac:dyDescent="0.3">
      <c r="A31" s="870">
        <v>7</v>
      </c>
      <c r="B31" s="870" t="s">
        <v>60</v>
      </c>
      <c r="C31" s="870"/>
      <c r="D31" s="4757" t="s">
        <v>1066</v>
      </c>
      <c r="E31" s="4758"/>
      <c r="F31" s="4758"/>
      <c r="G31" s="4758"/>
      <c r="H31" s="4758"/>
      <c r="I31" s="4758"/>
      <c r="J31" s="4758"/>
      <c r="K31" s="4758"/>
      <c r="L31" s="4758"/>
      <c r="M31" s="4758"/>
      <c r="N31" s="4758"/>
      <c r="O31" s="4758"/>
      <c r="P31" s="4758"/>
      <c r="Q31" s="4758"/>
      <c r="R31" s="4758"/>
      <c r="S31" s="4758"/>
      <c r="T31" s="4758"/>
      <c r="U31" s="4758"/>
      <c r="V31" s="4758"/>
      <c r="W31" s="4758"/>
      <c r="X31" s="4758"/>
      <c r="Y31" s="4758"/>
      <c r="Z31" s="4758"/>
      <c r="AA31" s="4758"/>
      <c r="AB31" s="4759"/>
    </row>
    <row r="32" spans="1:28" ht="14.25" customHeight="1" x14ac:dyDescent="0.3">
      <c r="A32" s="819">
        <v>8</v>
      </c>
      <c r="B32" s="819" t="s">
        <v>62</v>
      </c>
      <c r="C32" s="819"/>
      <c r="D32" s="4757" t="s">
        <v>1060</v>
      </c>
      <c r="E32" s="4758"/>
      <c r="F32" s="4758"/>
      <c r="G32" s="4758"/>
      <c r="H32" s="4758"/>
      <c r="I32" s="4758"/>
      <c r="J32" s="4758"/>
      <c r="K32" s="4758"/>
      <c r="L32" s="4758"/>
      <c r="M32" s="4758"/>
      <c r="N32" s="4758"/>
      <c r="O32" s="4758"/>
      <c r="P32" s="4758"/>
      <c r="Q32" s="4758"/>
      <c r="R32" s="4758"/>
      <c r="S32" s="4758"/>
      <c r="T32" s="4758"/>
      <c r="U32" s="4758"/>
      <c r="V32" s="4758"/>
      <c r="W32" s="4758"/>
      <c r="X32" s="4758"/>
      <c r="Y32" s="4758"/>
      <c r="Z32" s="4758"/>
      <c r="AA32" s="4758"/>
      <c r="AB32" s="4759"/>
    </row>
    <row r="33" spans="1:28" ht="14.25" customHeight="1" x14ac:dyDescent="0.3">
      <c r="A33" s="819">
        <v>9</v>
      </c>
      <c r="B33" s="819" t="s">
        <v>134</v>
      </c>
      <c r="D33" s="4757" t="s">
        <v>1041</v>
      </c>
      <c r="E33" s="4758"/>
      <c r="F33" s="4758"/>
      <c r="G33" s="4758"/>
      <c r="H33" s="4758"/>
      <c r="I33" s="4758"/>
      <c r="J33" s="4758"/>
      <c r="K33" s="4758"/>
      <c r="L33" s="4758"/>
      <c r="M33" s="4758"/>
      <c r="N33" s="4758"/>
      <c r="O33" s="4758"/>
      <c r="P33" s="4758"/>
      <c r="Q33" s="4758"/>
      <c r="R33" s="4758"/>
      <c r="S33" s="4758"/>
      <c r="T33" s="4758"/>
      <c r="U33" s="4758"/>
      <c r="V33" s="4758"/>
      <c r="W33" s="4758"/>
      <c r="X33" s="4758"/>
      <c r="Y33" s="4758"/>
      <c r="Z33" s="4758"/>
      <c r="AA33" s="4758"/>
      <c r="AB33" s="4759"/>
    </row>
    <row r="35" spans="1:28" x14ac:dyDescent="0.3">
      <c r="H35" s="2695"/>
      <c r="I35" s="2695"/>
      <c r="J35" s="2723"/>
      <c r="K35" s="2723"/>
      <c r="L35" s="2723"/>
    </row>
    <row r="36" spans="1:28" x14ac:dyDescent="0.3">
      <c r="H36" s="2724"/>
      <c r="I36" s="2724"/>
      <c r="J36" s="2725"/>
      <c r="K36" s="2725"/>
      <c r="L36" s="2725"/>
    </row>
  </sheetData>
  <mergeCells count="7">
    <mergeCell ref="D33:AB33"/>
    <mergeCell ref="D2:AB2"/>
    <mergeCell ref="D3:AB3"/>
    <mergeCell ref="D4:AB4"/>
    <mergeCell ref="D30:AB30"/>
    <mergeCell ref="D31:AB31"/>
    <mergeCell ref="D32:AB32"/>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9B66-72C5-450C-A48C-DFA7DA3A415D}">
  <sheetPr>
    <tabColor theme="8" tint="-0.249977111117893"/>
    <pageSetUpPr fitToPage="1"/>
  </sheetPr>
  <dimension ref="A1:AC80"/>
  <sheetViews>
    <sheetView showGridLines="0" view="pageBreakPreview" zoomScale="90" zoomScaleNormal="100" zoomScaleSheetLayoutView="90" workbookViewId="0">
      <selection activeCell="X9" sqref="X9"/>
    </sheetView>
  </sheetViews>
  <sheetFormatPr defaultColWidth="9.1796875" defaultRowHeight="14" x14ac:dyDescent="0.3"/>
  <cols>
    <col min="1" max="1" width="3.7265625" style="2688" customWidth="1"/>
    <col min="2" max="2" width="14.453125" style="1910" customWidth="1"/>
    <col min="3" max="3" width="3.7265625" style="1910" customWidth="1"/>
    <col min="4" max="4" width="20" style="1912" customWidth="1"/>
    <col min="5" max="16" width="8.7265625" style="1912" customWidth="1"/>
    <col min="17" max="17" width="10.453125" style="1912" bestFit="1" customWidth="1"/>
    <col min="18" max="259" width="9.1796875" style="1912"/>
    <col min="260" max="260" width="3.7265625" style="1912" customWidth="1"/>
    <col min="261" max="261" width="14.453125" style="1912" customWidth="1"/>
    <col min="262" max="262" width="3.7265625" style="1912" customWidth="1"/>
    <col min="263" max="263" width="20" style="1912" customWidth="1"/>
    <col min="264" max="275" width="8.7265625" style="1912" customWidth="1"/>
    <col min="276" max="276" width="10.453125" style="1912" bestFit="1" customWidth="1"/>
    <col min="277" max="515" width="9.1796875" style="1912"/>
    <col min="516" max="516" width="3.7265625" style="1912" customWidth="1"/>
    <col min="517" max="517" width="14.453125" style="1912" customWidth="1"/>
    <col min="518" max="518" width="3.7265625" style="1912" customWidth="1"/>
    <col min="519" max="519" width="20" style="1912" customWidth="1"/>
    <col min="520" max="531" width="8.7265625" style="1912" customWidth="1"/>
    <col min="532" max="532" width="10.453125" style="1912" bestFit="1" customWidth="1"/>
    <col min="533" max="771" width="9.1796875" style="1912"/>
    <col min="772" max="772" width="3.7265625" style="1912" customWidth="1"/>
    <col min="773" max="773" width="14.453125" style="1912" customWidth="1"/>
    <col min="774" max="774" width="3.7265625" style="1912" customWidth="1"/>
    <col min="775" max="775" width="20" style="1912" customWidth="1"/>
    <col min="776" max="787" width="8.7265625" style="1912" customWidth="1"/>
    <col min="788" max="788" width="10.453125" style="1912" bestFit="1" customWidth="1"/>
    <col min="789" max="1027" width="9.1796875" style="1912"/>
    <col min="1028" max="1028" width="3.7265625" style="1912" customWidth="1"/>
    <col min="1029" max="1029" width="14.453125" style="1912" customWidth="1"/>
    <col min="1030" max="1030" width="3.7265625" style="1912" customWidth="1"/>
    <col min="1031" max="1031" width="20" style="1912" customWidth="1"/>
    <col min="1032" max="1043" width="8.7265625" style="1912" customWidth="1"/>
    <col min="1044" max="1044" width="10.453125" style="1912" bestFit="1" customWidth="1"/>
    <col min="1045" max="1283" width="9.1796875" style="1912"/>
    <col min="1284" max="1284" width="3.7265625" style="1912" customWidth="1"/>
    <col min="1285" max="1285" width="14.453125" style="1912" customWidth="1"/>
    <col min="1286" max="1286" width="3.7265625" style="1912" customWidth="1"/>
    <col min="1287" max="1287" width="20" style="1912" customWidth="1"/>
    <col min="1288" max="1299" width="8.7265625" style="1912" customWidth="1"/>
    <col min="1300" max="1300" width="10.453125" style="1912" bestFit="1" customWidth="1"/>
    <col min="1301" max="1539" width="9.1796875" style="1912"/>
    <col min="1540" max="1540" width="3.7265625" style="1912" customWidth="1"/>
    <col min="1541" max="1541" width="14.453125" style="1912" customWidth="1"/>
    <col min="1542" max="1542" width="3.7265625" style="1912" customWidth="1"/>
    <col min="1543" max="1543" width="20" style="1912" customWidth="1"/>
    <col min="1544" max="1555" width="8.7265625" style="1912" customWidth="1"/>
    <col min="1556" max="1556" width="10.453125" style="1912" bestFit="1" customWidth="1"/>
    <col min="1557" max="1795" width="9.1796875" style="1912"/>
    <col min="1796" max="1796" width="3.7265625" style="1912" customWidth="1"/>
    <col min="1797" max="1797" width="14.453125" style="1912" customWidth="1"/>
    <col min="1798" max="1798" width="3.7265625" style="1912" customWidth="1"/>
    <col min="1799" max="1799" width="20" style="1912" customWidth="1"/>
    <col min="1800" max="1811" width="8.7265625" style="1912" customWidth="1"/>
    <col min="1812" max="1812" width="10.453125" style="1912" bestFit="1" customWidth="1"/>
    <col min="1813" max="2051" width="9.1796875" style="1912"/>
    <col min="2052" max="2052" width="3.7265625" style="1912" customWidth="1"/>
    <col min="2053" max="2053" width="14.453125" style="1912" customWidth="1"/>
    <col min="2054" max="2054" width="3.7265625" style="1912" customWidth="1"/>
    <col min="2055" max="2055" width="20" style="1912" customWidth="1"/>
    <col min="2056" max="2067" width="8.7265625" style="1912" customWidth="1"/>
    <col min="2068" max="2068" width="10.453125" style="1912" bestFit="1" customWidth="1"/>
    <col min="2069" max="2307" width="9.1796875" style="1912"/>
    <col min="2308" max="2308" width="3.7265625" style="1912" customWidth="1"/>
    <col min="2309" max="2309" width="14.453125" style="1912" customWidth="1"/>
    <col min="2310" max="2310" width="3.7265625" style="1912" customWidth="1"/>
    <col min="2311" max="2311" width="20" style="1912" customWidth="1"/>
    <col min="2312" max="2323" width="8.7265625" style="1912" customWidth="1"/>
    <col min="2324" max="2324" width="10.453125" style="1912" bestFit="1" customWidth="1"/>
    <col min="2325" max="2563" width="9.1796875" style="1912"/>
    <col min="2564" max="2564" width="3.7265625" style="1912" customWidth="1"/>
    <col min="2565" max="2565" width="14.453125" style="1912" customWidth="1"/>
    <col min="2566" max="2566" width="3.7265625" style="1912" customWidth="1"/>
    <col min="2567" max="2567" width="20" style="1912" customWidth="1"/>
    <col min="2568" max="2579" width="8.7265625" style="1912" customWidth="1"/>
    <col min="2580" max="2580" width="10.453125" style="1912" bestFit="1" customWidth="1"/>
    <col min="2581" max="2819" width="9.1796875" style="1912"/>
    <col min="2820" max="2820" width="3.7265625" style="1912" customWidth="1"/>
    <col min="2821" max="2821" width="14.453125" style="1912" customWidth="1"/>
    <col min="2822" max="2822" width="3.7265625" style="1912" customWidth="1"/>
    <col min="2823" max="2823" width="20" style="1912" customWidth="1"/>
    <col min="2824" max="2835" width="8.7265625" style="1912" customWidth="1"/>
    <col min="2836" max="2836" width="10.453125" style="1912" bestFit="1" customWidth="1"/>
    <col min="2837" max="3075" width="9.1796875" style="1912"/>
    <col min="3076" max="3076" width="3.7265625" style="1912" customWidth="1"/>
    <col min="3077" max="3077" width="14.453125" style="1912" customWidth="1"/>
    <col min="3078" max="3078" width="3.7265625" style="1912" customWidth="1"/>
    <col min="3079" max="3079" width="20" style="1912" customWidth="1"/>
    <col min="3080" max="3091" width="8.7265625" style="1912" customWidth="1"/>
    <col min="3092" max="3092" width="10.453125" style="1912" bestFit="1" customWidth="1"/>
    <col min="3093" max="3331" width="9.1796875" style="1912"/>
    <col min="3332" max="3332" width="3.7265625" style="1912" customWidth="1"/>
    <col min="3333" max="3333" width="14.453125" style="1912" customWidth="1"/>
    <col min="3334" max="3334" width="3.7265625" style="1912" customWidth="1"/>
    <col min="3335" max="3335" width="20" style="1912" customWidth="1"/>
    <col min="3336" max="3347" width="8.7265625" style="1912" customWidth="1"/>
    <col min="3348" max="3348" width="10.453125" style="1912" bestFit="1" customWidth="1"/>
    <col min="3349" max="3587" width="9.1796875" style="1912"/>
    <col min="3588" max="3588" width="3.7265625" style="1912" customWidth="1"/>
    <col min="3589" max="3589" width="14.453125" style="1912" customWidth="1"/>
    <col min="3590" max="3590" width="3.7265625" style="1912" customWidth="1"/>
    <col min="3591" max="3591" width="20" style="1912" customWidth="1"/>
    <col min="3592" max="3603" width="8.7265625" style="1912" customWidth="1"/>
    <col min="3604" max="3604" width="10.453125" style="1912" bestFit="1" customWidth="1"/>
    <col min="3605" max="3843" width="9.1796875" style="1912"/>
    <col min="3844" max="3844" width="3.7265625" style="1912" customWidth="1"/>
    <col min="3845" max="3845" width="14.453125" style="1912" customWidth="1"/>
    <col min="3846" max="3846" width="3.7265625" style="1912" customWidth="1"/>
    <col min="3847" max="3847" width="20" style="1912" customWidth="1"/>
    <col min="3848" max="3859" width="8.7265625" style="1912" customWidth="1"/>
    <col min="3860" max="3860" width="10.453125" style="1912" bestFit="1" customWidth="1"/>
    <col min="3861" max="4099" width="9.1796875" style="1912"/>
    <col min="4100" max="4100" width="3.7265625" style="1912" customWidth="1"/>
    <col min="4101" max="4101" width="14.453125" style="1912" customWidth="1"/>
    <col min="4102" max="4102" width="3.7265625" style="1912" customWidth="1"/>
    <col min="4103" max="4103" width="20" style="1912" customWidth="1"/>
    <col min="4104" max="4115" width="8.7265625" style="1912" customWidth="1"/>
    <col min="4116" max="4116" width="10.453125" style="1912" bestFit="1" customWidth="1"/>
    <col min="4117" max="4355" width="9.1796875" style="1912"/>
    <col min="4356" max="4356" width="3.7265625" style="1912" customWidth="1"/>
    <col min="4357" max="4357" width="14.453125" style="1912" customWidth="1"/>
    <col min="4358" max="4358" width="3.7265625" style="1912" customWidth="1"/>
    <col min="4359" max="4359" width="20" style="1912" customWidth="1"/>
    <col min="4360" max="4371" width="8.7265625" style="1912" customWidth="1"/>
    <col min="4372" max="4372" width="10.453125" style="1912" bestFit="1" customWidth="1"/>
    <col min="4373" max="4611" width="9.1796875" style="1912"/>
    <col min="4612" max="4612" width="3.7265625" style="1912" customWidth="1"/>
    <col min="4613" max="4613" width="14.453125" style="1912" customWidth="1"/>
    <col min="4614" max="4614" width="3.7265625" style="1912" customWidth="1"/>
    <col min="4615" max="4615" width="20" style="1912" customWidth="1"/>
    <col min="4616" max="4627" width="8.7265625" style="1912" customWidth="1"/>
    <col min="4628" max="4628" width="10.453125" style="1912" bestFit="1" customWidth="1"/>
    <col min="4629" max="4867" width="9.1796875" style="1912"/>
    <col min="4868" max="4868" width="3.7265625" style="1912" customWidth="1"/>
    <col min="4869" max="4869" width="14.453125" style="1912" customWidth="1"/>
    <col min="4870" max="4870" width="3.7265625" style="1912" customWidth="1"/>
    <col min="4871" max="4871" width="20" style="1912" customWidth="1"/>
    <col min="4872" max="4883" width="8.7265625" style="1912" customWidth="1"/>
    <col min="4884" max="4884" width="10.453125" style="1912" bestFit="1" customWidth="1"/>
    <col min="4885" max="5123" width="9.1796875" style="1912"/>
    <col min="5124" max="5124" width="3.7265625" style="1912" customWidth="1"/>
    <col min="5125" max="5125" width="14.453125" style="1912" customWidth="1"/>
    <col min="5126" max="5126" width="3.7265625" style="1912" customWidth="1"/>
    <col min="5127" max="5127" width="20" style="1912" customWidth="1"/>
    <col min="5128" max="5139" width="8.7265625" style="1912" customWidth="1"/>
    <col min="5140" max="5140" width="10.453125" style="1912" bestFit="1" customWidth="1"/>
    <col min="5141" max="5379" width="9.1796875" style="1912"/>
    <col min="5380" max="5380" width="3.7265625" style="1912" customWidth="1"/>
    <col min="5381" max="5381" width="14.453125" style="1912" customWidth="1"/>
    <col min="5382" max="5382" width="3.7265625" style="1912" customWidth="1"/>
    <col min="5383" max="5383" width="20" style="1912" customWidth="1"/>
    <col min="5384" max="5395" width="8.7265625" style="1912" customWidth="1"/>
    <col min="5396" max="5396" width="10.453125" style="1912" bestFit="1" customWidth="1"/>
    <col min="5397" max="5635" width="9.1796875" style="1912"/>
    <col min="5636" max="5636" width="3.7265625" style="1912" customWidth="1"/>
    <col min="5637" max="5637" width="14.453125" style="1912" customWidth="1"/>
    <col min="5638" max="5638" width="3.7265625" style="1912" customWidth="1"/>
    <col min="5639" max="5639" width="20" style="1912" customWidth="1"/>
    <col min="5640" max="5651" width="8.7265625" style="1912" customWidth="1"/>
    <col min="5652" max="5652" width="10.453125" style="1912" bestFit="1" customWidth="1"/>
    <col min="5653" max="5891" width="9.1796875" style="1912"/>
    <col min="5892" max="5892" width="3.7265625" style="1912" customWidth="1"/>
    <col min="5893" max="5893" width="14.453125" style="1912" customWidth="1"/>
    <col min="5894" max="5894" width="3.7265625" style="1912" customWidth="1"/>
    <col min="5895" max="5895" width="20" style="1912" customWidth="1"/>
    <col min="5896" max="5907" width="8.7265625" style="1912" customWidth="1"/>
    <col min="5908" max="5908" width="10.453125" style="1912" bestFit="1" customWidth="1"/>
    <col min="5909" max="6147" width="9.1796875" style="1912"/>
    <col min="6148" max="6148" width="3.7265625" style="1912" customWidth="1"/>
    <col min="6149" max="6149" width="14.453125" style="1912" customWidth="1"/>
    <col min="6150" max="6150" width="3.7265625" style="1912" customWidth="1"/>
    <col min="6151" max="6151" width="20" style="1912" customWidth="1"/>
    <col min="6152" max="6163" width="8.7265625" style="1912" customWidth="1"/>
    <col min="6164" max="6164" width="10.453125" style="1912" bestFit="1" customWidth="1"/>
    <col min="6165" max="6403" width="9.1796875" style="1912"/>
    <col min="6404" max="6404" width="3.7265625" style="1912" customWidth="1"/>
    <col min="6405" max="6405" width="14.453125" style="1912" customWidth="1"/>
    <col min="6406" max="6406" width="3.7265625" style="1912" customWidth="1"/>
    <col min="6407" max="6407" width="20" style="1912" customWidth="1"/>
    <col min="6408" max="6419" width="8.7265625" style="1912" customWidth="1"/>
    <col min="6420" max="6420" width="10.453125" style="1912" bestFit="1" customWidth="1"/>
    <col min="6421" max="6659" width="9.1796875" style="1912"/>
    <col min="6660" max="6660" width="3.7265625" style="1912" customWidth="1"/>
    <col min="6661" max="6661" width="14.453125" style="1912" customWidth="1"/>
    <col min="6662" max="6662" width="3.7265625" style="1912" customWidth="1"/>
    <col min="6663" max="6663" width="20" style="1912" customWidth="1"/>
    <col min="6664" max="6675" width="8.7265625" style="1912" customWidth="1"/>
    <col min="6676" max="6676" width="10.453125" style="1912" bestFit="1" customWidth="1"/>
    <col min="6677" max="6915" width="9.1796875" style="1912"/>
    <col min="6916" max="6916" width="3.7265625" style="1912" customWidth="1"/>
    <col min="6917" max="6917" width="14.453125" style="1912" customWidth="1"/>
    <col min="6918" max="6918" width="3.7265625" style="1912" customWidth="1"/>
    <col min="6919" max="6919" width="20" style="1912" customWidth="1"/>
    <col min="6920" max="6931" width="8.7265625" style="1912" customWidth="1"/>
    <col min="6932" max="6932" width="10.453125" style="1912" bestFit="1" customWidth="1"/>
    <col min="6933" max="7171" width="9.1796875" style="1912"/>
    <col min="7172" max="7172" width="3.7265625" style="1912" customWidth="1"/>
    <col min="7173" max="7173" width="14.453125" style="1912" customWidth="1"/>
    <col min="7174" max="7174" width="3.7265625" style="1912" customWidth="1"/>
    <col min="7175" max="7175" width="20" style="1912" customWidth="1"/>
    <col min="7176" max="7187" width="8.7265625" style="1912" customWidth="1"/>
    <col min="7188" max="7188" width="10.453125" style="1912" bestFit="1" customWidth="1"/>
    <col min="7189" max="7427" width="9.1796875" style="1912"/>
    <col min="7428" max="7428" width="3.7265625" style="1912" customWidth="1"/>
    <col min="7429" max="7429" width="14.453125" style="1912" customWidth="1"/>
    <col min="7430" max="7430" width="3.7265625" style="1912" customWidth="1"/>
    <col min="7431" max="7431" width="20" style="1912" customWidth="1"/>
    <col min="7432" max="7443" width="8.7265625" style="1912" customWidth="1"/>
    <col min="7444" max="7444" width="10.453125" style="1912" bestFit="1" customWidth="1"/>
    <col min="7445" max="7683" width="9.1796875" style="1912"/>
    <col min="7684" max="7684" width="3.7265625" style="1912" customWidth="1"/>
    <col min="7685" max="7685" width="14.453125" style="1912" customWidth="1"/>
    <col min="7686" max="7686" width="3.7265625" style="1912" customWidth="1"/>
    <col min="7687" max="7687" width="20" style="1912" customWidth="1"/>
    <col min="7688" max="7699" width="8.7265625" style="1912" customWidth="1"/>
    <col min="7700" max="7700" width="10.453125" style="1912" bestFit="1" customWidth="1"/>
    <col min="7701" max="7939" width="9.1796875" style="1912"/>
    <col min="7940" max="7940" width="3.7265625" style="1912" customWidth="1"/>
    <col min="7941" max="7941" width="14.453125" style="1912" customWidth="1"/>
    <col min="7942" max="7942" width="3.7265625" style="1912" customWidth="1"/>
    <col min="7943" max="7943" width="20" style="1912" customWidth="1"/>
    <col min="7944" max="7955" width="8.7265625" style="1912" customWidth="1"/>
    <col min="7956" max="7956" width="10.453125" style="1912" bestFit="1" customWidth="1"/>
    <col min="7957" max="8195" width="9.1796875" style="1912"/>
    <col min="8196" max="8196" width="3.7265625" style="1912" customWidth="1"/>
    <col min="8197" max="8197" width="14.453125" style="1912" customWidth="1"/>
    <col min="8198" max="8198" width="3.7265625" style="1912" customWidth="1"/>
    <col min="8199" max="8199" width="20" style="1912" customWidth="1"/>
    <col min="8200" max="8211" width="8.7265625" style="1912" customWidth="1"/>
    <col min="8212" max="8212" width="10.453125" style="1912" bestFit="1" customWidth="1"/>
    <col min="8213" max="8451" width="9.1796875" style="1912"/>
    <col min="8452" max="8452" width="3.7265625" style="1912" customWidth="1"/>
    <col min="8453" max="8453" width="14.453125" style="1912" customWidth="1"/>
    <col min="8454" max="8454" width="3.7265625" style="1912" customWidth="1"/>
    <col min="8455" max="8455" width="20" style="1912" customWidth="1"/>
    <col min="8456" max="8467" width="8.7265625" style="1912" customWidth="1"/>
    <col min="8468" max="8468" width="10.453125" style="1912" bestFit="1" customWidth="1"/>
    <col min="8469" max="8707" width="9.1796875" style="1912"/>
    <col min="8708" max="8708" width="3.7265625" style="1912" customWidth="1"/>
    <col min="8709" max="8709" width="14.453125" style="1912" customWidth="1"/>
    <col min="8710" max="8710" width="3.7265625" style="1912" customWidth="1"/>
    <col min="8711" max="8711" width="20" style="1912" customWidth="1"/>
    <col min="8712" max="8723" width="8.7265625" style="1912" customWidth="1"/>
    <col min="8724" max="8724" width="10.453125" style="1912" bestFit="1" customWidth="1"/>
    <col min="8725" max="8963" width="9.1796875" style="1912"/>
    <col min="8964" max="8964" width="3.7265625" style="1912" customWidth="1"/>
    <col min="8965" max="8965" width="14.453125" style="1912" customWidth="1"/>
    <col min="8966" max="8966" width="3.7265625" style="1912" customWidth="1"/>
    <col min="8967" max="8967" width="20" style="1912" customWidth="1"/>
    <col min="8968" max="8979" width="8.7265625" style="1912" customWidth="1"/>
    <col min="8980" max="8980" width="10.453125" style="1912" bestFit="1" customWidth="1"/>
    <col min="8981" max="9219" width="9.1796875" style="1912"/>
    <col min="9220" max="9220" width="3.7265625" style="1912" customWidth="1"/>
    <col min="9221" max="9221" width="14.453125" style="1912" customWidth="1"/>
    <col min="9222" max="9222" width="3.7265625" style="1912" customWidth="1"/>
    <col min="9223" max="9223" width="20" style="1912" customWidth="1"/>
    <col min="9224" max="9235" width="8.7265625" style="1912" customWidth="1"/>
    <col min="9236" max="9236" width="10.453125" style="1912" bestFit="1" customWidth="1"/>
    <col min="9237" max="9475" width="9.1796875" style="1912"/>
    <col min="9476" max="9476" width="3.7265625" style="1912" customWidth="1"/>
    <col min="9477" max="9477" width="14.453125" style="1912" customWidth="1"/>
    <col min="9478" max="9478" width="3.7265625" style="1912" customWidth="1"/>
    <col min="9479" max="9479" width="20" style="1912" customWidth="1"/>
    <col min="9480" max="9491" width="8.7265625" style="1912" customWidth="1"/>
    <col min="9492" max="9492" width="10.453125" style="1912" bestFit="1" customWidth="1"/>
    <col min="9493" max="9731" width="9.1796875" style="1912"/>
    <col min="9732" max="9732" width="3.7265625" style="1912" customWidth="1"/>
    <col min="9733" max="9733" width="14.453125" style="1912" customWidth="1"/>
    <col min="9734" max="9734" width="3.7265625" style="1912" customWidth="1"/>
    <col min="9735" max="9735" width="20" style="1912" customWidth="1"/>
    <col min="9736" max="9747" width="8.7265625" style="1912" customWidth="1"/>
    <col min="9748" max="9748" width="10.453125" style="1912" bestFit="1" customWidth="1"/>
    <col min="9749" max="9987" width="9.1796875" style="1912"/>
    <col min="9988" max="9988" width="3.7265625" style="1912" customWidth="1"/>
    <col min="9989" max="9989" width="14.453125" style="1912" customWidth="1"/>
    <col min="9990" max="9990" width="3.7265625" style="1912" customWidth="1"/>
    <col min="9991" max="9991" width="20" style="1912" customWidth="1"/>
    <col min="9992" max="10003" width="8.7265625" style="1912" customWidth="1"/>
    <col min="10004" max="10004" width="10.453125" style="1912" bestFit="1" customWidth="1"/>
    <col min="10005" max="10243" width="9.1796875" style="1912"/>
    <col min="10244" max="10244" width="3.7265625" style="1912" customWidth="1"/>
    <col min="10245" max="10245" width="14.453125" style="1912" customWidth="1"/>
    <col min="10246" max="10246" width="3.7265625" style="1912" customWidth="1"/>
    <col min="10247" max="10247" width="20" style="1912" customWidth="1"/>
    <col min="10248" max="10259" width="8.7265625" style="1912" customWidth="1"/>
    <col min="10260" max="10260" width="10.453125" style="1912" bestFit="1" customWidth="1"/>
    <col min="10261" max="10499" width="9.1796875" style="1912"/>
    <col min="10500" max="10500" width="3.7265625" style="1912" customWidth="1"/>
    <col min="10501" max="10501" width="14.453125" style="1912" customWidth="1"/>
    <col min="10502" max="10502" width="3.7265625" style="1912" customWidth="1"/>
    <col min="10503" max="10503" width="20" style="1912" customWidth="1"/>
    <col min="10504" max="10515" width="8.7265625" style="1912" customWidth="1"/>
    <col min="10516" max="10516" width="10.453125" style="1912" bestFit="1" customWidth="1"/>
    <col min="10517" max="10755" width="9.1796875" style="1912"/>
    <col min="10756" max="10756" width="3.7265625" style="1912" customWidth="1"/>
    <col min="10757" max="10757" width="14.453125" style="1912" customWidth="1"/>
    <col min="10758" max="10758" width="3.7265625" style="1912" customWidth="1"/>
    <col min="10759" max="10759" width="20" style="1912" customWidth="1"/>
    <col min="10760" max="10771" width="8.7265625" style="1912" customWidth="1"/>
    <col min="10772" max="10772" width="10.453125" style="1912" bestFit="1" customWidth="1"/>
    <col min="10773" max="11011" width="9.1796875" style="1912"/>
    <col min="11012" max="11012" width="3.7265625" style="1912" customWidth="1"/>
    <col min="11013" max="11013" width="14.453125" style="1912" customWidth="1"/>
    <col min="11014" max="11014" width="3.7265625" style="1912" customWidth="1"/>
    <col min="11015" max="11015" width="20" style="1912" customWidth="1"/>
    <col min="11016" max="11027" width="8.7265625" style="1912" customWidth="1"/>
    <col min="11028" max="11028" width="10.453125" style="1912" bestFit="1" customWidth="1"/>
    <col min="11029" max="11267" width="9.1796875" style="1912"/>
    <col min="11268" max="11268" width="3.7265625" style="1912" customWidth="1"/>
    <col min="11269" max="11269" width="14.453125" style="1912" customWidth="1"/>
    <col min="11270" max="11270" width="3.7265625" style="1912" customWidth="1"/>
    <col min="11271" max="11271" width="20" style="1912" customWidth="1"/>
    <col min="11272" max="11283" width="8.7265625" style="1912" customWidth="1"/>
    <col min="11284" max="11284" width="10.453125" style="1912" bestFit="1" customWidth="1"/>
    <col min="11285" max="11523" width="9.1796875" style="1912"/>
    <col min="11524" max="11524" width="3.7265625" style="1912" customWidth="1"/>
    <col min="11525" max="11525" width="14.453125" style="1912" customWidth="1"/>
    <col min="11526" max="11526" width="3.7265625" style="1912" customWidth="1"/>
    <col min="11527" max="11527" width="20" style="1912" customWidth="1"/>
    <col min="11528" max="11539" width="8.7265625" style="1912" customWidth="1"/>
    <col min="11540" max="11540" width="10.453125" style="1912" bestFit="1" customWidth="1"/>
    <col min="11541" max="11779" width="9.1796875" style="1912"/>
    <col min="11780" max="11780" width="3.7265625" style="1912" customWidth="1"/>
    <col min="11781" max="11781" width="14.453125" style="1912" customWidth="1"/>
    <col min="11782" max="11782" width="3.7265625" style="1912" customWidth="1"/>
    <col min="11783" max="11783" width="20" style="1912" customWidth="1"/>
    <col min="11784" max="11795" width="8.7265625" style="1912" customWidth="1"/>
    <col min="11796" max="11796" width="10.453125" style="1912" bestFit="1" customWidth="1"/>
    <col min="11797" max="12035" width="9.1796875" style="1912"/>
    <col min="12036" max="12036" width="3.7265625" style="1912" customWidth="1"/>
    <col min="12037" max="12037" width="14.453125" style="1912" customWidth="1"/>
    <col min="12038" max="12038" width="3.7265625" style="1912" customWidth="1"/>
    <col min="12039" max="12039" width="20" style="1912" customWidth="1"/>
    <col min="12040" max="12051" width="8.7265625" style="1912" customWidth="1"/>
    <col min="12052" max="12052" width="10.453125" style="1912" bestFit="1" customWidth="1"/>
    <col min="12053" max="12291" width="9.1796875" style="1912"/>
    <col min="12292" max="12292" width="3.7265625" style="1912" customWidth="1"/>
    <col min="12293" max="12293" width="14.453125" style="1912" customWidth="1"/>
    <col min="12294" max="12294" width="3.7265625" style="1912" customWidth="1"/>
    <col min="12295" max="12295" width="20" style="1912" customWidth="1"/>
    <col min="12296" max="12307" width="8.7265625" style="1912" customWidth="1"/>
    <col min="12308" max="12308" width="10.453125" style="1912" bestFit="1" customWidth="1"/>
    <col min="12309" max="12547" width="9.1796875" style="1912"/>
    <col min="12548" max="12548" width="3.7265625" style="1912" customWidth="1"/>
    <col min="12549" max="12549" width="14.453125" style="1912" customWidth="1"/>
    <col min="12550" max="12550" width="3.7265625" style="1912" customWidth="1"/>
    <col min="12551" max="12551" width="20" style="1912" customWidth="1"/>
    <col min="12552" max="12563" width="8.7265625" style="1912" customWidth="1"/>
    <col min="12564" max="12564" width="10.453125" style="1912" bestFit="1" customWidth="1"/>
    <col min="12565" max="12803" width="9.1796875" style="1912"/>
    <col min="12804" max="12804" width="3.7265625" style="1912" customWidth="1"/>
    <col min="12805" max="12805" width="14.453125" style="1912" customWidth="1"/>
    <col min="12806" max="12806" width="3.7265625" style="1912" customWidth="1"/>
    <col min="12807" max="12807" width="20" style="1912" customWidth="1"/>
    <col min="12808" max="12819" width="8.7265625" style="1912" customWidth="1"/>
    <col min="12820" max="12820" width="10.453125" style="1912" bestFit="1" customWidth="1"/>
    <col min="12821" max="13059" width="9.1796875" style="1912"/>
    <col min="13060" max="13060" width="3.7265625" style="1912" customWidth="1"/>
    <col min="13061" max="13061" width="14.453125" style="1912" customWidth="1"/>
    <col min="13062" max="13062" width="3.7265625" style="1912" customWidth="1"/>
    <col min="13063" max="13063" width="20" style="1912" customWidth="1"/>
    <col min="13064" max="13075" width="8.7265625" style="1912" customWidth="1"/>
    <col min="13076" max="13076" width="10.453125" style="1912" bestFit="1" customWidth="1"/>
    <col min="13077" max="13315" width="9.1796875" style="1912"/>
    <col min="13316" max="13316" width="3.7265625" style="1912" customWidth="1"/>
    <col min="13317" max="13317" width="14.453125" style="1912" customWidth="1"/>
    <col min="13318" max="13318" width="3.7265625" style="1912" customWidth="1"/>
    <col min="13319" max="13319" width="20" style="1912" customWidth="1"/>
    <col min="13320" max="13331" width="8.7265625" style="1912" customWidth="1"/>
    <col min="13332" max="13332" width="10.453125" style="1912" bestFit="1" customWidth="1"/>
    <col min="13333" max="13571" width="9.1796875" style="1912"/>
    <col min="13572" max="13572" width="3.7265625" style="1912" customWidth="1"/>
    <col min="13573" max="13573" width="14.453125" style="1912" customWidth="1"/>
    <col min="13574" max="13574" width="3.7265625" style="1912" customWidth="1"/>
    <col min="13575" max="13575" width="20" style="1912" customWidth="1"/>
    <col min="13576" max="13587" width="8.7265625" style="1912" customWidth="1"/>
    <col min="13588" max="13588" width="10.453125" style="1912" bestFit="1" customWidth="1"/>
    <col min="13589" max="13827" width="9.1796875" style="1912"/>
    <col min="13828" max="13828" width="3.7265625" style="1912" customWidth="1"/>
    <col min="13829" max="13829" width="14.453125" style="1912" customWidth="1"/>
    <col min="13830" max="13830" width="3.7265625" style="1912" customWidth="1"/>
    <col min="13831" max="13831" width="20" style="1912" customWidth="1"/>
    <col min="13832" max="13843" width="8.7265625" style="1912" customWidth="1"/>
    <col min="13844" max="13844" width="10.453125" style="1912" bestFit="1" customWidth="1"/>
    <col min="13845" max="14083" width="9.1796875" style="1912"/>
    <col min="14084" max="14084" width="3.7265625" style="1912" customWidth="1"/>
    <col min="14085" max="14085" width="14.453125" style="1912" customWidth="1"/>
    <col min="14086" max="14086" width="3.7265625" style="1912" customWidth="1"/>
    <col min="14087" max="14087" width="20" style="1912" customWidth="1"/>
    <col min="14088" max="14099" width="8.7265625" style="1912" customWidth="1"/>
    <col min="14100" max="14100" width="10.453125" style="1912" bestFit="1" customWidth="1"/>
    <col min="14101" max="14339" width="9.1796875" style="1912"/>
    <col min="14340" max="14340" width="3.7265625" style="1912" customWidth="1"/>
    <col min="14341" max="14341" width="14.453125" style="1912" customWidth="1"/>
    <col min="14342" max="14342" width="3.7265625" style="1912" customWidth="1"/>
    <col min="14343" max="14343" width="20" style="1912" customWidth="1"/>
    <col min="14344" max="14355" width="8.7265625" style="1912" customWidth="1"/>
    <col min="14356" max="14356" width="10.453125" style="1912" bestFit="1" customWidth="1"/>
    <col min="14357" max="14595" width="9.1796875" style="1912"/>
    <col min="14596" max="14596" width="3.7265625" style="1912" customWidth="1"/>
    <col min="14597" max="14597" width="14.453125" style="1912" customWidth="1"/>
    <col min="14598" max="14598" width="3.7265625" style="1912" customWidth="1"/>
    <col min="14599" max="14599" width="20" style="1912" customWidth="1"/>
    <col min="14600" max="14611" width="8.7265625" style="1912" customWidth="1"/>
    <col min="14612" max="14612" width="10.453125" style="1912" bestFit="1" customWidth="1"/>
    <col min="14613" max="14851" width="9.1796875" style="1912"/>
    <col min="14852" max="14852" width="3.7265625" style="1912" customWidth="1"/>
    <col min="14853" max="14853" width="14.453125" style="1912" customWidth="1"/>
    <col min="14854" max="14854" width="3.7265625" style="1912" customWidth="1"/>
    <col min="14855" max="14855" width="20" style="1912" customWidth="1"/>
    <col min="14856" max="14867" width="8.7265625" style="1912" customWidth="1"/>
    <col min="14868" max="14868" width="10.453125" style="1912" bestFit="1" customWidth="1"/>
    <col min="14869" max="15107" width="9.1796875" style="1912"/>
    <col min="15108" max="15108" width="3.7265625" style="1912" customWidth="1"/>
    <col min="15109" max="15109" width="14.453125" style="1912" customWidth="1"/>
    <col min="15110" max="15110" width="3.7265625" style="1912" customWidth="1"/>
    <col min="15111" max="15111" width="20" style="1912" customWidth="1"/>
    <col min="15112" max="15123" width="8.7265625" style="1912" customWidth="1"/>
    <col min="15124" max="15124" width="10.453125" style="1912" bestFit="1" customWidth="1"/>
    <col min="15125" max="15363" width="9.1796875" style="1912"/>
    <col min="15364" max="15364" width="3.7265625" style="1912" customWidth="1"/>
    <col min="15365" max="15365" width="14.453125" style="1912" customWidth="1"/>
    <col min="15366" max="15366" width="3.7265625" style="1912" customWidth="1"/>
    <col min="15367" max="15367" width="20" style="1912" customWidth="1"/>
    <col min="15368" max="15379" width="8.7265625" style="1912" customWidth="1"/>
    <col min="15380" max="15380" width="10.453125" style="1912" bestFit="1" customWidth="1"/>
    <col min="15381" max="15619" width="9.1796875" style="1912"/>
    <col min="15620" max="15620" width="3.7265625" style="1912" customWidth="1"/>
    <col min="15621" max="15621" width="14.453125" style="1912" customWidth="1"/>
    <col min="15622" max="15622" width="3.7265625" style="1912" customWidth="1"/>
    <col min="15623" max="15623" width="20" style="1912" customWidth="1"/>
    <col min="15624" max="15635" width="8.7265625" style="1912" customWidth="1"/>
    <col min="15636" max="15636" width="10.453125" style="1912" bestFit="1" customWidth="1"/>
    <col min="15637" max="15875" width="9.1796875" style="1912"/>
    <col min="15876" max="15876" width="3.7265625" style="1912" customWidth="1"/>
    <col min="15877" max="15877" width="14.453125" style="1912" customWidth="1"/>
    <col min="15878" max="15878" width="3.7265625" style="1912" customWidth="1"/>
    <col min="15879" max="15879" width="20" style="1912" customWidth="1"/>
    <col min="15880" max="15891" width="8.7265625" style="1912" customWidth="1"/>
    <col min="15892" max="15892" width="10.453125" style="1912" bestFit="1" customWidth="1"/>
    <col min="15893" max="16131" width="9.1796875" style="1912"/>
    <col min="16132" max="16132" width="3.7265625" style="1912" customWidth="1"/>
    <col min="16133" max="16133" width="14.453125" style="1912" customWidth="1"/>
    <col min="16134" max="16134" width="3.7265625" style="1912" customWidth="1"/>
    <col min="16135" max="16135" width="20" style="1912" customWidth="1"/>
    <col min="16136" max="16147" width="8.7265625" style="1912" customWidth="1"/>
    <col min="16148" max="16148" width="10.453125" style="1912" bestFit="1" customWidth="1"/>
    <col min="16149" max="16384" width="9.1796875" style="1912"/>
  </cols>
  <sheetData>
    <row r="1" spans="1:29" x14ac:dyDescent="0.3">
      <c r="A1" s="2631"/>
      <c r="B1" s="1868"/>
      <c r="C1" s="1868"/>
      <c r="D1" s="1869"/>
      <c r="E1" s="1869"/>
      <c r="F1" s="1869"/>
      <c r="G1" s="1869"/>
      <c r="H1" s="1869"/>
      <c r="I1" s="1869"/>
      <c r="J1" s="1869"/>
      <c r="K1" s="1869"/>
      <c r="L1" s="1869"/>
      <c r="M1" s="1869"/>
      <c r="N1" s="1869"/>
      <c r="O1" s="1869"/>
      <c r="P1" s="1869"/>
      <c r="Q1" s="1869"/>
      <c r="R1" s="1869"/>
      <c r="S1" s="1869"/>
      <c r="T1" s="1869"/>
      <c r="U1" s="1869"/>
    </row>
    <row r="2" spans="1:29" ht="14.25" customHeight="1" x14ac:dyDescent="0.3">
      <c r="A2" s="819">
        <v>1</v>
      </c>
      <c r="B2" s="819" t="s">
        <v>0</v>
      </c>
      <c r="C2" s="819">
        <v>47</v>
      </c>
      <c r="D2" s="4642" t="s">
        <v>1067</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4"/>
    </row>
    <row r="3" spans="1:29" ht="15" customHeight="1" x14ac:dyDescent="0.3">
      <c r="A3" s="819">
        <v>2</v>
      </c>
      <c r="B3" s="819" t="s">
        <v>2</v>
      </c>
      <c r="C3" s="819"/>
      <c r="D3" s="4642" t="s">
        <v>952</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4"/>
    </row>
    <row r="4" spans="1:29" ht="14.25" customHeight="1" x14ac:dyDescent="0.3">
      <c r="A4" s="819">
        <v>3</v>
      </c>
      <c r="B4" s="819" t="s">
        <v>4</v>
      </c>
      <c r="C4" s="819"/>
      <c r="D4" s="4642" t="s">
        <v>1068</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4"/>
    </row>
    <row r="5" spans="1:29" ht="14.25" customHeight="1" x14ac:dyDescent="0.35">
      <c r="A5" s="819"/>
      <c r="B5" s="819"/>
      <c r="C5" s="819"/>
      <c r="D5" s="4593"/>
      <c r="E5" s="4593"/>
      <c r="F5" s="4593"/>
      <c r="G5" s="482"/>
      <c r="H5" s="482"/>
      <c r="I5" s="482"/>
      <c r="J5" s="482"/>
      <c r="K5" s="482"/>
      <c r="L5" s="482"/>
      <c r="M5" s="482"/>
      <c r="N5" s="482"/>
      <c r="O5" s="482"/>
      <c r="P5" s="482"/>
      <c r="Q5" s="482"/>
      <c r="R5" s="482"/>
      <c r="S5" s="482"/>
      <c r="T5" s="482"/>
      <c r="U5" s="2726"/>
    </row>
    <row r="6" spans="1:29" s="33" customFormat="1" ht="12.75" customHeight="1" x14ac:dyDescent="0.2">
      <c r="A6" s="2633"/>
      <c r="B6" s="2513"/>
      <c r="C6" s="2513"/>
      <c r="D6" s="2727"/>
      <c r="E6" s="2727"/>
      <c r="F6" s="2727"/>
      <c r="G6" s="2727"/>
      <c r="H6" s="2727"/>
      <c r="I6" s="2727"/>
      <c r="J6" s="2727"/>
      <c r="K6" s="2727"/>
      <c r="L6" s="2727"/>
      <c r="M6" s="2727"/>
      <c r="N6" s="2727"/>
      <c r="O6" s="2727"/>
      <c r="P6" s="2727"/>
      <c r="Q6" s="11"/>
      <c r="R6" s="11"/>
      <c r="V6" s="2728"/>
    </row>
    <row r="7" spans="1:29" s="33" customFormat="1" ht="12.75" customHeight="1" x14ac:dyDescent="0.25">
      <c r="A7" s="819">
        <v>4</v>
      </c>
      <c r="B7" s="1192" t="s">
        <v>6</v>
      </c>
      <c r="C7" s="1224"/>
      <c r="D7" s="1486" t="s">
        <v>7</v>
      </c>
      <c r="E7" s="1486"/>
      <c r="F7" s="1486"/>
      <c r="G7" s="2729" t="s">
        <v>1069</v>
      </c>
      <c r="H7" s="2730"/>
      <c r="I7" s="2730"/>
      <c r="J7" s="2730"/>
      <c r="K7" s="2730"/>
      <c r="L7" s="2730"/>
      <c r="M7" s="2730"/>
      <c r="N7" s="2730"/>
      <c r="O7" s="2730"/>
      <c r="P7" s="2730"/>
      <c r="Q7" s="2730"/>
      <c r="S7" s="109"/>
      <c r="T7" s="109"/>
      <c r="U7" s="109"/>
    </row>
    <row r="8" spans="1:29" s="33" customFormat="1" ht="12.75" customHeight="1" x14ac:dyDescent="0.25">
      <c r="A8" s="2731"/>
      <c r="B8" s="1224"/>
      <c r="C8" s="1224"/>
      <c r="D8" s="2732"/>
      <c r="E8" s="2500">
        <v>1995</v>
      </c>
      <c r="F8" s="2500">
        <v>1996</v>
      </c>
      <c r="G8" s="2500">
        <v>1997</v>
      </c>
      <c r="H8" s="2500">
        <v>1998</v>
      </c>
      <c r="I8" s="2500">
        <v>1999</v>
      </c>
      <c r="J8" s="2500">
        <v>2000</v>
      </c>
      <c r="K8" s="2500">
        <v>2001</v>
      </c>
      <c r="L8" s="2500">
        <v>2002</v>
      </c>
      <c r="M8" s="2500">
        <v>2003</v>
      </c>
      <c r="N8" s="2500">
        <v>2004</v>
      </c>
      <c r="O8" s="2500">
        <v>2005</v>
      </c>
      <c r="P8" s="2500">
        <v>2006</v>
      </c>
      <c r="Q8" s="2500">
        <v>2007</v>
      </c>
      <c r="R8" s="2500">
        <v>2008</v>
      </c>
      <c r="S8" s="2500">
        <v>2009</v>
      </c>
      <c r="T8" s="2500">
        <v>2010</v>
      </c>
      <c r="U8" s="2500">
        <v>2011</v>
      </c>
      <c r="V8" s="2500">
        <v>2012</v>
      </c>
      <c r="W8" s="2500">
        <v>2013</v>
      </c>
      <c r="X8" s="2500">
        <v>2014</v>
      </c>
      <c r="Y8" s="2500">
        <v>2015</v>
      </c>
      <c r="Z8" s="2500">
        <v>2016</v>
      </c>
      <c r="AA8" s="2733">
        <v>2017</v>
      </c>
      <c r="AB8" s="2733">
        <v>2018</v>
      </c>
      <c r="AC8" s="2733">
        <v>2019</v>
      </c>
    </row>
    <row r="9" spans="1:29" s="33" customFormat="1" ht="12.75" customHeight="1" x14ac:dyDescent="0.25">
      <c r="A9" s="2731"/>
      <c r="B9" s="1224"/>
      <c r="C9" s="2734">
        <v>1</v>
      </c>
      <c r="D9" s="2709" t="s">
        <v>1070</v>
      </c>
      <c r="E9" s="2735"/>
      <c r="F9" s="2735"/>
      <c r="G9" s="2736"/>
      <c r="H9" s="2736"/>
      <c r="I9" s="2736"/>
      <c r="J9" s="2737"/>
      <c r="K9" s="2737"/>
      <c r="L9" s="2738">
        <v>71.5</v>
      </c>
      <c r="M9" s="2738">
        <v>73.400000000000006</v>
      </c>
      <c r="N9" s="2738">
        <v>74.2</v>
      </c>
      <c r="O9" s="2738">
        <v>75.099999999999994</v>
      </c>
      <c r="P9" s="2738">
        <v>75.7</v>
      </c>
      <c r="Q9" s="2738">
        <v>77</v>
      </c>
      <c r="R9" s="2738">
        <v>77.599999999999994</v>
      </c>
      <c r="S9" s="2738">
        <v>80.7</v>
      </c>
      <c r="T9" s="2738">
        <v>81.3</v>
      </c>
      <c r="U9" s="2738">
        <v>82.5</v>
      </c>
      <c r="V9" s="2738">
        <v>83.8</v>
      </c>
      <c r="W9" s="2738">
        <v>84.2</v>
      </c>
      <c r="X9" s="2738">
        <v>84.6</v>
      </c>
      <c r="Y9" s="2738">
        <v>85</v>
      </c>
      <c r="Z9" s="2738">
        <v>85.8</v>
      </c>
      <c r="AA9" s="2738">
        <v>86.3</v>
      </c>
      <c r="AB9" s="2738">
        <v>87</v>
      </c>
      <c r="AC9" s="2738">
        <f>100-AC13</f>
        <v>87.9</v>
      </c>
    </row>
    <row r="10" spans="1:29" s="33" customFormat="1" ht="12.75" customHeight="1" x14ac:dyDescent="0.2">
      <c r="A10" s="2731"/>
      <c r="B10" s="1224"/>
      <c r="C10" s="2734">
        <v>2</v>
      </c>
      <c r="D10" s="107" t="s">
        <v>1071</v>
      </c>
      <c r="E10" s="2737">
        <v>0.69582114118507699</v>
      </c>
      <c r="F10" s="2735"/>
      <c r="G10" s="2737">
        <v>0.69258781105587497</v>
      </c>
      <c r="H10" s="2737">
        <v>0.68703930601276797</v>
      </c>
      <c r="I10" s="2737">
        <v>0.69049620076509899</v>
      </c>
      <c r="J10" s="2737"/>
      <c r="K10" s="2737"/>
      <c r="L10" s="2737"/>
      <c r="M10" s="2737"/>
      <c r="N10" s="2737"/>
      <c r="O10" s="2737"/>
      <c r="P10" s="2737"/>
      <c r="Q10" s="2737"/>
      <c r="R10" s="2737"/>
      <c r="S10" s="2737"/>
      <c r="T10" s="2737"/>
      <c r="U10" s="2737"/>
      <c r="V10" s="2737"/>
      <c r="W10" s="2737"/>
      <c r="X10" s="2737"/>
      <c r="Y10" s="2737"/>
      <c r="Z10" s="2737"/>
      <c r="AA10" s="2739"/>
      <c r="AB10" s="2739"/>
      <c r="AC10" s="2739"/>
    </row>
    <row r="11" spans="1:29" s="33" customFormat="1" ht="12.75" customHeight="1" x14ac:dyDescent="0.2">
      <c r="A11" s="2731"/>
      <c r="B11" s="1224"/>
      <c r="C11" s="2734">
        <v>3</v>
      </c>
      <c r="D11" s="2709" t="s">
        <v>1072</v>
      </c>
      <c r="E11" s="2735"/>
      <c r="F11" s="2735"/>
      <c r="G11" s="2740"/>
      <c r="H11" s="2740"/>
      <c r="I11" s="2740"/>
      <c r="J11" s="2737"/>
      <c r="K11" s="2737"/>
      <c r="L11" s="2737">
        <v>0.69379092021008704</v>
      </c>
      <c r="M11" s="2737">
        <v>0.70300464922628603</v>
      </c>
      <c r="N11" s="2737">
        <v>0.71803278688524597</v>
      </c>
      <c r="O11" s="2737">
        <v>0.73699999999999999</v>
      </c>
      <c r="P11" s="2737">
        <v>0.745</v>
      </c>
      <c r="Q11" s="2737">
        <v>0.75700000000000001</v>
      </c>
      <c r="R11" s="2737">
        <v>0.753</v>
      </c>
      <c r="S11" s="2737">
        <v>0.78800000000000003</v>
      </c>
      <c r="T11" s="2737">
        <v>0.79500000000000004</v>
      </c>
      <c r="U11" s="2737">
        <v>0.80700000000000005</v>
      </c>
      <c r="V11" s="2737">
        <v>0.82</v>
      </c>
      <c r="W11" s="2737">
        <v>0.82499999999999996</v>
      </c>
      <c r="X11" s="2737">
        <v>0.83</v>
      </c>
      <c r="Y11" s="2737">
        <v>0.83199999999999996</v>
      </c>
      <c r="Z11" s="2737">
        <v>0.83923060999999999</v>
      </c>
      <c r="AA11" s="4582">
        <v>0.85250806000000001</v>
      </c>
      <c r="AB11" s="2739"/>
      <c r="AC11" s="4583">
        <f>100-12.5</f>
        <v>87.5</v>
      </c>
    </row>
    <row r="12" spans="1:29" s="33" customFormat="1" ht="12.75" customHeight="1" x14ac:dyDescent="0.2">
      <c r="A12" s="2731"/>
      <c r="B12" s="1224"/>
      <c r="C12" s="2741">
        <v>4</v>
      </c>
      <c r="D12" s="2742" t="s">
        <v>1073</v>
      </c>
      <c r="E12" s="2743">
        <v>0.67228661749209695</v>
      </c>
      <c r="F12" s="2744"/>
      <c r="G12" s="2743">
        <v>0.675676991430467</v>
      </c>
      <c r="H12" s="2743">
        <v>0.67219802920879301</v>
      </c>
      <c r="I12" s="2743">
        <v>0.67376959649273205</v>
      </c>
      <c r="J12" s="2743"/>
      <c r="K12" s="2743"/>
      <c r="L12" s="2743"/>
      <c r="M12" s="2743"/>
      <c r="N12" s="2743"/>
      <c r="O12" s="2743"/>
      <c r="P12" s="2743"/>
      <c r="Q12" s="2743"/>
      <c r="R12" s="2743"/>
      <c r="S12" s="2743"/>
      <c r="T12" s="2743"/>
      <c r="U12" s="2743"/>
      <c r="V12" s="2743"/>
      <c r="W12" s="2743"/>
      <c r="X12" s="2743"/>
      <c r="Y12" s="2743"/>
      <c r="Z12" s="2743"/>
      <c r="AA12" s="2745"/>
      <c r="AB12" s="2745"/>
      <c r="AC12" s="2745"/>
    </row>
    <row r="13" spans="1:29" s="33" customFormat="1" ht="12.75" customHeight="1" x14ac:dyDescent="0.35">
      <c r="A13" s="2731"/>
      <c r="B13" s="1224"/>
      <c r="C13" s="2741"/>
      <c r="D13" s="2746" t="s">
        <v>1074</v>
      </c>
      <c r="E13" s="2646">
        <f>1-E10</f>
        <v>0.30417885881492301</v>
      </c>
      <c r="F13" s="2646"/>
      <c r="G13" s="2646">
        <f>1-G10</f>
        <v>0.30741218894412503</v>
      </c>
      <c r="H13" s="2646">
        <f>1-H10</f>
        <v>0.31296069398723203</v>
      </c>
      <c r="I13" s="2646">
        <f>1-I10</f>
        <v>0.30950379923490101</v>
      </c>
      <c r="J13" s="2646"/>
      <c r="K13" s="2646"/>
      <c r="L13" s="2747">
        <v>28.5</v>
      </c>
      <c r="M13" s="2748">
        <v>26.6</v>
      </c>
      <c r="N13" s="2748">
        <v>25.8</v>
      </c>
      <c r="O13" s="2748">
        <v>24.9</v>
      </c>
      <c r="P13" s="2748">
        <v>24.3</v>
      </c>
      <c r="Q13" s="2748">
        <v>23</v>
      </c>
      <c r="R13" s="2749">
        <v>22.4</v>
      </c>
      <c r="S13" s="2749">
        <v>19.3</v>
      </c>
      <c r="T13" s="2749">
        <v>18.7</v>
      </c>
      <c r="U13" s="2749">
        <v>17.5</v>
      </c>
      <c r="V13" s="2749">
        <v>16.2</v>
      </c>
      <c r="W13" s="2749">
        <v>15.8</v>
      </c>
      <c r="X13" s="2749">
        <v>15.4</v>
      </c>
      <c r="Y13" s="2749">
        <v>15</v>
      </c>
      <c r="Z13" s="2749">
        <v>14.2</v>
      </c>
      <c r="AA13" s="2749">
        <v>13.7</v>
      </c>
      <c r="AB13" s="2750">
        <v>13</v>
      </c>
      <c r="AC13" s="2750">
        <v>12.1</v>
      </c>
    </row>
    <row r="14" spans="1:29" s="33" customFormat="1" ht="12.75" customHeight="1" x14ac:dyDescent="0.2">
      <c r="A14" s="2731"/>
      <c r="B14" s="1224"/>
      <c r="C14" s="2741"/>
      <c r="D14" s="2709"/>
      <c r="E14" s="2534"/>
      <c r="F14" s="168"/>
      <c r="G14" s="2534"/>
      <c r="H14" s="2534"/>
      <c r="I14" s="2534"/>
      <c r="J14" s="2534"/>
      <c r="K14" s="2534"/>
      <c r="L14" s="2534"/>
      <c r="M14" s="2534"/>
      <c r="N14" s="2534"/>
      <c r="O14" s="2534"/>
      <c r="P14" s="2534"/>
      <c r="Q14" s="2534"/>
      <c r="R14" s="2534"/>
      <c r="S14" s="2534"/>
      <c r="T14" s="2534"/>
      <c r="U14" s="2534"/>
      <c r="V14" s="2534"/>
      <c r="W14" s="2534"/>
      <c r="X14" s="2534"/>
    </row>
    <row r="15" spans="1:29" s="33" customFormat="1" ht="12.75" customHeight="1" x14ac:dyDescent="0.25">
      <c r="A15" s="2731"/>
      <c r="B15" s="1224"/>
      <c r="C15" s="2741"/>
      <c r="D15" s="2751" t="s">
        <v>35</v>
      </c>
      <c r="E15" s="2729"/>
      <c r="F15" s="168"/>
      <c r="G15" s="2729" t="s">
        <v>1075</v>
      </c>
      <c r="H15" s="2534"/>
      <c r="I15" s="2534"/>
      <c r="J15" s="2534"/>
      <c r="K15" s="2534"/>
      <c r="L15" s="2534"/>
      <c r="M15" s="2534"/>
      <c r="N15" s="2534"/>
      <c r="O15" s="2534"/>
      <c r="P15" s="2534"/>
    </row>
    <row r="16" spans="1:29" s="33" customFormat="1" ht="12.75" customHeight="1" x14ac:dyDescent="0.25">
      <c r="A16" s="2731"/>
      <c r="B16" s="1224"/>
      <c r="C16" s="1224"/>
      <c r="D16" s="2732"/>
      <c r="E16" s="159">
        <v>1995</v>
      </c>
      <c r="F16" s="159">
        <v>1996</v>
      </c>
      <c r="G16" s="159">
        <v>1997</v>
      </c>
      <c r="H16" s="159">
        <v>1998</v>
      </c>
      <c r="I16" s="159">
        <v>1999</v>
      </c>
      <c r="J16" s="159">
        <v>2000</v>
      </c>
      <c r="K16" s="159">
        <v>2001</v>
      </c>
      <c r="L16" s="159">
        <v>2002</v>
      </c>
      <c r="M16" s="159">
        <v>2003</v>
      </c>
      <c r="N16" s="159">
        <v>2004</v>
      </c>
      <c r="O16" s="159">
        <v>2005</v>
      </c>
      <c r="P16" s="159">
        <v>2006</v>
      </c>
      <c r="Q16" s="159">
        <v>2007</v>
      </c>
      <c r="R16" s="159">
        <v>2008</v>
      </c>
      <c r="S16" s="159">
        <v>2009</v>
      </c>
      <c r="T16" s="159">
        <v>2010</v>
      </c>
      <c r="U16" s="159">
        <v>2011</v>
      </c>
    </row>
    <row r="17" spans="1:23" s="33" customFormat="1" ht="12.75" customHeight="1" x14ac:dyDescent="0.25">
      <c r="A17" s="2731"/>
      <c r="B17" s="1224"/>
      <c r="C17" s="1224"/>
      <c r="D17" s="2195" t="s">
        <v>402</v>
      </c>
      <c r="E17" s="2752"/>
      <c r="F17" s="2753">
        <f>(100-40.4)/100</f>
        <v>0.59599999999999997</v>
      </c>
      <c r="G17" s="2754"/>
      <c r="H17" s="2754"/>
      <c r="I17" s="2754"/>
      <c r="J17" s="2754"/>
      <c r="K17" s="2753">
        <f>(100-39.7)/100</f>
        <v>0.60299999999999998</v>
      </c>
      <c r="L17" s="2754"/>
      <c r="M17" s="2754"/>
      <c r="N17" s="2754"/>
      <c r="O17" s="2754"/>
      <c r="P17" s="2754"/>
      <c r="Q17" s="2754"/>
      <c r="R17" s="2754"/>
      <c r="S17" s="2754"/>
      <c r="T17" s="2754"/>
      <c r="U17" s="2753">
        <f>(100-26.5)/100</f>
        <v>0.73499999999999999</v>
      </c>
    </row>
    <row r="18" spans="1:23" s="33" customFormat="1" ht="12.75" customHeight="1" x14ac:dyDescent="0.25">
      <c r="A18" s="2731"/>
      <c r="B18" s="1224"/>
      <c r="C18" s="1224"/>
      <c r="D18" s="2195" t="s">
        <v>404</v>
      </c>
      <c r="E18" s="2752"/>
      <c r="F18" s="2753">
        <f>(100-36.2)/100</f>
        <v>0.63800000000000001</v>
      </c>
      <c r="G18" s="2754"/>
      <c r="H18" s="2754"/>
      <c r="I18" s="2754"/>
      <c r="J18" s="2754"/>
      <c r="K18" s="2753">
        <f>(100-34.7)/100</f>
        <v>0.65300000000000002</v>
      </c>
      <c r="L18" s="2754"/>
      <c r="M18" s="2754"/>
      <c r="N18" s="2754"/>
      <c r="O18" s="2754"/>
      <c r="P18" s="2754"/>
      <c r="Q18" s="2754"/>
      <c r="R18" s="2754"/>
      <c r="S18" s="2754"/>
      <c r="T18" s="2754"/>
      <c r="U18" s="2753">
        <f>(100-21.1)/100</f>
        <v>0.78900000000000003</v>
      </c>
      <c r="W18" s="33">
        <f>100-71.1</f>
        <v>28.900000000000006</v>
      </c>
    </row>
    <row r="19" spans="1:23" s="33" customFormat="1" ht="12.75" customHeight="1" x14ac:dyDescent="0.25">
      <c r="A19" s="2731"/>
      <c r="B19" s="1224"/>
      <c r="C19" s="1224"/>
      <c r="D19" s="2195" t="s">
        <v>407</v>
      </c>
      <c r="E19" s="2752"/>
      <c r="F19" s="2753">
        <f>(100-20.5)/100</f>
        <v>0.79500000000000004</v>
      </c>
      <c r="G19" s="2754"/>
      <c r="H19" s="2754"/>
      <c r="I19" s="2754"/>
      <c r="J19" s="2754"/>
      <c r="K19" s="2753">
        <f>(100-19.2)/100</f>
        <v>0.80799999999999994</v>
      </c>
      <c r="L19" s="2754"/>
      <c r="M19" s="2754"/>
      <c r="N19" s="2754"/>
      <c r="O19" s="2754"/>
      <c r="P19" s="2754"/>
      <c r="Q19" s="2754"/>
      <c r="R19" s="2754"/>
      <c r="S19" s="2754"/>
      <c r="T19" s="2754"/>
      <c r="U19" s="2753">
        <f>(100-10.4)/100</f>
        <v>0.89599999999999991</v>
      </c>
    </row>
    <row r="20" spans="1:23" s="33" customFormat="1" ht="12.75" customHeight="1" x14ac:dyDescent="0.25">
      <c r="A20" s="2731"/>
      <c r="B20" s="1224"/>
      <c r="C20" s="1224"/>
      <c r="D20" s="2195" t="s">
        <v>405</v>
      </c>
      <c r="E20" s="2752"/>
      <c r="F20" s="2753">
        <f>(100-37.7)/100</f>
        <v>0.623</v>
      </c>
      <c r="G20" s="2754"/>
      <c r="H20" s="2754"/>
      <c r="I20" s="2754"/>
      <c r="J20" s="2754"/>
      <c r="K20" s="2753">
        <f>(100-35.4)/100</f>
        <v>0.64599999999999991</v>
      </c>
      <c r="L20" s="2754"/>
      <c r="M20" s="2754"/>
      <c r="N20" s="2754"/>
      <c r="O20" s="2754"/>
      <c r="P20" s="2754"/>
      <c r="Q20" s="2754"/>
      <c r="R20" s="2754"/>
      <c r="S20" s="2754"/>
      <c r="T20" s="2754"/>
      <c r="U20" s="2753">
        <f>(100-21.8)/100</f>
        <v>0.78200000000000003</v>
      </c>
    </row>
    <row r="21" spans="1:23" s="33" customFormat="1" ht="12.75" customHeight="1" x14ac:dyDescent="0.25">
      <c r="A21" s="2731"/>
      <c r="B21" s="1224"/>
      <c r="C21" s="1224"/>
      <c r="D21" s="2195" t="s">
        <v>409</v>
      </c>
      <c r="E21" s="2752"/>
      <c r="F21" s="2753">
        <f>(100-42.2)/100</f>
        <v>0.57799999999999996</v>
      </c>
      <c r="G21" s="2754"/>
      <c r="H21" s="2754"/>
      <c r="I21" s="2754"/>
      <c r="J21" s="2754"/>
      <c r="K21" s="2753">
        <f>(100-41)/100</f>
        <v>0.59</v>
      </c>
      <c r="L21" s="2754"/>
      <c r="M21" s="2754"/>
      <c r="N21" s="2754"/>
      <c r="O21" s="2754"/>
      <c r="P21" s="2754"/>
      <c r="Q21" s="2754"/>
      <c r="R21" s="2754"/>
      <c r="S21" s="2754"/>
      <c r="T21" s="2754"/>
      <c r="U21" s="2753">
        <f>(100-25)/100</f>
        <v>0.75</v>
      </c>
    </row>
    <row r="22" spans="1:23" s="33" customFormat="1" ht="12.75" customHeight="1" x14ac:dyDescent="0.25">
      <c r="A22" s="2731"/>
      <c r="B22" s="1224"/>
      <c r="C22" s="1224"/>
      <c r="D22" s="2195" t="s">
        <v>408</v>
      </c>
      <c r="E22" s="2752"/>
      <c r="F22" s="2753">
        <f>(100-40.9)/100</f>
        <v>0.59099999999999997</v>
      </c>
      <c r="G22" s="2754"/>
      <c r="H22" s="2754"/>
      <c r="I22" s="2754"/>
      <c r="J22" s="2754"/>
      <c r="K22" s="2753">
        <f>(100-39.9)/100</f>
        <v>0.60099999999999998</v>
      </c>
      <c r="L22" s="2754"/>
      <c r="M22" s="2754"/>
      <c r="N22" s="2754"/>
      <c r="O22" s="2754"/>
      <c r="P22" s="2754"/>
      <c r="Q22" s="2754"/>
      <c r="R22" s="2754"/>
      <c r="S22" s="2754"/>
      <c r="T22" s="2754"/>
      <c r="U22" s="2753">
        <f>(100-23.1)/100</f>
        <v>0.76900000000000002</v>
      </c>
    </row>
    <row r="23" spans="1:23" s="33" customFormat="1" ht="12.75" customHeight="1" x14ac:dyDescent="0.25">
      <c r="A23" s="2731"/>
      <c r="B23" s="1224"/>
      <c r="C23" s="1224"/>
      <c r="D23" s="2195" t="s">
        <v>406</v>
      </c>
      <c r="E23" s="2752"/>
      <c r="F23" s="2753">
        <f>(100-41.2)/100</f>
        <v>0.58799999999999997</v>
      </c>
      <c r="G23" s="2754"/>
      <c r="H23" s="2754"/>
      <c r="I23" s="2754"/>
      <c r="J23" s="2754"/>
      <c r="K23" s="2753">
        <f>(100-38)/100</f>
        <v>0.62</v>
      </c>
      <c r="L23" s="2754"/>
      <c r="M23" s="2754"/>
      <c r="N23" s="2754"/>
      <c r="O23" s="2754"/>
      <c r="P23" s="2754"/>
      <c r="Q23" s="2754"/>
      <c r="R23" s="2754"/>
      <c r="S23" s="2754"/>
      <c r="T23" s="2754"/>
      <c r="U23" s="2753">
        <f>(100-26.4)/100</f>
        <v>0.73599999999999999</v>
      </c>
    </row>
    <row r="24" spans="1:23" s="33" customFormat="1" ht="12.75" customHeight="1" x14ac:dyDescent="0.2">
      <c r="A24" s="2731"/>
      <c r="B24" s="1224"/>
      <c r="C24" s="2734"/>
      <c r="D24" s="2195" t="s">
        <v>403</v>
      </c>
      <c r="E24" s="2755"/>
      <c r="F24" s="2756">
        <f>(100-42.1)/100</f>
        <v>0.57899999999999996</v>
      </c>
      <c r="G24" s="2757"/>
      <c r="H24" s="2757"/>
      <c r="I24" s="2757"/>
      <c r="J24" s="2754"/>
      <c r="K24" s="2753">
        <f>(100-38.1)/100</f>
        <v>0.61899999999999999</v>
      </c>
      <c r="L24" s="2754"/>
      <c r="M24" s="2754"/>
      <c r="N24" s="2754"/>
      <c r="O24" s="2754"/>
      <c r="P24" s="2754"/>
      <c r="Q24" s="2754"/>
      <c r="R24" s="2754"/>
      <c r="S24" s="2754"/>
      <c r="T24" s="2754"/>
      <c r="U24" s="2753">
        <f>(100-26)/100</f>
        <v>0.74</v>
      </c>
    </row>
    <row r="25" spans="1:23" s="33" customFormat="1" ht="12.75" customHeight="1" x14ac:dyDescent="0.2">
      <c r="A25" s="2731"/>
      <c r="B25" s="1224"/>
      <c r="C25" s="2741"/>
      <c r="D25" s="2667" t="s">
        <v>401</v>
      </c>
      <c r="E25" s="2758"/>
      <c r="F25" s="2759">
        <f>(100-21.1)/100</f>
        <v>0.78900000000000003</v>
      </c>
      <c r="G25" s="2760"/>
      <c r="H25" s="2760"/>
      <c r="I25" s="2760"/>
      <c r="J25" s="2760"/>
      <c r="K25" s="2761">
        <f>(100-19.6)/100</f>
        <v>0.80400000000000005</v>
      </c>
      <c r="L25" s="2760"/>
      <c r="M25" s="2760"/>
      <c r="N25" s="2760"/>
      <c r="O25" s="2760"/>
      <c r="P25" s="2760"/>
      <c r="Q25" s="2760"/>
      <c r="R25" s="2760"/>
      <c r="S25" s="2760"/>
      <c r="T25" s="2760"/>
      <c r="U25" s="2761">
        <f>(100-12.6)/100</f>
        <v>0.87400000000000011</v>
      </c>
    </row>
    <row r="26" spans="1:23" s="33" customFormat="1" ht="12.75" customHeight="1" x14ac:dyDescent="0.2">
      <c r="A26" s="2731"/>
      <c r="B26" s="1224"/>
      <c r="C26" s="2741"/>
      <c r="D26" s="2746" t="s">
        <v>1076</v>
      </c>
      <c r="E26" s="2762"/>
      <c r="F26" s="2763">
        <f>(100-33.6)/100</f>
        <v>0.66400000000000003</v>
      </c>
      <c r="G26" s="2764"/>
      <c r="H26" s="2764"/>
      <c r="I26" s="2764"/>
      <c r="J26" s="2764"/>
      <c r="K26" s="2765">
        <f>(100-31.5)/100</f>
        <v>0.68500000000000005</v>
      </c>
      <c r="L26" s="2764"/>
      <c r="M26" s="2764"/>
      <c r="N26" s="2764"/>
      <c r="O26" s="2764"/>
      <c r="P26" s="2764"/>
      <c r="Q26" s="2764"/>
      <c r="R26" s="2764"/>
      <c r="S26" s="2764"/>
      <c r="T26" s="2764"/>
      <c r="U26" s="2765">
        <f>(100-19.1)/100</f>
        <v>0.80900000000000005</v>
      </c>
    </row>
    <row r="27" spans="1:23" s="2769" customFormat="1" ht="12.75" customHeight="1" x14ac:dyDescent="0.25">
      <c r="A27" s="2731"/>
      <c r="B27" s="2731"/>
      <c r="C27" s="2741"/>
      <c r="D27" s="2751" t="s">
        <v>1074</v>
      </c>
      <c r="E27" s="2766"/>
      <c r="F27" s="2767">
        <v>0.33600000000000002</v>
      </c>
      <c r="G27" s="2768"/>
      <c r="H27" s="2768"/>
      <c r="I27" s="2768"/>
      <c r="J27" s="2768"/>
      <c r="K27" s="2767">
        <v>0.315</v>
      </c>
      <c r="L27" s="2768"/>
      <c r="M27" s="2768"/>
      <c r="N27" s="2768"/>
      <c r="O27" s="2768"/>
      <c r="P27" s="2768"/>
      <c r="Q27" s="2768"/>
      <c r="R27" s="2768"/>
      <c r="S27" s="2768"/>
      <c r="T27" s="2768"/>
      <c r="U27" s="2767">
        <v>0.191</v>
      </c>
    </row>
    <row r="28" spans="1:23" s="33" customFormat="1" ht="12.75" customHeight="1" x14ac:dyDescent="0.2">
      <c r="A28" s="2731"/>
      <c r="B28" s="1224"/>
      <c r="C28" s="2741"/>
      <c r="D28" s="2709"/>
      <c r="E28" s="2534"/>
      <c r="F28" s="168"/>
      <c r="G28" s="168"/>
      <c r="H28" s="168"/>
      <c r="I28" s="168"/>
      <c r="J28" s="168"/>
      <c r="K28" s="168"/>
      <c r="L28" s="168"/>
      <c r="M28" s="168"/>
      <c r="N28" s="168"/>
      <c r="O28" s="168"/>
      <c r="P28" s="168"/>
      <c r="Q28" s="168"/>
      <c r="R28" s="168"/>
      <c r="S28" s="168"/>
      <c r="T28" s="168"/>
      <c r="U28" s="168"/>
    </row>
    <row r="29" spans="1:23" s="33" customFormat="1" ht="12.75" customHeight="1" x14ac:dyDescent="0.2">
      <c r="A29" s="819">
        <v>5</v>
      </c>
      <c r="B29" s="1192" t="s">
        <v>56</v>
      </c>
      <c r="C29" s="2741"/>
      <c r="D29" s="2709"/>
      <c r="E29" s="2534"/>
      <c r="F29" s="168"/>
      <c r="G29" s="2534"/>
      <c r="H29" s="2534"/>
      <c r="I29" s="2534"/>
      <c r="J29" s="2534"/>
      <c r="K29" s="2534"/>
      <c r="L29" s="2534"/>
      <c r="M29" s="2534"/>
      <c r="N29" s="2534"/>
      <c r="O29" s="2534"/>
      <c r="P29" s="2534"/>
    </row>
    <row r="30" spans="1:23" s="33" customFormat="1" ht="12.75" customHeight="1" x14ac:dyDescent="0.2">
      <c r="A30" s="2731"/>
      <c r="B30" s="1224"/>
      <c r="C30" s="2741"/>
      <c r="D30" s="2709"/>
      <c r="E30" s="2534"/>
      <c r="F30" s="168"/>
      <c r="G30" s="2534"/>
      <c r="H30" s="2534"/>
      <c r="I30" s="2534"/>
      <c r="J30" s="2534"/>
      <c r="K30" s="2534"/>
      <c r="L30" s="2534"/>
      <c r="M30" s="2534"/>
      <c r="N30" s="2534"/>
      <c r="O30" s="2534"/>
      <c r="P30" s="2534"/>
    </row>
    <row r="31" spans="1:23" s="33" customFormat="1" ht="12.75" customHeight="1" x14ac:dyDescent="0.2">
      <c r="A31" s="2731"/>
      <c r="B31" s="1224"/>
      <c r="C31" s="2741"/>
      <c r="D31" s="2709"/>
      <c r="E31" s="2534"/>
      <c r="F31" s="168"/>
      <c r="G31" s="2534"/>
      <c r="H31" s="2534"/>
      <c r="I31" s="2534"/>
      <c r="J31" s="2534"/>
      <c r="K31" s="2534"/>
      <c r="L31" s="2534"/>
      <c r="M31" s="2534"/>
      <c r="N31" s="2534"/>
      <c r="O31" s="2534"/>
      <c r="P31" s="2534"/>
    </row>
    <row r="32" spans="1:23" s="33" customFormat="1" ht="12.75" customHeight="1" x14ac:dyDescent="0.2">
      <c r="A32" s="2731"/>
      <c r="B32" s="1224"/>
      <c r="C32" s="2741"/>
      <c r="D32" s="2709"/>
      <c r="E32" s="2534"/>
      <c r="F32" s="168"/>
      <c r="G32" s="2534"/>
      <c r="H32" s="2534"/>
      <c r="I32" s="2534"/>
      <c r="J32" s="2534"/>
      <c r="K32" s="2534"/>
      <c r="L32" s="2534"/>
      <c r="M32" s="2534"/>
      <c r="N32" s="2534"/>
      <c r="O32" s="2534"/>
      <c r="P32" s="2534"/>
    </row>
    <row r="33" spans="1:28" s="33" customFormat="1" ht="12.75" customHeight="1" x14ac:dyDescent="0.2">
      <c r="A33" s="2731"/>
      <c r="B33" s="1224"/>
      <c r="C33" s="2741"/>
      <c r="D33" s="2709"/>
      <c r="E33" s="2534"/>
      <c r="F33" s="168"/>
      <c r="G33" s="2534"/>
      <c r="H33" s="2534"/>
      <c r="I33" s="2534"/>
      <c r="J33" s="2534"/>
      <c r="K33" s="2534"/>
      <c r="L33" s="2534"/>
      <c r="M33" s="2534"/>
      <c r="N33" s="2534"/>
      <c r="O33" s="2534"/>
      <c r="P33" s="2534"/>
    </row>
    <row r="34" spans="1:28" s="33" customFormat="1" ht="12.75" customHeight="1" x14ac:dyDescent="0.2">
      <c r="A34" s="2731"/>
      <c r="B34" s="1224"/>
      <c r="C34" s="2741"/>
      <c r="D34" s="2709"/>
      <c r="E34" s="2534"/>
      <c r="F34" s="168"/>
      <c r="G34" s="2534"/>
      <c r="H34" s="2534"/>
      <c r="I34" s="2534"/>
      <c r="J34" s="2534"/>
      <c r="K34" s="2534"/>
      <c r="L34" s="2534"/>
      <c r="M34" s="2534"/>
      <c r="N34" s="2534"/>
      <c r="O34" s="2534"/>
      <c r="P34" s="2534"/>
    </row>
    <row r="35" spans="1:28" s="33" customFormat="1" ht="12.75" customHeight="1" x14ac:dyDescent="0.2">
      <c r="A35" s="2731"/>
      <c r="B35" s="1224"/>
      <c r="C35" s="2741"/>
      <c r="D35" s="2709"/>
      <c r="E35" s="2534"/>
      <c r="F35" s="168"/>
      <c r="G35" s="2534"/>
      <c r="H35" s="2534"/>
      <c r="I35" s="2534"/>
      <c r="J35" s="2534"/>
      <c r="K35" s="2534"/>
      <c r="L35" s="2534"/>
      <c r="M35" s="2534"/>
      <c r="N35" s="2534"/>
      <c r="O35" s="2534"/>
      <c r="P35" s="2534"/>
    </row>
    <row r="36" spans="1:28" s="33" customFormat="1" ht="12.75" customHeight="1" x14ac:dyDescent="0.2">
      <c r="A36" s="2731"/>
      <c r="B36" s="1224"/>
      <c r="C36" s="2741"/>
      <c r="D36" s="2709"/>
      <c r="E36" s="2534"/>
      <c r="F36" s="168"/>
      <c r="G36" s="2534"/>
      <c r="H36" s="2534"/>
      <c r="I36" s="2534"/>
      <c r="J36" s="2534"/>
      <c r="K36" s="2534"/>
      <c r="L36" s="2534"/>
      <c r="M36" s="2534"/>
      <c r="N36" s="2534"/>
      <c r="O36" s="2534"/>
      <c r="P36" s="2534"/>
    </row>
    <row r="37" spans="1:28" s="33" customFormat="1" ht="12.75" customHeight="1" x14ac:dyDescent="0.2">
      <c r="A37" s="2731"/>
      <c r="B37" s="1224"/>
      <c r="C37" s="2741"/>
      <c r="D37" s="2709"/>
      <c r="E37" s="2534"/>
      <c r="F37" s="168"/>
      <c r="G37" s="2534"/>
      <c r="H37" s="2534"/>
      <c r="I37" s="2534"/>
      <c r="J37" s="2534"/>
      <c r="K37" s="2534"/>
      <c r="L37" s="2534"/>
      <c r="M37" s="2534"/>
      <c r="N37" s="2534"/>
      <c r="O37" s="2534"/>
      <c r="P37" s="2534"/>
    </row>
    <row r="38" spans="1:28" s="33" customFormat="1" ht="12.75" customHeight="1" x14ac:dyDescent="0.2">
      <c r="A38" s="2731"/>
      <c r="B38" s="1224"/>
      <c r="C38" s="2741"/>
      <c r="D38" s="2709"/>
      <c r="E38" s="2534"/>
      <c r="F38" s="168"/>
      <c r="G38" s="2534"/>
      <c r="H38" s="2534"/>
      <c r="I38" s="2534"/>
      <c r="J38" s="2534"/>
      <c r="K38" s="2534"/>
      <c r="L38" s="2534"/>
      <c r="M38" s="2534"/>
      <c r="N38" s="2534"/>
      <c r="O38" s="2534"/>
      <c r="P38" s="2534"/>
    </row>
    <row r="39" spans="1:28" s="33" customFormat="1" ht="12.75" customHeight="1" x14ac:dyDescent="0.2">
      <c r="A39" s="2731"/>
      <c r="B39" s="1224"/>
      <c r="C39" s="2741"/>
      <c r="D39" s="2709"/>
      <c r="E39" s="2534"/>
      <c r="F39" s="168"/>
      <c r="G39" s="2534"/>
      <c r="H39" s="2534"/>
      <c r="I39" s="2534"/>
      <c r="J39" s="2534"/>
      <c r="K39" s="2534"/>
      <c r="L39" s="2534"/>
      <c r="M39" s="2534"/>
      <c r="N39" s="2534"/>
      <c r="O39" s="2534"/>
      <c r="P39" s="2534"/>
    </row>
    <row r="40" spans="1:28" s="33" customFormat="1" ht="12.75" customHeight="1" x14ac:dyDescent="0.2">
      <c r="A40" s="2731"/>
      <c r="B40" s="1224"/>
      <c r="C40" s="2741"/>
      <c r="D40" s="2709"/>
      <c r="E40" s="2534"/>
      <c r="F40" s="168"/>
      <c r="G40" s="2534"/>
      <c r="H40" s="2534"/>
      <c r="I40" s="2534"/>
      <c r="J40" s="2534"/>
      <c r="K40" s="2534"/>
      <c r="L40" s="2534"/>
      <c r="M40" s="2534"/>
      <c r="N40" s="2534"/>
      <c r="O40" s="2534"/>
      <c r="P40" s="2534"/>
    </row>
    <row r="41" spans="1:28" s="33" customFormat="1" ht="12.75" customHeight="1" x14ac:dyDescent="0.2">
      <c r="A41" s="2731"/>
      <c r="B41" s="1224"/>
      <c r="C41" s="2741"/>
      <c r="D41" s="2709"/>
      <c r="E41" s="2534"/>
      <c r="F41" s="168"/>
      <c r="G41" s="2534"/>
      <c r="H41" s="2534"/>
      <c r="I41" s="2534"/>
      <c r="J41" s="2534"/>
      <c r="K41" s="2534"/>
      <c r="L41" s="2534"/>
      <c r="M41" s="2534"/>
      <c r="N41" s="2534"/>
      <c r="O41" s="2534"/>
      <c r="P41" s="2534"/>
    </row>
    <row r="42" spans="1:28" s="33" customFormat="1" ht="12.75" customHeight="1" x14ac:dyDescent="0.2">
      <c r="A42" s="2731"/>
      <c r="B42" s="1224"/>
      <c r="C42" s="2741"/>
      <c r="D42" s="2709"/>
      <c r="E42" s="2534"/>
      <c r="F42" s="168"/>
      <c r="G42" s="2534"/>
      <c r="H42" s="2534"/>
      <c r="I42" s="2534"/>
      <c r="J42" s="2534"/>
      <c r="K42" s="2534"/>
      <c r="L42" s="2534"/>
      <c r="M42" s="2534"/>
      <c r="N42" s="2534"/>
      <c r="O42" s="2534"/>
      <c r="P42" s="2534"/>
    </row>
    <row r="43" spans="1:28" s="33" customFormat="1" ht="12.75" customHeight="1" x14ac:dyDescent="0.2">
      <c r="A43" s="2731"/>
      <c r="B43" s="1224"/>
      <c r="C43" s="2741"/>
      <c r="D43" s="2709"/>
      <c r="E43" s="2534"/>
      <c r="F43" s="168"/>
      <c r="G43" s="2534"/>
      <c r="H43" s="2534"/>
      <c r="I43" s="2534"/>
      <c r="J43" s="2534"/>
      <c r="K43" s="2534"/>
      <c r="L43" s="2534"/>
      <c r="M43" s="2534"/>
      <c r="N43" s="2534"/>
      <c r="O43" s="2534"/>
      <c r="P43" s="2534"/>
    </row>
    <row r="44" spans="1:28" s="33" customFormat="1" ht="12.75" customHeight="1" x14ac:dyDescent="0.25">
      <c r="A44" s="2731"/>
      <c r="B44" s="1224"/>
      <c r="C44" s="1224"/>
      <c r="D44" s="107"/>
      <c r="E44" s="107"/>
      <c r="F44" s="107"/>
      <c r="G44" s="416"/>
      <c r="H44" s="416"/>
      <c r="I44" s="416"/>
      <c r="J44" s="416"/>
      <c r="K44" s="416"/>
      <c r="L44" s="416"/>
      <c r="M44" s="416"/>
      <c r="N44" s="416"/>
      <c r="O44" s="416"/>
      <c r="P44" s="416"/>
      <c r="Q44" s="416"/>
      <c r="R44" s="416"/>
      <c r="S44" s="416"/>
      <c r="T44" s="416"/>
      <c r="U44" s="416"/>
    </row>
    <row r="45" spans="1:28" ht="15" customHeight="1" x14ac:dyDescent="0.3">
      <c r="A45" s="819">
        <v>6</v>
      </c>
      <c r="B45" s="819" t="s">
        <v>58</v>
      </c>
      <c r="C45" s="819"/>
      <c r="D45" s="4642" t="s">
        <v>363</v>
      </c>
      <c r="E45" s="4643"/>
      <c r="F45" s="4643"/>
      <c r="G45" s="4643"/>
      <c r="H45" s="4643"/>
      <c r="I45" s="4643"/>
      <c r="J45" s="4643"/>
      <c r="K45" s="4643"/>
      <c r="L45" s="4643"/>
      <c r="M45" s="4643"/>
      <c r="N45" s="4643"/>
      <c r="O45" s="4643"/>
      <c r="P45" s="4643"/>
      <c r="Q45" s="4643"/>
      <c r="R45" s="4643"/>
      <c r="S45" s="4643"/>
      <c r="T45" s="4643"/>
      <c r="U45" s="4643"/>
      <c r="V45" s="4643"/>
      <c r="W45" s="4643"/>
      <c r="X45" s="4643"/>
      <c r="Y45" s="4643"/>
      <c r="Z45" s="4643"/>
      <c r="AA45" s="4643"/>
      <c r="AB45" s="4644"/>
    </row>
    <row r="46" spans="1:28" ht="36.75" customHeight="1" x14ac:dyDescent="0.3">
      <c r="A46" s="870">
        <v>7</v>
      </c>
      <c r="B46" s="870" t="s">
        <v>60</v>
      </c>
      <c r="C46" s="870"/>
      <c r="D46" s="4642" t="s">
        <v>1077</v>
      </c>
      <c r="E46" s="4643"/>
      <c r="F46" s="4643"/>
      <c r="G46" s="4643"/>
      <c r="H46" s="4643"/>
      <c r="I46" s="4643"/>
      <c r="J46" s="4643"/>
      <c r="K46" s="4643"/>
      <c r="L46" s="4643"/>
      <c r="M46" s="4643"/>
      <c r="N46" s="4643"/>
      <c r="O46" s="4643"/>
      <c r="P46" s="4643"/>
      <c r="Q46" s="4643"/>
      <c r="R46" s="4643"/>
      <c r="S46" s="4643"/>
      <c r="T46" s="4643"/>
      <c r="U46" s="4643"/>
      <c r="V46" s="4643"/>
      <c r="W46" s="4643"/>
      <c r="X46" s="4643"/>
      <c r="Y46" s="4643"/>
      <c r="Z46" s="4643"/>
      <c r="AA46" s="4643"/>
      <c r="AB46" s="4644"/>
    </row>
    <row r="47" spans="1:28" ht="14.25" customHeight="1" x14ac:dyDescent="0.3">
      <c r="A47" s="819">
        <v>8</v>
      </c>
      <c r="B47" s="819" t="s">
        <v>62</v>
      </c>
      <c r="C47" s="819"/>
      <c r="D47" s="4642" t="s">
        <v>1078</v>
      </c>
      <c r="E47" s="4643"/>
      <c r="F47" s="4643"/>
      <c r="G47" s="4643"/>
      <c r="H47" s="4643"/>
      <c r="I47" s="4643"/>
      <c r="J47" s="4643"/>
      <c r="K47" s="4643"/>
      <c r="L47" s="4643"/>
      <c r="M47" s="4643"/>
      <c r="N47" s="4643"/>
      <c r="O47" s="4643"/>
      <c r="P47" s="4643"/>
      <c r="Q47" s="4643"/>
      <c r="R47" s="4643"/>
      <c r="S47" s="4643"/>
      <c r="T47" s="4643"/>
      <c r="U47" s="4643"/>
      <c r="V47" s="4643"/>
      <c r="W47" s="4643"/>
      <c r="X47" s="4643"/>
      <c r="Y47" s="4643"/>
      <c r="Z47" s="4643"/>
      <c r="AA47" s="4643"/>
      <c r="AB47" s="4644"/>
    </row>
    <row r="48" spans="1:28" ht="14.25" customHeight="1" x14ac:dyDescent="0.3">
      <c r="A48" s="819">
        <v>9</v>
      </c>
      <c r="B48" s="819" t="s">
        <v>134</v>
      </c>
      <c r="D48" s="4642" t="s">
        <v>1079</v>
      </c>
      <c r="E48" s="4643"/>
      <c r="F48" s="4643"/>
      <c r="G48" s="4643"/>
      <c r="H48" s="4643"/>
      <c r="I48" s="4643"/>
      <c r="J48" s="4643"/>
      <c r="K48" s="4643"/>
      <c r="L48" s="4643"/>
      <c r="M48" s="4643"/>
      <c r="N48" s="4643"/>
      <c r="O48" s="4643"/>
      <c r="P48" s="4643"/>
      <c r="Q48" s="4643"/>
      <c r="R48" s="4643"/>
      <c r="S48" s="4643"/>
      <c r="T48" s="4643"/>
      <c r="U48" s="4643"/>
      <c r="V48" s="4643"/>
      <c r="W48" s="4643"/>
      <c r="X48" s="4643"/>
      <c r="Y48" s="4643"/>
      <c r="Z48" s="4643"/>
      <c r="AA48" s="4643"/>
      <c r="AB48" s="4644"/>
    </row>
    <row r="49" spans="4:29" x14ac:dyDescent="0.3">
      <c r="E49" s="2770"/>
    </row>
    <row r="54" spans="4:29" x14ac:dyDescent="0.3">
      <c r="D54" s="1486" t="s">
        <v>74</v>
      </c>
      <c r="E54" s="1486"/>
      <c r="F54" s="1486"/>
      <c r="G54" s="2729" t="s">
        <v>1069</v>
      </c>
      <c r="H54" s="2730"/>
      <c r="I54" s="2730"/>
      <c r="J54" s="2730"/>
      <c r="K54" s="2730"/>
      <c r="L54" s="2730"/>
      <c r="M54" s="2730"/>
      <c r="N54" s="2730"/>
      <c r="O54" s="2730"/>
      <c r="P54" s="2730"/>
      <c r="Q54" s="2730"/>
      <c r="R54" s="33"/>
    </row>
    <row r="55" spans="4:29" x14ac:dyDescent="0.3">
      <c r="D55" s="888"/>
      <c r="E55" s="2771">
        <v>1995</v>
      </c>
      <c r="F55" s="2771">
        <v>1996</v>
      </c>
      <c r="G55" s="2771">
        <v>1997</v>
      </c>
      <c r="H55" s="2771">
        <v>1998</v>
      </c>
      <c r="I55" s="2771">
        <v>1999</v>
      </c>
      <c r="J55" s="2771">
        <v>2000</v>
      </c>
      <c r="K55" s="2771">
        <v>2001</v>
      </c>
      <c r="L55" s="2771">
        <v>2002</v>
      </c>
      <c r="M55" s="2771">
        <v>2003</v>
      </c>
      <c r="N55" s="2771">
        <v>2004</v>
      </c>
      <c r="O55" s="2771">
        <v>2005</v>
      </c>
      <c r="P55" s="2771">
        <v>2006</v>
      </c>
      <c r="Q55" s="2771">
        <v>2007</v>
      </c>
      <c r="R55" s="2771">
        <v>2008</v>
      </c>
      <c r="S55" s="2771">
        <v>2009</v>
      </c>
      <c r="T55" s="2771">
        <v>2010</v>
      </c>
      <c r="U55" s="2771">
        <v>2011</v>
      </c>
      <c r="V55" s="2771">
        <v>2012</v>
      </c>
      <c r="W55" s="2771">
        <v>2013</v>
      </c>
      <c r="X55" s="2771">
        <v>2014</v>
      </c>
      <c r="Y55" s="2771">
        <v>2015</v>
      </c>
      <c r="Z55" s="2772">
        <v>2016</v>
      </c>
      <c r="AA55" s="2772">
        <v>2017</v>
      </c>
      <c r="AB55" s="2733">
        <v>2018</v>
      </c>
      <c r="AC55" s="2733">
        <v>2019</v>
      </c>
    </row>
    <row r="56" spans="4:29" x14ac:dyDescent="0.3">
      <c r="D56" s="2709" t="s">
        <v>1080</v>
      </c>
      <c r="E56" s="168"/>
      <c r="F56" s="168"/>
      <c r="G56" s="1252"/>
      <c r="H56" s="1252"/>
      <c r="I56" s="1252"/>
      <c r="J56" s="2534"/>
      <c r="K56" s="2534"/>
      <c r="L56" s="2738">
        <v>71.5</v>
      </c>
      <c r="M56" s="2738">
        <v>73.400000000000006</v>
      </c>
      <c r="N56" s="2738">
        <v>74.2</v>
      </c>
      <c r="O56" s="2738">
        <v>75.099999999999994</v>
      </c>
      <c r="P56" s="2738">
        <v>75.7</v>
      </c>
      <c r="Q56" s="2738">
        <v>77</v>
      </c>
      <c r="R56" s="2738">
        <v>77.599999999999994</v>
      </c>
      <c r="S56" s="2738">
        <v>80.7</v>
      </c>
      <c r="T56" s="2738">
        <v>81.3</v>
      </c>
      <c r="U56" s="2738">
        <v>82.5</v>
      </c>
      <c r="V56" s="2738">
        <v>83.8</v>
      </c>
      <c r="W56" s="2738">
        <v>84.2</v>
      </c>
      <c r="X56" s="2738">
        <v>84.6</v>
      </c>
      <c r="Y56" s="2738">
        <v>85</v>
      </c>
      <c r="Z56" s="2738">
        <v>85.8</v>
      </c>
      <c r="AA56" s="2738">
        <v>86.3</v>
      </c>
      <c r="AB56" s="2738">
        <v>87</v>
      </c>
      <c r="AC56" s="2738">
        <f>100-AC60</f>
        <v>87.9</v>
      </c>
    </row>
    <row r="57" spans="4:29" x14ac:dyDescent="0.3">
      <c r="D57" s="107" t="s">
        <v>1071</v>
      </c>
      <c r="E57" s="2534">
        <v>0.69582114118507699</v>
      </c>
      <c r="F57" s="168"/>
      <c r="G57" s="2534">
        <v>0.69258781105587497</v>
      </c>
      <c r="H57" s="2534">
        <v>0.68703930601276797</v>
      </c>
      <c r="I57" s="2534">
        <v>0.69049620076509899</v>
      </c>
      <c r="J57" s="2534"/>
      <c r="K57" s="2534"/>
      <c r="L57" s="2534"/>
      <c r="M57" s="2534"/>
      <c r="N57" s="2534"/>
      <c r="O57" s="2534"/>
      <c r="P57" s="2534"/>
      <c r="Q57" s="2534"/>
      <c r="R57" s="2534"/>
      <c r="S57" s="2534"/>
      <c r="T57" s="2534"/>
      <c r="U57" s="2534"/>
      <c r="V57" s="2534"/>
      <c r="W57" s="2534"/>
      <c r="X57" s="2534"/>
      <c r="Y57" s="2534"/>
      <c r="Z57" s="2773"/>
      <c r="AA57" s="2774"/>
      <c r="AB57" s="2739"/>
      <c r="AC57" s="2739"/>
    </row>
    <row r="58" spans="4:29" x14ac:dyDescent="0.3">
      <c r="D58" s="2709" t="s">
        <v>1081</v>
      </c>
      <c r="E58" s="168"/>
      <c r="F58" s="168"/>
      <c r="G58" s="2775"/>
      <c r="H58" s="2775"/>
      <c r="I58" s="2775"/>
      <c r="J58" s="2534"/>
      <c r="K58" s="2534"/>
      <c r="L58" s="2534">
        <v>0.69379092021008704</v>
      </c>
      <c r="M58" s="2534">
        <v>0.70300464922628603</v>
      </c>
      <c r="N58" s="2534">
        <v>0.71803278688524597</v>
      </c>
      <c r="O58" s="2534">
        <v>0.73699999999999999</v>
      </c>
      <c r="P58" s="2534">
        <v>0.745</v>
      </c>
      <c r="Q58" s="2534">
        <v>0.75700000000000001</v>
      </c>
      <c r="R58" s="2534">
        <v>0.753</v>
      </c>
      <c r="S58" s="2534">
        <v>0.78800000000000003</v>
      </c>
      <c r="T58" s="2534">
        <v>0.79500000000000004</v>
      </c>
      <c r="U58" s="2534">
        <v>0.80700000000000005</v>
      </c>
      <c r="V58" s="2534">
        <v>0.82</v>
      </c>
      <c r="W58" s="2534">
        <v>0.82499999999999996</v>
      </c>
      <c r="X58" s="2534">
        <v>0.83</v>
      </c>
      <c r="Y58" s="2534">
        <v>0.83199999999999996</v>
      </c>
      <c r="Z58" s="2773">
        <v>0.83923060999999999</v>
      </c>
      <c r="AA58" s="2774">
        <v>0.85250806000000001</v>
      </c>
      <c r="AB58" s="2739"/>
      <c r="AC58" s="4583">
        <f>100-12.5</f>
        <v>87.5</v>
      </c>
    </row>
    <row r="59" spans="4:29" x14ac:dyDescent="0.3">
      <c r="D59" s="2742" t="s">
        <v>1073</v>
      </c>
      <c r="E59" s="2776">
        <v>0.67228661749209695</v>
      </c>
      <c r="F59" s="2777"/>
      <c r="G59" s="2776">
        <v>0.675676991430467</v>
      </c>
      <c r="H59" s="2776">
        <v>0.67219802920879301</v>
      </c>
      <c r="I59" s="2776">
        <v>0.67376959649273205</v>
      </c>
      <c r="J59" s="2776"/>
      <c r="K59" s="2776"/>
      <c r="L59" s="2776"/>
      <c r="M59" s="2776"/>
      <c r="N59" s="2776"/>
      <c r="O59" s="2776"/>
      <c r="P59" s="2776"/>
      <c r="Q59" s="2776"/>
      <c r="R59" s="2776"/>
      <c r="S59" s="2776"/>
      <c r="T59" s="2776"/>
      <c r="U59" s="2776"/>
      <c r="V59" s="2776"/>
      <c r="W59" s="2776"/>
      <c r="X59" s="2776"/>
      <c r="Y59" s="2776"/>
      <c r="Z59" s="2778"/>
      <c r="AA59" s="2779"/>
      <c r="AB59" s="2745"/>
      <c r="AC59" s="2745"/>
    </row>
    <row r="60" spans="4:29" ht="14.5" x14ac:dyDescent="0.35">
      <c r="D60" s="2746" t="s">
        <v>1074</v>
      </c>
      <c r="E60" s="2780">
        <v>0.30417885881492301</v>
      </c>
      <c r="F60" s="2780"/>
      <c r="G60" s="2780">
        <v>0.30741218894412503</v>
      </c>
      <c r="H60" s="2780">
        <v>0.31296069398723203</v>
      </c>
      <c r="I60" s="2780">
        <v>0.30950379923490101</v>
      </c>
      <c r="J60" s="2780"/>
      <c r="K60" s="2780"/>
      <c r="L60" s="2747">
        <v>28.5</v>
      </c>
      <c r="M60" s="2748">
        <v>26.6</v>
      </c>
      <c r="N60" s="2748">
        <v>25.8</v>
      </c>
      <c r="O60" s="2748">
        <v>24.9</v>
      </c>
      <c r="P60" s="2748">
        <v>24.3</v>
      </c>
      <c r="Q60" s="2748">
        <v>23</v>
      </c>
      <c r="R60" s="2748">
        <v>22.4</v>
      </c>
      <c r="S60" s="2748">
        <v>19.3</v>
      </c>
      <c r="T60" s="2748">
        <v>18.7</v>
      </c>
      <c r="U60" s="2748">
        <v>17.5</v>
      </c>
      <c r="V60" s="2748">
        <v>16.2</v>
      </c>
      <c r="W60" s="2748">
        <v>15.8</v>
      </c>
      <c r="X60" s="2748">
        <v>15.4</v>
      </c>
      <c r="Y60" s="2748">
        <v>15</v>
      </c>
      <c r="Z60" s="2748">
        <v>14.2</v>
      </c>
      <c r="AA60" s="2748">
        <v>13.7</v>
      </c>
      <c r="AB60" s="2747">
        <v>13</v>
      </c>
      <c r="AC60" s="2750">
        <v>12.1</v>
      </c>
    </row>
    <row r="71" spans="8:13" x14ac:dyDescent="0.3">
      <c r="H71" s="2781"/>
    </row>
    <row r="79" spans="8:13" ht="14.5" x14ac:dyDescent="0.35">
      <c r="L79" s="2782"/>
      <c r="M79" s="2783"/>
    </row>
    <row r="80" spans="8:13" ht="14.5" x14ac:dyDescent="0.35">
      <c r="L80" s="2782"/>
    </row>
  </sheetData>
  <mergeCells count="7">
    <mergeCell ref="D48:AB48"/>
    <mergeCell ref="D2:AB2"/>
    <mergeCell ref="D3:AB3"/>
    <mergeCell ref="D4:AB4"/>
    <mergeCell ref="D45:AB45"/>
    <mergeCell ref="D46:AB46"/>
    <mergeCell ref="D47:AB47"/>
  </mergeCells>
  <pageMargins left="0.74803149606299202" right="0.74803149606299202" top="0.98425196850393704" bottom="0.98425196850393704" header="0.511811023622047" footer="0.511811023622047"/>
  <pageSetup paperSize="9" scale="4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C15B7-DA91-449A-A647-CDB15263F026}">
  <sheetPr>
    <tabColor theme="8" tint="-0.249977111117893"/>
    <pageSetUpPr fitToPage="1"/>
  </sheetPr>
  <dimension ref="A1:BF49"/>
  <sheetViews>
    <sheetView showGridLines="0" view="pageBreakPreview" topLeftCell="E7" zoomScaleNormal="100" zoomScaleSheetLayoutView="100" workbookViewId="0">
      <selection activeCell="X9" sqref="X9"/>
    </sheetView>
  </sheetViews>
  <sheetFormatPr defaultColWidth="9.1796875" defaultRowHeight="14.5" x14ac:dyDescent="0.35"/>
  <cols>
    <col min="1" max="1" width="3.81640625" style="2788" customWidth="1"/>
    <col min="2" max="2" width="14.453125" style="2789" customWidth="1"/>
    <col min="3" max="3" width="3.81640625" style="2789" customWidth="1"/>
    <col min="4" max="4" width="20.1796875" style="2787" customWidth="1"/>
    <col min="5" max="5" width="25.54296875" style="2787" customWidth="1"/>
    <col min="6" max="23" width="7.81640625" style="2787" customWidth="1"/>
    <col min="24" max="26" width="9.1796875" style="2787"/>
    <col min="27" max="27" width="10.81640625" style="2787" bestFit="1" customWidth="1"/>
    <col min="28" max="32" width="9.1796875" style="2787"/>
    <col min="33" max="33" width="9.54296875" style="2787" bestFit="1" customWidth="1"/>
    <col min="34" max="53" width="9.81640625" style="2787" bestFit="1" customWidth="1"/>
    <col min="54" max="54" width="9.54296875" style="2787" bestFit="1" customWidth="1"/>
    <col min="55" max="57" width="9.1796875" style="2787" bestFit="1" customWidth="1"/>
    <col min="58" max="16384" width="9.1796875" style="2787"/>
  </cols>
  <sheetData>
    <row r="1" spans="1:58" x14ac:dyDescent="0.35">
      <c r="A1" s="2784"/>
      <c r="B1" s="2785"/>
      <c r="C1" s="2785"/>
      <c r="D1" s="2786"/>
      <c r="E1" s="2786"/>
      <c r="F1" s="2786"/>
      <c r="G1" s="2786"/>
      <c r="H1" s="2786"/>
      <c r="I1" s="2786"/>
      <c r="J1" s="2786"/>
      <c r="K1" s="2786"/>
      <c r="L1" s="2786"/>
      <c r="M1" s="2786"/>
      <c r="N1" s="2786"/>
      <c r="O1" s="2786"/>
      <c r="P1" s="2786"/>
      <c r="Q1" s="2786"/>
      <c r="R1" s="2786"/>
      <c r="S1" s="2786"/>
      <c r="T1" s="2786"/>
      <c r="U1" s="2786"/>
      <c r="V1" s="2104"/>
      <c r="W1" s="2104"/>
    </row>
    <row r="2" spans="1:58" ht="14.5" customHeight="1" x14ac:dyDescent="0.35">
      <c r="A2" s="2784">
        <v>1</v>
      </c>
      <c r="B2" s="2784" t="s">
        <v>0</v>
      </c>
      <c r="C2" s="2784">
        <f>1+'Literacy rate  '!C2</f>
        <v>48</v>
      </c>
      <c r="D2" s="4880" t="s">
        <v>1082</v>
      </c>
      <c r="E2" s="4881"/>
      <c r="F2" s="4881"/>
      <c r="G2" s="4881"/>
      <c r="H2" s="4881"/>
      <c r="I2" s="4881"/>
      <c r="J2" s="4881"/>
      <c r="K2" s="4881"/>
      <c r="L2" s="4881"/>
      <c r="M2" s="4881"/>
      <c r="N2" s="4881"/>
      <c r="O2" s="4881"/>
      <c r="P2" s="4881"/>
      <c r="Q2" s="4881"/>
      <c r="R2" s="4881"/>
      <c r="S2" s="4881"/>
      <c r="T2" s="4881"/>
      <c r="U2" s="4881"/>
      <c r="V2" s="4881"/>
      <c r="W2" s="4881"/>
      <c r="X2" s="4881"/>
      <c r="Y2" s="4881"/>
      <c r="Z2" s="4881"/>
      <c r="AA2" s="4881"/>
      <c r="AB2" s="4881"/>
      <c r="AC2" s="4882"/>
    </row>
    <row r="3" spans="1:58" ht="15" customHeight="1" x14ac:dyDescent="0.35">
      <c r="A3" s="2784">
        <v>2</v>
      </c>
      <c r="B3" s="2784" t="s">
        <v>2</v>
      </c>
      <c r="C3" s="2784"/>
      <c r="D3" s="4880" t="s">
        <v>1024</v>
      </c>
      <c r="E3" s="4881"/>
      <c r="F3" s="4881"/>
      <c r="G3" s="4881"/>
      <c r="H3" s="4881"/>
      <c r="I3" s="4881"/>
      <c r="J3" s="4881"/>
      <c r="K3" s="4881"/>
      <c r="L3" s="4881"/>
      <c r="M3" s="4881"/>
      <c r="N3" s="4881"/>
      <c r="O3" s="4881"/>
      <c r="P3" s="4881"/>
      <c r="Q3" s="4881"/>
      <c r="R3" s="4881"/>
      <c r="S3" s="4881"/>
      <c r="T3" s="4881"/>
      <c r="U3" s="4881"/>
      <c r="V3" s="4881"/>
      <c r="W3" s="4881"/>
      <c r="X3" s="4881"/>
      <c r="Y3" s="4881"/>
      <c r="Z3" s="4881"/>
      <c r="AA3" s="4881"/>
      <c r="AB3" s="4881"/>
      <c r="AC3" s="4882"/>
    </row>
    <row r="4" spans="1:58" ht="12.75" customHeight="1" x14ac:dyDescent="0.35">
      <c r="A4" s="2784">
        <v>3</v>
      </c>
      <c r="B4" s="2784" t="s">
        <v>4</v>
      </c>
      <c r="C4" s="2784"/>
      <c r="D4" s="4880" t="s">
        <v>1083</v>
      </c>
      <c r="E4" s="4881"/>
      <c r="F4" s="4881"/>
      <c r="G4" s="4881"/>
      <c r="H4" s="4881"/>
      <c r="I4" s="4881"/>
      <c r="J4" s="4881"/>
      <c r="K4" s="4881"/>
      <c r="L4" s="4881"/>
      <c r="M4" s="4881"/>
      <c r="N4" s="4881"/>
      <c r="O4" s="4881"/>
      <c r="P4" s="4881"/>
      <c r="Q4" s="4881"/>
      <c r="R4" s="4881"/>
      <c r="S4" s="4881"/>
      <c r="T4" s="4881"/>
      <c r="U4" s="4881"/>
      <c r="V4" s="4881"/>
      <c r="W4" s="4881"/>
      <c r="X4" s="4881"/>
      <c r="Y4" s="4881"/>
      <c r="Z4" s="4881"/>
      <c r="AA4" s="4881"/>
      <c r="AB4" s="4881"/>
      <c r="AC4" s="4882"/>
    </row>
    <row r="5" spans="1:58" x14ac:dyDescent="0.35">
      <c r="C5" s="2784"/>
      <c r="D5" s="2485"/>
      <c r="E5" s="2485"/>
      <c r="F5" s="2485"/>
      <c r="G5" s="2485"/>
      <c r="H5" s="2485"/>
      <c r="I5" s="2485"/>
      <c r="J5" s="2485"/>
      <c r="K5" s="2485"/>
      <c r="L5" s="2485"/>
      <c r="M5" s="2485"/>
      <c r="N5" s="2485"/>
      <c r="O5" s="2485"/>
      <c r="P5" s="2485"/>
      <c r="Q5" s="2485"/>
      <c r="R5" s="2485"/>
      <c r="S5" s="2485"/>
      <c r="T5" s="590"/>
      <c r="U5" s="590"/>
      <c r="V5" s="2790"/>
      <c r="W5" s="2790"/>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row>
    <row r="6" spans="1:58" x14ac:dyDescent="0.35">
      <c r="A6" s="2784">
        <v>4</v>
      </c>
      <c r="B6" s="2784" t="s">
        <v>6</v>
      </c>
      <c r="C6" s="2785"/>
      <c r="D6" s="638" t="s">
        <v>7</v>
      </c>
      <c r="E6" s="638"/>
      <c r="F6" s="638" t="s">
        <v>1002</v>
      </c>
      <c r="G6" s="638"/>
      <c r="H6" s="638"/>
      <c r="I6" s="638"/>
      <c r="J6" s="638"/>
      <c r="K6" s="638"/>
      <c r="L6" s="638"/>
      <c r="M6" s="638"/>
      <c r="N6" s="2791"/>
      <c r="O6" s="2791"/>
      <c r="P6" s="2791"/>
      <c r="Q6" s="2791"/>
      <c r="R6" s="2791"/>
      <c r="S6" s="2791"/>
      <c r="T6" s="2791"/>
      <c r="U6" s="2791"/>
      <c r="V6" s="2791"/>
      <c r="W6" s="2791"/>
      <c r="AD6" s="391"/>
      <c r="AE6" s="391" t="s">
        <v>85</v>
      </c>
      <c r="AF6" s="391"/>
      <c r="AG6" s="391" t="s">
        <v>1084</v>
      </c>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391"/>
    </row>
    <row r="7" spans="1:58" x14ac:dyDescent="0.35">
      <c r="A7" s="2784"/>
      <c r="B7" s="2785"/>
      <c r="C7" s="2785"/>
      <c r="D7" s="2792"/>
      <c r="E7" s="2792"/>
      <c r="F7" s="2793">
        <v>1994</v>
      </c>
      <c r="G7" s="2793">
        <v>1995</v>
      </c>
      <c r="H7" s="2793">
        <v>1996</v>
      </c>
      <c r="I7" s="2793">
        <v>1997</v>
      </c>
      <c r="J7" s="2793">
        <v>1998</v>
      </c>
      <c r="K7" s="2793">
        <v>1999</v>
      </c>
      <c r="L7" s="2793">
        <v>2000</v>
      </c>
      <c r="M7" s="2793">
        <v>2001</v>
      </c>
      <c r="N7" s="2793">
        <v>2002</v>
      </c>
      <c r="O7" s="2793">
        <v>2003</v>
      </c>
      <c r="P7" s="2793">
        <v>2004</v>
      </c>
      <c r="Q7" s="2793">
        <v>2005</v>
      </c>
      <c r="R7" s="2793">
        <v>2006</v>
      </c>
      <c r="S7" s="2793">
        <v>2007</v>
      </c>
      <c r="T7" s="2793">
        <v>2008</v>
      </c>
      <c r="U7" s="2793">
        <v>2009</v>
      </c>
      <c r="V7" s="2793">
        <v>2010</v>
      </c>
      <c r="W7" s="2793">
        <v>2011</v>
      </c>
      <c r="X7" s="2793">
        <v>2012</v>
      </c>
      <c r="Y7" s="2793">
        <v>2013</v>
      </c>
      <c r="Z7" s="2794">
        <v>2014</v>
      </c>
      <c r="AA7" s="2733">
        <v>2015</v>
      </c>
      <c r="AB7" s="2733">
        <v>2016</v>
      </c>
      <c r="AC7" s="2733">
        <v>2017</v>
      </c>
      <c r="AD7" s="2733">
        <v>2018</v>
      </c>
      <c r="AE7" s="2733">
        <v>2019</v>
      </c>
      <c r="AF7" s="391"/>
      <c r="AG7" s="391"/>
      <c r="AH7" s="391">
        <v>1994</v>
      </c>
      <c r="AI7" s="391">
        <v>1995</v>
      </c>
      <c r="AJ7" s="391">
        <v>1996</v>
      </c>
      <c r="AK7" s="391">
        <v>1997</v>
      </c>
      <c r="AL7" s="391">
        <v>1998</v>
      </c>
      <c r="AM7" s="391">
        <v>1999</v>
      </c>
      <c r="AN7" s="391">
        <v>2000</v>
      </c>
      <c r="AO7" s="391">
        <v>2001</v>
      </c>
      <c r="AP7" s="391">
        <v>2002</v>
      </c>
      <c r="AQ7" s="391">
        <v>2003</v>
      </c>
      <c r="AR7" s="391">
        <v>2004</v>
      </c>
      <c r="AS7" s="391">
        <v>2005</v>
      </c>
      <c r="AT7" s="391">
        <v>2006</v>
      </c>
      <c r="AU7" s="391">
        <v>2007</v>
      </c>
      <c r="AV7" s="391">
        <v>2008</v>
      </c>
      <c r="AW7" s="391">
        <v>2009</v>
      </c>
      <c r="AX7" s="391">
        <v>2010</v>
      </c>
      <c r="AY7" s="391">
        <v>2011</v>
      </c>
      <c r="AZ7" s="391">
        <v>2012</v>
      </c>
      <c r="BA7" s="391">
        <v>2013</v>
      </c>
      <c r="BB7" s="391">
        <v>2014</v>
      </c>
      <c r="BC7" s="391">
        <v>2015</v>
      </c>
      <c r="BD7" s="391">
        <v>2016</v>
      </c>
      <c r="BE7" s="391">
        <v>2017</v>
      </c>
      <c r="BF7" s="391"/>
    </row>
    <row r="8" spans="1:58" x14ac:dyDescent="0.35">
      <c r="A8" s="2784"/>
      <c r="B8" s="2785"/>
      <c r="C8" s="2795">
        <v>1</v>
      </c>
      <c r="D8" s="2796" t="s">
        <v>1085</v>
      </c>
      <c r="E8" s="2797"/>
      <c r="F8" s="2798">
        <v>495356</v>
      </c>
      <c r="G8" s="2798">
        <v>557383</v>
      </c>
      <c r="H8" s="2798">
        <v>574771</v>
      </c>
      <c r="I8" s="2798">
        <v>569814</v>
      </c>
      <c r="J8" s="2798">
        <v>559309</v>
      </c>
      <c r="K8" s="2798">
        <v>553800</v>
      </c>
      <c r="L8" s="2798">
        <v>578134</v>
      </c>
      <c r="M8" s="2798">
        <v>627277</v>
      </c>
      <c r="N8" s="2798">
        <v>667182</v>
      </c>
      <c r="O8" s="2798">
        <v>705255</v>
      </c>
      <c r="P8" s="2798">
        <v>744478</v>
      </c>
      <c r="Q8" s="2798">
        <v>735073</v>
      </c>
      <c r="R8" s="2798">
        <v>741380</v>
      </c>
      <c r="S8" s="2798" t="s">
        <v>1086</v>
      </c>
      <c r="T8" s="2798">
        <v>799490</v>
      </c>
      <c r="U8" s="2798">
        <v>837776</v>
      </c>
      <c r="V8" s="2798">
        <v>892936</v>
      </c>
      <c r="W8" s="2798">
        <v>938200</v>
      </c>
      <c r="X8" s="2798">
        <v>953373</v>
      </c>
      <c r="Y8" s="2798">
        <v>983698</v>
      </c>
      <c r="Z8" s="2799">
        <v>969154</v>
      </c>
      <c r="AA8" s="2800">
        <v>985212.00000000023</v>
      </c>
      <c r="AB8" s="2800">
        <v>975836.99999999965</v>
      </c>
      <c r="AC8" s="2800">
        <v>1036984</v>
      </c>
      <c r="AD8" s="2800">
        <v>1085568</v>
      </c>
      <c r="AE8" s="2800">
        <v>1074912</v>
      </c>
      <c r="AF8" s="391" t="s">
        <v>1085</v>
      </c>
      <c r="AG8" s="391"/>
      <c r="AH8" s="2801">
        <v>495356</v>
      </c>
      <c r="AI8" s="2801">
        <v>557383</v>
      </c>
      <c r="AJ8" s="2801">
        <v>574771</v>
      </c>
      <c r="AK8" s="2801">
        <v>569814</v>
      </c>
      <c r="AL8" s="2801">
        <v>559309</v>
      </c>
      <c r="AM8" s="2801">
        <v>553800</v>
      </c>
      <c r="AN8" s="2801">
        <v>578134</v>
      </c>
      <c r="AO8" s="2801">
        <v>627277</v>
      </c>
      <c r="AP8" s="2801">
        <v>667182</v>
      </c>
      <c r="AQ8" s="2801">
        <v>705255</v>
      </c>
      <c r="AR8" s="2801">
        <v>744478</v>
      </c>
      <c r="AS8" s="2801">
        <v>735073</v>
      </c>
      <c r="AT8" s="2801">
        <v>741380</v>
      </c>
      <c r="AU8" s="2801">
        <v>760889</v>
      </c>
      <c r="AV8" s="2801">
        <v>799490</v>
      </c>
      <c r="AW8" s="2801">
        <v>837779</v>
      </c>
      <c r="AX8" s="2801">
        <v>892936</v>
      </c>
      <c r="AY8" s="2801">
        <v>937454</v>
      </c>
      <c r="AZ8" s="2801">
        <v>953373</v>
      </c>
      <c r="BA8" s="2801">
        <v>983698</v>
      </c>
      <c r="BB8" s="2801">
        <v>969154</v>
      </c>
      <c r="BC8" s="2801"/>
      <c r="BD8" s="2801"/>
      <c r="BE8" s="2801"/>
      <c r="BF8" s="391"/>
    </row>
    <row r="9" spans="1:58" x14ac:dyDescent="0.35">
      <c r="A9" s="2784"/>
      <c r="B9" s="2785"/>
      <c r="C9" s="2795"/>
      <c r="D9" s="2802" t="s">
        <v>416</v>
      </c>
      <c r="E9" s="2803"/>
      <c r="F9" s="2804">
        <v>224230</v>
      </c>
      <c r="G9" s="2804">
        <v>256349</v>
      </c>
      <c r="H9" s="2804">
        <v>274610</v>
      </c>
      <c r="I9" s="2804">
        <v>282147</v>
      </c>
      <c r="J9" s="2804">
        <v>284693</v>
      </c>
      <c r="K9" s="2804">
        <v>282332</v>
      </c>
      <c r="L9" s="2804">
        <v>303794</v>
      </c>
      <c r="M9" s="2804">
        <v>336541</v>
      </c>
      <c r="N9" s="2804">
        <v>359250</v>
      </c>
      <c r="O9" s="2804">
        <v>378960</v>
      </c>
      <c r="P9" s="2804">
        <v>403454</v>
      </c>
      <c r="Q9" s="2804">
        <v>401042</v>
      </c>
      <c r="R9" s="2805">
        <v>408718</v>
      </c>
      <c r="S9" s="2805" t="s">
        <v>1087</v>
      </c>
      <c r="T9" s="2805">
        <v>450651</v>
      </c>
      <c r="U9" s="2805">
        <v>478175</v>
      </c>
      <c r="V9" s="2805">
        <v>512573</v>
      </c>
      <c r="W9" s="2805">
        <v>542704</v>
      </c>
      <c r="X9" s="2805">
        <v>554840</v>
      </c>
      <c r="Y9" s="2805">
        <v>573698</v>
      </c>
      <c r="Z9" s="2806">
        <v>564784</v>
      </c>
      <c r="AA9" s="2807">
        <v>574677.00000000035</v>
      </c>
      <c r="AB9" s="2807">
        <v>567118.99999999977</v>
      </c>
      <c r="AC9" s="2807">
        <v>606898</v>
      </c>
      <c r="AD9" s="2807">
        <v>641492</v>
      </c>
      <c r="AE9" s="2807">
        <v>640333</v>
      </c>
      <c r="AF9" s="391" t="s">
        <v>1088</v>
      </c>
      <c r="AG9" s="391"/>
      <c r="AH9" s="2801">
        <v>74137</v>
      </c>
      <c r="AI9" s="2801">
        <v>81684</v>
      </c>
      <c r="AJ9" s="2801">
        <v>86215</v>
      </c>
      <c r="AK9" s="2801">
        <v>88221</v>
      </c>
      <c r="AL9" s="2801">
        <v>86625</v>
      </c>
      <c r="AM9" s="2801">
        <v>92499</v>
      </c>
      <c r="AN9" s="2801">
        <v>92819</v>
      </c>
      <c r="AO9" s="2801">
        <v>95940</v>
      </c>
      <c r="AP9" s="2801">
        <v>101047</v>
      </c>
      <c r="AQ9" s="2801">
        <v>108263</v>
      </c>
      <c r="AR9" s="2801">
        <v>117240</v>
      </c>
      <c r="AS9" s="2801">
        <v>120385</v>
      </c>
      <c r="AT9" s="2801">
        <v>124676</v>
      </c>
      <c r="AU9" s="2801">
        <v>126618</v>
      </c>
      <c r="AV9" s="2801">
        <v>133241</v>
      </c>
      <c r="AW9" s="2801">
        <v>144852</v>
      </c>
      <c r="AX9" s="2801">
        <v>153325</v>
      </c>
      <c r="AY9" s="2801">
        <v>160300</v>
      </c>
      <c r="AZ9" s="2801">
        <v>165995</v>
      </c>
      <c r="BA9" s="2801">
        <v>180823</v>
      </c>
      <c r="BB9" s="2801">
        <v>185375</v>
      </c>
      <c r="BC9" s="2801"/>
      <c r="BD9" s="2801"/>
      <c r="BE9" s="2801"/>
      <c r="BF9" s="391"/>
    </row>
    <row r="10" spans="1:58" x14ac:dyDescent="0.35">
      <c r="A10" s="2784"/>
      <c r="B10" s="2785"/>
      <c r="C10" s="2795"/>
      <c r="D10" s="2808" t="s">
        <v>415</v>
      </c>
      <c r="E10" s="2809"/>
      <c r="F10" s="2804">
        <v>271126</v>
      </c>
      <c r="G10" s="2804">
        <v>301034</v>
      </c>
      <c r="H10" s="2804">
        <v>300161</v>
      </c>
      <c r="I10" s="2804">
        <v>287667</v>
      </c>
      <c r="J10" s="2804">
        <v>274616</v>
      </c>
      <c r="K10" s="2804">
        <v>266460</v>
      </c>
      <c r="L10" s="2804">
        <v>274159</v>
      </c>
      <c r="M10" s="2804">
        <v>290539</v>
      </c>
      <c r="N10" s="2804">
        <v>307922</v>
      </c>
      <c r="O10" s="2804">
        <v>326294</v>
      </c>
      <c r="P10" s="2804">
        <v>341019</v>
      </c>
      <c r="Q10" s="2804">
        <v>334030</v>
      </c>
      <c r="R10" s="2804">
        <v>332662</v>
      </c>
      <c r="S10" s="2804" t="s">
        <v>1089</v>
      </c>
      <c r="T10" s="2804">
        <v>348814</v>
      </c>
      <c r="U10" s="2804">
        <v>359580</v>
      </c>
      <c r="V10" s="2804">
        <v>380350</v>
      </c>
      <c r="W10" s="2804">
        <v>394664</v>
      </c>
      <c r="X10" s="2804">
        <v>398368</v>
      </c>
      <c r="Y10" s="2804">
        <v>409988</v>
      </c>
      <c r="Z10" s="2810">
        <v>404365</v>
      </c>
      <c r="AA10" s="2811">
        <v>410522.99999999988</v>
      </c>
      <c r="AB10" s="2811">
        <v>408696.99999999988</v>
      </c>
      <c r="AC10" s="2811">
        <v>430065</v>
      </c>
      <c r="AD10" s="2811">
        <v>444040</v>
      </c>
      <c r="AE10" s="2811">
        <v>434514</v>
      </c>
      <c r="AF10" s="391" t="s">
        <v>1090</v>
      </c>
      <c r="AG10" s="391"/>
      <c r="AH10" s="2801">
        <v>20598</v>
      </c>
      <c r="AI10" s="2801">
        <v>20456</v>
      </c>
      <c r="AJ10" s="2801">
        <v>21682</v>
      </c>
      <c r="AK10" s="2801">
        <v>22904</v>
      </c>
      <c r="AL10" s="2801">
        <v>22506</v>
      </c>
      <c r="AM10" s="2801">
        <v>23269</v>
      </c>
      <c r="AN10" s="2801">
        <v>23679</v>
      </c>
      <c r="AO10" s="2801">
        <v>24907</v>
      </c>
      <c r="AP10" s="2801">
        <v>27240</v>
      </c>
      <c r="AQ10" s="2801">
        <v>29495</v>
      </c>
      <c r="AR10" s="2801">
        <v>31436</v>
      </c>
      <c r="AS10" s="2801">
        <v>33506</v>
      </c>
      <c r="AT10" s="2801">
        <v>35562</v>
      </c>
      <c r="AU10" s="2801">
        <v>36429</v>
      </c>
      <c r="AV10" s="2801">
        <v>38819</v>
      </c>
      <c r="AW10" s="2801">
        <v>40973</v>
      </c>
      <c r="AX10" s="2801">
        <v>42759.582999999999</v>
      </c>
      <c r="AY10" s="2801">
        <v>45841</v>
      </c>
      <c r="AZ10" s="2801">
        <v>48848.75</v>
      </c>
      <c r="BA10" s="2801">
        <v>53176</v>
      </c>
      <c r="BB10" s="2801">
        <v>55574</v>
      </c>
      <c r="BC10" s="2801"/>
      <c r="BD10" s="2801"/>
      <c r="BE10" s="2801"/>
      <c r="BF10" s="391"/>
    </row>
    <row r="11" spans="1:58" x14ac:dyDescent="0.35">
      <c r="A11" s="2784"/>
      <c r="B11" s="2785"/>
      <c r="C11" s="2795"/>
      <c r="D11" s="2812" t="s">
        <v>1091</v>
      </c>
      <c r="E11" s="2813"/>
      <c r="F11" s="2814" t="s">
        <v>756</v>
      </c>
      <c r="G11" s="2814" t="s">
        <v>756</v>
      </c>
      <c r="H11" s="2814" t="s">
        <v>756</v>
      </c>
      <c r="I11" s="2814" t="s">
        <v>756</v>
      </c>
      <c r="J11" s="2814" t="s">
        <v>756</v>
      </c>
      <c r="K11" s="2814">
        <v>5008</v>
      </c>
      <c r="L11" s="2814">
        <v>181</v>
      </c>
      <c r="M11" s="2814">
        <v>197</v>
      </c>
      <c r="N11" s="2814">
        <v>10</v>
      </c>
      <c r="O11" s="2814">
        <v>1</v>
      </c>
      <c r="P11" s="2814">
        <v>5</v>
      </c>
      <c r="Q11" s="2814">
        <v>1</v>
      </c>
      <c r="R11" s="2814"/>
      <c r="S11" s="2814" t="s">
        <v>1092</v>
      </c>
      <c r="T11" s="2814">
        <v>25</v>
      </c>
      <c r="U11" s="2814">
        <v>24</v>
      </c>
      <c r="V11" s="2814">
        <v>13</v>
      </c>
      <c r="W11" s="2814">
        <v>87</v>
      </c>
      <c r="X11" s="2814">
        <v>165</v>
      </c>
      <c r="Y11" s="2814">
        <v>12</v>
      </c>
      <c r="Z11" s="2815">
        <v>5</v>
      </c>
      <c r="AA11" s="2816">
        <v>12</v>
      </c>
      <c r="AB11" s="2816">
        <v>21</v>
      </c>
      <c r="AC11" s="2816">
        <v>21</v>
      </c>
      <c r="AD11" s="2816">
        <v>36</v>
      </c>
      <c r="AE11" s="2816">
        <v>65</v>
      </c>
      <c r="AF11" s="391" t="s">
        <v>1093</v>
      </c>
      <c r="AG11" s="391"/>
      <c r="AH11" s="391">
        <v>27.8</v>
      </c>
      <c r="AI11" s="391">
        <v>25</v>
      </c>
      <c r="AJ11" s="391">
        <v>25.2</v>
      </c>
      <c r="AK11" s="391">
        <v>26</v>
      </c>
      <c r="AL11" s="391">
        <v>26</v>
      </c>
      <c r="AM11" s="391">
        <v>25.2</v>
      </c>
      <c r="AN11" s="391">
        <v>25.5</v>
      </c>
      <c r="AO11" s="391">
        <v>26</v>
      </c>
      <c r="AP11" s="391">
        <v>27</v>
      </c>
      <c r="AQ11" s="391">
        <v>27.2</v>
      </c>
      <c r="AR11" s="391">
        <v>26.8</v>
      </c>
      <c r="AS11" s="391">
        <v>27.8</v>
      </c>
      <c r="AT11" s="391">
        <v>28.5</v>
      </c>
      <c r="AU11" s="391">
        <v>28.8</v>
      </c>
      <c r="AV11" s="391">
        <v>29.1</v>
      </c>
      <c r="AW11" s="391">
        <v>28.3</v>
      </c>
      <c r="AX11" s="391">
        <v>27.9</v>
      </c>
      <c r="AY11" s="391">
        <v>28.597005614472863</v>
      </c>
      <c r="AZ11" s="391">
        <v>29.427844212175064</v>
      </c>
      <c r="BA11" s="391">
        <v>29.407763392931209</v>
      </c>
      <c r="BB11" s="391">
        <v>29.979231287929871</v>
      </c>
      <c r="BC11" s="391"/>
      <c r="BD11" s="391"/>
      <c r="BE11" s="391"/>
      <c r="BF11" s="391"/>
    </row>
    <row r="12" spans="1:58" x14ac:dyDescent="0.35">
      <c r="A12" s="2784"/>
      <c r="B12" s="2785"/>
      <c r="C12" s="2795">
        <v>2</v>
      </c>
      <c r="D12" s="2108" t="s">
        <v>1088</v>
      </c>
      <c r="E12" s="4587"/>
      <c r="F12" s="2817">
        <v>74137</v>
      </c>
      <c r="G12" s="2817">
        <v>81684</v>
      </c>
      <c r="H12" s="2817">
        <v>86215</v>
      </c>
      <c r="I12" s="2817">
        <v>88221</v>
      </c>
      <c r="J12" s="2817">
        <v>86625</v>
      </c>
      <c r="K12" s="2817">
        <v>92499</v>
      </c>
      <c r="L12" s="2817">
        <v>92819</v>
      </c>
      <c r="M12" s="2817">
        <v>95940</v>
      </c>
      <c r="N12" s="2817">
        <v>101047</v>
      </c>
      <c r="O12" s="2817">
        <v>108263</v>
      </c>
      <c r="P12" s="2817">
        <v>117240</v>
      </c>
      <c r="Q12" s="2817">
        <v>120385</v>
      </c>
      <c r="R12" s="2817">
        <v>124615</v>
      </c>
      <c r="S12" s="2817">
        <v>126617</v>
      </c>
      <c r="T12" s="2817">
        <v>133757</v>
      </c>
      <c r="U12" s="2817">
        <v>145426</v>
      </c>
      <c r="V12" s="2817">
        <v>153325</v>
      </c>
      <c r="W12" s="2817">
        <v>160300</v>
      </c>
      <c r="X12" s="2817">
        <v>165995</v>
      </c>
      <c r="Y12" s="2817">
        <v>180822</v>
      </c>
      <c r="Z12" s="2818">
        <v>185375</v>
      </c>
      <c r="AA12" s="2819">
        <v>191523.99999999994</v>
      </c>
      <c r="AB12" s="2819">
        <v>203076</v>
      </c>
      <c r="AC12" s="2819">
        <v>210931</v>
      </c>
      <c r="AD12" s="2819">
        <v>227188</v>
      </c>
      <c r="AE12" s="2819">
        <v>221942</v>
      </c>
      <c r="AF12" s="391"/>
      <c r="AG12" s="391"/>
      <c r="AH12" s="391"/>
      <c r="AI12" s="391"/>
      <c r="AJ12" s="391"/>
      <c r="AK12" s="391"/>
      <c r="AL12" s="391"/>
      <c r="AM12" s="391"/>
      <c r="AN12" s="391"/>
      <c r="AO12" s="391"/>
      <c r="AP12" s="391"/>
      <c r="AQ12" s="391"/>
      <c r="AR12" s="391"/>
      <c r="AS12" s="391"/>
      <c r="AT12" s="391"/>
      <c r="AU12" s="391"/>
      <c r="AV12" s="391"/>
      <c r="AW12" s="391"/>
      <c r="AX12" s="391"/>
      <c r="AY12" s="391"/>
      <c r="AZ12" s="391"/>
      <c r="BA12" s="391"/>
      <c r="BB12" s="391"/>
      <c r="BC12" s="391"/>
      <c r="BD12" s="391"/>
      <c r="BE12" s="391"/>
      <c r="BF12" s="391"/>
    </row>
    <row r="13" spans="1:58" x14ac:dyDescent="0.35">
      <c r="A13" s="2784"/>
      <c r="B13" s="2785"/>
      <c r="C13" s="2795"/>
      <c r="D13" s="2802" t="s">
        <v>416</v>
      </c>
      <c r="E13" s="2803"/>
      <c r="F13" s="2804">
        <v>36195</v>
      </c>
      <c r="G13" s="2804">
        <v>41194</v>
      </c>
      <c r="H13" s="2804">
        <v>44721</v>
      </c>
      <c r="I13" s="2804">
        <v>46395</v>
      </c>
      <c r="J13" s="2804">
        <v>47390</v>
      </c>
      <c r="K13" s="2804">
        <v>49653</v>
      </c>
      <c r="L13" s="2804">
        <v>52389</v>
      </c>
      <c r="M13" s="2804">
        <v>54978</v>
      </c>
      <c r="N13" s="2804">
        <v>58561</v>
      </c>
      <c r="O13" s="2804">
        <v>62397</v>
      </c>
      <c r="P13" s="2804">
        <v>68157</v>
      </c>
      <c r="Q13" s="2804">
        <v>70845</v>
      </c>
      <c r="R13" s="2804">
        <v>73959</v>
      </c>
      <c r="S13" s="2804" t="s">
        <v>1094</v>
      </c>
      <c r="T13" s="2804">
        <v>79320</v>
      </c>
      <c r="U13" s="2804">
        <v>88073</v>
      </c>
      <c r="V13" s="2804">
        <v>93062</v>
      </c>
      <c r="W13" s="2804">
        <v>96816</v>
      </c>
      <c r="X13" s="2804">
        <v>99945</v>
      </c>
      <c r="Y13" s="2804">
        <v>109979</v>
      </c>
      <c r="Z13" s="2810">
        <v>112629</v>
      </c>
      <c r="AA13" s="2811">
        <v>116404.99999999996</v>
      </c>
      <c r="AB13" s="2811">
        <v>124302</v>
      </c>
      <c r="AC13" s="2811">
        <v>129681</v>
      </c>
      <c r="AD13" s="2811">
        <v>141876</v>
      </c>
      <c r="AE13" s="2811">
        <v>138816</v>
      </c>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row>
    <row r="14" spans="1:58" x14ac:dyDescent="0.35">
      <c r="A14" s="2784"/>
      <c r="B14" s="2785"/>
      <c r="C14" s="2795"/>
      <c r="D14" s="2808" t="s">
        <v>415</v>
      </c>
      <c r="E14" s="2809"/>
      <c r="F14" s="2804">
        <v>37942</v>
      </c>
      <c r="G14" s="2804">
        <v>40490</v>
      </c>
      <c r="H14" s="2804">
        <v>41493</v>
      </c>
      <c r="I14" s="2804">
        <v>41827</v>
      </c>
      <c r="J14" s="2804">
        <v>39235</v>
      </c>
      <c r="K14" s="2804">
        <v>39913</v>
      </c>
      <c r="L14" s="2804">
        <v>40296</v>
      </c>
      <c r="M14" s="2804">
        <v>40955</v>
      </c>
      <c r="N14" s="2804">
        <v>42485</v>
      </c>
      <c r="O14" s="2804">
        <v>45866</v>
      </c>
      <c r="P14" s="2804">
        <v>49083</v>
      </c>
      <c r="Q14" s="2804">
        <v>49540</v>
      </c>
      <c r="R14" s="2804">
        <v>50717</v>
      </c>
      <c r="S14" s="2804" t="s">
        <v>1095</v>
      </c>
      <c r="T14" s="2804">
        <v>53921</v>
      </c>
      <c r="U14" s="2804">
        <v>56778</v>
      </c>
      <c r="V14" s="2804">
        <v>60260</v>
      </c>
      <c r="W14" s="2804">
        <v>63478</v>
      </c>
      <c r="X14" s="2804">
        <v>66042</v>
      </c>
      <c r="Y14" s="2804">
        <v>70844</v>
      </c>
      <c r="Z14" s="2810">
        <v>72746</v>
      </c>
      <c r="AA14" s="2811">
        <v>75116.999999999985</v>
      </c>
      <c r="AB14" s="2811">
        <v>78763.999999999985</v>
      </c>
      <c r="AC14" s="2811">
        <v>81241</v>
      </c>
      <c r="AD14" s="2811">
        <v>85296</v>
      </c>
      <c r="AE14" s="2811">
        <v>83103</v>
      </c>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row>
    <row r="15" spans="1:58" x14ac:dyDescent="0.35">
      <c r="A15" s="2784"/>
      <c r="B15" s="2785"/>
      <c r="C15" s="2795"/>
      <c r="D15" s="2812" t="s">
        <v>1091</v>
      </c>
      <c r="E15" s="2813"/>
      <c r="F15" s="2814"/>
      <c r="G15" s="2814"/>
      <c r="H15" s="2814"/>
      <c r="I15" s="2814"/>
      <c r="J15" s="2814"/>
      <c r="K15" s="2814">
        <v>2933</v>
      </c>
      <c r="L15" s="2814">
        <v>134</v>
      </c>
      <c r="M15" s="2814">
        <v>7</v>
      </c>
      <c r="N15" s="2814">
        <v>1</v>
      </c>
      <c r="O15" s="2814"/>
      <c r="P15" s="2814"/>
      <c r="Q15" s="2814"/>
      <c r="R15" s="2814"/>
      <c r="S15" s="2814"/>
      <c r="T15" s="2814"/>
      <c r="U15" s="2814">
        <v>1</v>
      </c>
      <c r="V15" s="2814"/>
      <c r="W15" s="2814">
        <v>6</v>
      </c>
      <c r="X15" s="2814">
        <v>8</v>
      </c>
      <c r="Y15" s="2814">
        <v>0</v>
      </c>
      <c r="Z15" s="2820">
        <v>0</v>
      </c>
      <c r="AA15" s="2821">
        <v>2</v>
      </c>
      <c r="AB15" s="2821">
        <v>10</v>
      </c>
      <c r="AC15" s="2821">
        <v>9</v>
      </c>
      <c r="AD15" s="2821">
        <v>16</v>
      </c>
      <c r="AE15" s="2821">
        <v>23</v>
      </c>
      <c r="AF15" s="391"/>
      <c r="AG15" s="391"/>
      <c r="AH15" s="391"/>
      <c r="AI15" s="391"/>
      <c r="AJ15" s="391"/>
      <c r="AK15" s="391"/>
      <c r="AL15" s="391"/>
      <c r="AM15" s="391"/>
      <c r="AN15" s="391"/>
      <c r="AO15" s="391"/>
      <c r="AP15" s="391"/>
      <c r="AQ15" s="391"/>
      <c r="AR15" s="391"/>
      <c r="AS15" s="391"/>
      <c r="AT15" s="391"/>
      <c r="AU15" s="2822" t="s">
        <v>1096</v>
      </c>
      <c r="AV15" s="391"/>
      <c r="AW15" s="391"/>
      <c r="AX15" s="391"/>
      <c r="AY15" s="391"/>
      <c r="AZ15" s="391"/>
      <c r="BA15" s="391"/>
      <c r="BB15" s="391"/>
      <c r="BC15" s="391"/>
      <c r="BD15" s="391"/>
      <c r="BE15" s="391"/>
      <c r="BF15" s="391"/>
    </row>
    <row r="16" spans="1:58" x14ac:dyDescent="0.35">
      <c r="A16" s="2784"/>
      <c r="B16" s="2785"/>
      <c r="C16" s="2795">
        <v>3</v>
      </c>
      <c r="D16" s="2823" t="s">
        <v>1090</v>
      </c>
      <c r="E16" s="2824"/>
      <c r="F16" s="2825">
        <v>20598</v>
      </c>
      <c r="G16" s="2825">
        <v>20456</v>
      </c>
      <c r="H16" s="2825">
        <v>21682</v>
      </c>
      <c r="I16" s="2825">
        <v>22904</v>
      </c>
      <c r="J16" s="2825">
        <v>22506</v>
      </c>
      <c r="K16" s="2825">
        <v>23269</v>
      </c>
      <c r="L16" s="2825">
        <v>24235</v>
      </c>
      <c r="M16" s="2825">
        <v>25087</v>
      </c>
      <c r="N16" s="2825">
        <v>27014</v>
      </c>
      <c r="O16" s="2825">
        <v>29695</v>
      </c>
      <c r="P16" s="2825">
        <v>31483</v>
      </c>
      <c r="Q16" s="2825">
        <v>33506</v>
      </c>
      <c r="R16" s="2825">
        <v>35542</v>
      </c>
      <c r="S16" s="2825">
        <v>36429</v>
      </c>
      <c r="T16" s="2825">
        <v>39306</v>
      </c>
      <c r="U16" s="2825">
        <v>41509</v>
      </c>
      <c r="V16" s="2826">
        <v>42759.582999999999</v>
      </c>
      <c r="W16" s="2826">
        <v>46101</v>
      </c>
      <c r="X16" s="2826">
        <v>48848.75</v>
      </c>
      <c r="Y16" s="2826">
        <v>53176</v>
      </c>
      <c r="Z16" s="2818">
        <v>55574</v>
      </c>
      <c r="AA16" s="2819">
        <v>58090</v>
      </c>
      <c r="AB16" s="2819">
        <v>59125</v>
      </c>
      <c r="AC16" s="2819">
        <v>61581</v>
      </c>
      <c r="AD16" s="2819">
        <v>65211</v>
      </c>
      <c r="AE16" s="2819">
        <v>64636</v>
      </c>
      <c r="AF16" s="4602"/>
      <c r="AG16" s="391"/>
      <c r="AH16" s="391"/>
      <c r="AI16" s="391"/>
      <c r="AJ16" s="391"/>
      <c r="AK16" s="391"/>
      <c r="AL16" s="391"/>
      <c r="AM16" s="391"/>
      <c r="AN16" s="391"/>
      <c r="AO16" s="391"/>
      <c r="AP16" s="391"/>
      <c r="AQ16" s="391"/>
      <c r="AR16" s="391"/>
      <c r="AS16" s="391"/>
      <c r="AT16" s="391"/>
      <c r="AU16" s="2822" t="s">
        <v>1097</v>
      </c>
      <c r="AV16" s="391"/>
      <c r="AW16" s="391"/>
      <c r="AX16" s="391"/>
      <c r="AY16" s="391"/>
      <c r="AZ16" s="391"/>
      <c r="BA16" s="391"/>
      <c r="BB16" s="391"/>
      <c r="BC16" s="391"/>
      <c r="BD16" s="391"/>
      <c r="BE16" s="391"/>
      <c r="BF16" s="391"/>
    </row>
    <row r="17" spans="1:58" x14ac:dyDescent="0.35">
      <c r="A17" s="2784"/>
      <c r="B17" s="2827"/>
      <c r="C17" s="2795">
        <v>4</v>
      </c>
      <c r="D17" s="2828" t="s">
        <v>1098</v>
      </c>
      <c r="E17" s="2829"/>
      <c r="F17" s="2830"/>
      <c r="G17" s="2830"/>
      <c r="H17" s="2830"/>
      <c r="I17" s="2830"/>
      <c r="J17" s="2830"/>
      <c r="K17" s="2830"/>
      <c r="L17" s="2830"/>
      <c r="M17" s="2830"/>
      <c r="N17" s="2830"/>
      <c r="O17" s="2830"/>
      <c r="P17" s="2830"/>
      <c r="Q17" s="2830"/>
      <c r="R17" s="2830"/>
      <c r="S17" s="2830"/>
      <c r="T17" s="2831"/>
      <c r="U17" s="2832">
        <v>8424</v>
      </c>
      <c r="V17" s="2832">
        <v>8792</v>
      </c>
      <c r="W17" s="2832">
        <v>9193</v>
      </c>
      <c r="X17" s="2832">
        <v>9974</v>
      </c>
      <c r="Y17" s="2832">
        <v>11441</v>
      </c>
      <c r="Z17" s="2833">
        <v>12058</v>
      </c>
      <c r="AA17" s="2834">
        <v>12470</v>
      </c>
      <c r="AB17" s="2834">
        <v>12386</v>
      </c>
      <c r="AC17" s="2834">
        <v>12955</v>
      </c>
      <c r="AD17" s="2834">
        <v>13891</v>
      </c>
      <c r="AE17" s="2834">
        <v>13712</v>
      </c>
      <c r="AF17" s="391"/>
      <c r="AG17" s="391"/>
      <c r="AH17" s="391"/>
      <c r="AI17" s="391"/>
      <c r="AJ17" s="391"/>
      <c r="AK17" s="391"/>
      <c r="AL17" s="391"/>
      <c r="AM17" s="391"/>
      <c r="AN17" s="391"/>
      <c r="AO17" s="391"/>
      <c r="AP17" s="391"/>
      <c r="AQ17" s="391"/>
      <c r="AR17" s="391"/>
      <c r="AS17" s="391"/>
      <c r="AT17" s="391"/>
      <c r="AU17" s="2822">
        <v>36429</v>
      </c>
      <c r="AV17" s="391"/>
      <c r="AW17" s="391"/>
      <c r="AX17" s="391"/>
      <c r="AY17" s="391"/>
      <c r="AZ17" s="391"/>
      <c r="BA17" s="391"/>
      <c r="BB17" s="391"/>
      <c r="BC17" s="391"/>
      <c r="BD17" s="391"/>
      <c r="BE17" s="391"/>
      <c r="BF17" s="391"/>
    </row>
    <row r="18" spans="1:58" x14ac:dyDescent="0.35">
      <c r="A18" s="2787"/>
      <c r="B18" s="2787"/>
      <c r="C18" s="2795">
        <v>5</v>
      </c>
      <c r="D18" s="2835"/>
      <c r="E18" s="2835" t="s">
        <v>1099</v>
      </c>
      <c r="F18" s="2836"/>
      <c r="G18" s="2836"/>
      <c r="H18" s="2836"/>
      <c r="I18" s="2836"/>
      <c r="J18" s="2836"/>
      <c r="K18" s="2836"/>
      <c r="L18" s="2836"/>
      <c r="M18" s="2836"/>
      <c r="N18" s="2836"/>
      <c r="O18" s="2836"/>
      <c r="P18" s="2836"/>
      <c r="Q18" s="2836"/>
      <c r="R18" s="2836"/>
      <c r="S18" s="2836"/>
      <c r="T18" s="2837"/>
      <c r="U18" s="2838"/>
      <c r="V18" s="2838">
        <v>9773</v>
      </c>
      <c r="W18" s="2838">
        <v>10877</v>
      </c>
      <c r="X18" s="2838">
        <v>9387</v>
      </c>
      <c r="Y18" s="2838">
        <v>10000</v>
      </c>
      <c r="Z18" s="2839">
        <v>10100</v>
      </c>
      <c r="AA18" s="2840">
        <v>10674</v>
      </c>
      <c r="AB18" s="2840">
        <v>11494</v>
      </c>
      <c r="AC18" s="2840">
        <v>12591</v>
      </c>
      <c r="AD18" s="2840">
        <v>13044</v>
      </c>
      <c r="AE18" s="2840"/>
    </row>
    <row r="19" spans="1:58" ht="12.75" customHeight="1" x14ac:dyDescent="0.35">
      <c r="A19" s="2784"/>
      <c r="B19" s="2785"/>
      <c r="C19" s="2795">
        <v>6</v>
      </c>
      <c r="D19" s="2841" t="s">
        <v>1093</v>
      </c>
      <c r="E19" s="2842"/>
      <c r="F19" s="2843">
        <v>27.8</v>
      </c>
      <c r="G19" s="2843">
        <v>25</v>
      </c>
      <c r="H19" s="2843">
        <v>25.2</v>
      </c>
      <c r="I19" s="2843">
        <v>26</v>
      </c>
      <c r="J19" s="2843">
        <v>26</v>
      </c>
      <c r="K19" s="2843">
        <v>25.2</v>
      </c>
      <c r="L19" s="2843">
        <v>25.5</v>
      </c>
      <c r="M19" s="2843">
        <v>26</v>
      </c>
      <c r="N19" s="2843">
        <v>27</v>
      </c>
      <c r="O19" s="2843">
        <v>27.2</v>
      </c>
      <c r="P19" s="2843">
        <v>26.8</v>
      </c>
      <c r="Q19" s="2843">
        <v>27.8</v>
      </c>
      <c r="R19" s="2843">
        <v>28.5</v>
      </c>
      <c r="S19" s="2843">
        <v>28.8</v>
      </c>
      <c r="T19" s="2843">
        <v>29.1</v>
      </c>
      <c r="U19" s="2843">
        <v>28.3</v>
      </c>
      <c r="V19" s="2843">
        <v>27.9</v>
      </c>
      <c r="W19" s="2843">
        <v>28.597005614472863</v>
      </c>
      <c r="X19" s="2843">
        <f t="shared" ref="X19:AE19" si="0">X16/X12*100</f>
        <v>29.427844212175064</v>
      </c>
      <c r="Y19" s="2843">
        <f t="shared" si="0"/>
        <v>29.407926026700292</v>
      </c>
      <c r="Z19" s="2844">
        <f t="shared" si="0"/>
        <v>29.979231287929871</v>
      </c>
      <c r="AA19" s="2845">
        <f t="shared" si="0"/>
        <v>30.330402456089061</v>
      </c>
      <c r="AB19" s="2845">
        <f t="shared" si="0"/>
        <v>29.11471567295003</v>
      </c>
      <c r="AC19" s="2845">
        <f t="shared" si="0"/>
        <v>29.194855189611769</v>
      </c>
      <c r="AD19" s="2845">
        <f t="shared" si="0"/>
        <v>28.703540679965489</v>
      </c>
      <c r="AE19" s="2845">
        <f t="shared" si="0"/>
        <v>29.122924007173047</v>
      </c>
    </row>
    <row r="20" spans="1:58" x14ac:dyDescent="0.35">
      <c r="A20" s="2784"/>
      <c r="B20" s="2784"/>
      <c r="C20" s="2784"/>
      <c r="D20" s="2846"/>
      <c r="E20" s="2846"/>
      <c r="F20" s="2847"/>
      <c r="G20" s="2847"/>
      <c r="H20" s="2847"/>
      <c r="I20" s="2847"/>
      <c r="J20" s="2847"/>
      <c r="K20" s="2847"/>
      <c r="L20" s="2847"/>
      <c r="M20" s="2847"/>
      <c r="N20" s="2847"/>
      <c r="O20" s="2847"/>
      <c r="P20" s="2847"/>
      <c r="Q20" s="2847"/>
      <c r="R20" s="2847"/>
      <c r="S20" s="2847"/>
      <c r="T20" s="641"/>
      <c r="U20" s="2848"/>
      <c r="V20" s="2848"/>
      <c r="W20" s="2848"/>
    </row>
    <row r="21" spans="1:58" x14ac:dyDescent="0.35">
      <c r="A21" s="2784"/>
      <c r="B21" s="2784"/>
      <c r="C21" s="2784"/>
      <c r="D21" s="2846"/>
      <c r="E21" s="2846"/>
      <c r="F21" s="2847"/>
      <c r="G21" s="2847"/>
      <c r="H21" s="2847"/>
      <c r="I21" s="2847"/>
      <c r="J21" s="2847"/>
      <c r="K21" s="2847"/>
      <c r="L21" s="2847"/>
      <c r="M21" s="2847"/>
      <c r="N21" s="2847"/>
      <c r="O21" s="2847"/>
      <c r="P21" s="2847"/>
      <c r="Q21" s="2847"/>
      <c r="R21" s="2847"/>
      <c r="S21" s="2847"/>
      <c r="T21" s="641"/>
      <c r="U21" s="2848"/>
      <c r="V21" s="2848"/>
      <c r="W21" s="2848"/>
    </row>
    <row r="22" spans="1:58" x14ac:dyDescent="0.35">
      <c r="A22" s="2784"/>
      <c r="B22" s="2784"/>
      <c r="C22" s="2784"/>
      <c r="D22" s="2846"/>
      <c r="E22" s="2846"/>
      <c r="F22" s="2847"/>
      <c r="G22" s="2847"/>
      <c r="H22" s="2847"/>
      <c r="I22" s="2847"/>
      <c r="J22" s="2847"/>
      <c r="K22" s="2847"/>
      <c r="L22" s="2847"/>
      <c r="M22" s="2847"/>
      <c r="N22" s="2847"/>
      <c r="O22" s="2847"/>
      <c r="P22" s="2847"/>
      <c r="Q22" s="2847"/>
      <c r="R22" s="2847"/>
      <c r="S22" s="2847"/>
      <c r="T22" s="641"/>
      <c r="U22" s="2848"/>
      <c r="V22" s="2848"/>
      <c r="W22" s="2848"/>
    </row>
    <row r="23" spans="1:58" x14ac:dyDescent="0.35">
      <c r="A23" s="2784"/>
      <c r="B23" s="2784"/>
      <c r="C23" s="2784"/>
      <c r="D23" s="1629" t="s">
        <v>1100</v>
      </c>
      <c r="E23" s="2849"/>
      <c r="F23" s="2850"/>
      <c r="G23" s="2850"/>
      <c r="H23" s="2850"/>
      <c r="I23" s="2850"/>
      <c r="J23" s="2850"/>
      <c r="K23" s="2850"/>
      <c r="L23" s="2850"/>
      <c r="M23" s="2850"/>
      <c r="N23" s="2850"/>
      <c r="O23" s="2850"/>
      <c r="P23" s="2850"/>
      <c r="Q23" s="2850"/>
      <c r="R23" s="2850"/>
      <c r="S23" s="2850"/>
      <c r="T23" s="2851"/>
      <c r="U23" s="2852"/>
      <c r="V23" s="2852"/>
      <c r="W23" s="2848"/>
    </row>
    <row r="24" spans="1:58" x14ac:dyDescent="0.35">
      <c r="A24" s="2784"/>
      <c r="B24" s="2784"/>
      <c r="C24" s="2784"/>
      <c r="D24" s="2853"/>
      <c r="E24" s="2854"/>
      <c r="F24" s="2793">
        <v>1994</v>
      </c>
      <c r="G24" s="2793">
        <v>1995</v>
      </c>
      <c r="H24" s="2793">
        <v>1996</v>
      </c>
      <c r="I24" s="2793">
        <v>1997</v>
      </c>
      <c r="J24" s="2793">
        <v>1998</v>
      </c>
      <c r="K24" s="2793">
        <v>1999</v>
      </c>
      <c r="L24" s="2793">
        <v>2000</v>
      </c>
      <c r="M24" s="2793">
        <v>2001</v>
      </c>
      <c r="N24" s="2793">
        <v>2002</v>
      </c>
      <c r="O24" s="2793">
        <v>2003</v>
      </c>
      <c r="P24" s="2793">
        <v>2004</v>
      </c>
      <c r="Q24" s="2793">
        <v>2005</v>
      </c>
      <c r="R24" s="2793">
        <v>2006</v>
      </c>
      <c r="S24" s="2793">
        <v>2007</v>
      </c>
      <c r="T24" s="2793">
        <v>2008</v>
      </c>
      <c r="U24" s="2793">
        <v>2009</v>
      </c>
      <c r="V24" s="2793">
        <v>2010</v>
      </c>
      <c r="W24" s="2793">
        <v>2011</v>
      </c>
      <c r="X24" s="2793">
        <v>2012</v>
      </c>
      <c r="Y24" s="2793">
        <v>2013</v>
      </c>
      <c r="Z24" s="2794">
        <v>2014</v>
      </c>
      <c r="AA24" s="2733">
        <v>2015</v>
      </c>
      <c r="AB24" s="2733">
        <v>2016</v>
      </c>
      <c r="AC24" s="2733">
        <v>2017</v>
      </c>
      <c r="AD24" s="2733">
        <v>2018</v>
      </c>
      <c r="AE24" s="2733">
        <v>2019</v>
      </c>
    </row>
    <row r="25" spans="1:58" x14ac:dyDescent="0.35">
      <c r="A25" s="2784"/>
      <c r="B25" s="2784"/>
      <c r="C25" s="2784"/>
      <c r="D25" s="2855" t="s">
        <v>1101</v>
      </c>
      <c r="E25" s="2855"/>
      <c r="F25" s="2855"/>
      <c r="G25" s="2855"/>
      <c r="H25" s="2855"/>
      <c r="I25" s="2855"/>
      <c r="J25" s="2855"/>
      <c r="K25" s="2855"/>
      <c r="L25" s="2856">
        <v>973</v>
      </c>
      <c r="M25" s="2856">
        <v>900</v>
      </c>
      <c r="N25" s="2856">
        <v>985</v>
      </c>
      <c r="O25" s="2856">
        <v>1052</v>
      </c>
      <c r="P25" s="2856">
        <v>1105</v>
      </c>
      <c r="Q25" s="2856">
        <v>1189</v>
      </c>
      <c r="R25" s="2856">
        <v>1100</v>
      </c>
      <c r="S25" s="2856">
        <v>1274</v>
      </c>
      <c r="T25" s="2856">
        <v>1182</v>
      </c>
      <c r="U25" s="2857">
        <v>1380</v>
      </c>
      <c r="V25" s="2858">
        <v>1421</v>
      </c>
      <c r="W25" s="2859">
        <v>1576</v>
      </c>
      <c r="X25" s="2858">
        <v>1879</v>
      </c>
      <c r="Y25" s="2859">
        <v>2051</v>
      </c>
      <c r="Z25" s="2858">
        <v>2258</v>
      </c>
      <c r="AA25" s="2859">
        <v>2530</v>
      </c>
      <c r="AB25" s="2858">
        <v>2797</v>
      </c>
      <c r="AC25" s="2859">
        <v>3057</v>
      </c>
      <c r="AD25" s="2859">
        <v>3344</v>
      </c>
      <c r="AE25" s="2859">
        <v>3445</v>
      </c>
    </row>
    <row r="26" spans="1:58" x14ac:dyDescent="0.35">
      <c r="A26" s="2784"/>
      <c r="B26" s="2784"/>
      <c r="C26" s="2784"/>
      <c r="D26" s="2846"/>
      <c r="E26" s="2846"/>
      <c r="F26" s="2847"/>
      <c r="G26" s="2847"/>
      <c r="H26" s="2847"/>
      <c r="I26" s="2847"/>
      <c r="J26" s="2847"/>
      <c r="K26" s="2847"/>
      <c r="L26" s="2847"/>
      <c r="M26" s="2847"/>
      <c r="N26" s="2847"/>
      <c r="O26" s="2847"/>
      <c r="P26" s="2847"/>
      <c r="Q26" s="2847"/>
      <c r="R26" s="2847"/>
      <c r="S26" s="2847"/>
      <c r="T26" s="641"/>
      <c r="U26" s="2848"/>
      <c r="V26" s="2848"/>
      <c r="W26" s="2848"/>
    </row>
    <row r="27" spans="1:58" x14ac:dyDescent="0.35">
      <c r="A27" s="2784"/>
      <c r="B27" s="2784"/>
      <c r="C27" s="2784"/>
      <c r="D27" s="2846"/>
      <c r="E27" s="2846"/>
      <c r="F27" s="2847"/>
      <c r="G27" s="2847"/>
      <c r="H27" s="2847"/>
      <c r="I27" s="2847"/>
      <c r="J27" s="2847"/>
      <c r="K27" s="2847"/>
      <c r="L27" s="2847"/>
      <c r="M27" s="2847"/>
      <c r="N27" s="2847"/>
      <c r="O27" s="2847"/>
      <c r="P27" s="2847"/>
      <c r="Q27" s="2847"/>
      <c r="R27" s="2847"/>
      <c r="S27" s="2847"/>
      <c r="T27" s="641"/>
      <c r="U27" s="2848"/>
      <c r="V27" s="2848"/>
      <c r="W27" s="2848"/>
    </row>
    <row r="28" spans="1:58" x14ac:dyDescent="0.35">
      <c r="A28" s="2784">
        <v>5</v>
      </c>
      <c r="B28" s="2784" t="s">
        <v>56</v>
      </c>
      <c r="C28" s="2785"/>
      <c r="D28" s="2786"/>
      <c r="E28" s="2786"/>
      <c r="F28" s="675"/>
      <c r="G28" s="675"/>
      <c r="H28" s="675"/>
      <c r="I28" s="675"/>
      <c r="J28" s="675"/>
      <c r="K28" s="675"/>
      <c r="L28" s="675"/>
      <c r="M28" s="675"/>
      <c r="N28" s="675"/>
      <c r="O28" s="675"/>
      <c r="P28" s="675"/>
      <c r="Q28" s="675"/>
      <c r="R28" s="675"/>
      <c r="S28" s="675"/>
      <c r="T28" s="675"/>
      <c r="U28" s="675"/>
      <c r="V28" s="641"/>
      <c r="W28" s="641"/>
      <c r="AA28" s="2860"/>
    </row>
    <row r="29" spans="1:58" x14ac:dyDescent="0.35">
      <c r="A29" s="2784"/>
      <c r="B29" s="2785"/>
      <c r="C29" s="2785"/>
      <c r="D29" s="2786"/>
      <c r="E29" s="2786"/>
      <c r="F29" s="675"/>
      <c r="G29" s="675"/>
      <c r="H29" s="675"/>
      <c r="I29" s="675"/>
      <c r="J29" s="675"/>
      <c r="K29" s="675"/>
      <c r="L29" s="675"/>
      <c r="M29" s="675"/>
      <c r="N29" s="675"/>
      <c r="O29" s="675"/>
      <c r="P29" s="675"/>
      <c r="Q29" s="675"/>
      <c r="R29" s="675"/>
      <c r="S29" s="675"/>
      <c r="T29" s="675"/>
      <c r="U29" s="675"/>
      <c r="V29" s="641"/>
      <c r="W29" s="641"/>
    </row>
    <row r="30" spans="1:58" x14ac:dyDescent="0.35">
      <c r="A30" s="2784"/>
      <c r="B30" s="2785"/>
      <c r="C30" s="2785"/>
      <c r="D30" s="2786"/>
      <c r="E30" s="2786"/>
      <c r="F30" s="675"/>
      <c r="G30" s="675"/>
      <c r="H30" s="675"/>
      <c r="I30" s="675"/>
      <c r="J30" s="675"/>
      <c r="K30" s="675"/>
      <c r="L30" s="675"/>
      <c r="M30" s="675"/>
      <c r="N30" s="675"/>
      <c r="O30" s="675"/>
      <c r="P30" s="675"/>
      <c r="Q30" s="675"/>
      <c r="R30" s="675"/>
      <c r="S30" s="675"/>
      <c r="T30" s="2786"/>
      <c r="U30" s="2786"/>
      <c r="V30" s="2104"/>
      <c r="W30" s="2104"/>
    </row>
    <row r="31" spans="1:58" x14ac:dyDescent="0.35">
      <c r="A31" s="2784"/>
      <c r="B31" s="2785"/>
      <c r="C31" s="2785"/>
      <c r="D31" s="2786"/>
      <c r="E31" s="2786"/>
      <c r="F31" s="675"/>
      <c r="G31" s="675"/>
      <c r="H31" s="675"/>
      <c r="I31" s="675"/>
      <c r="J31" s="675"/>
      <c r="K31" s="675"/>
      <c r="L31" s="675"/>
      <c r="M31" s="675"/>
      <c r="N31" s="2786"/>
      <c r="O31" s="2861"/>
      <c r="P31" s="2862"/>
      <c r="Q31" s="2862"/>
      <c r="R31" s="2862"/>
      <c r="S31" s="2862"/>
      <c r="T31" s="2786"/>
      <c r="U31" s="2786"/>
      <c r="V31" s="2104"/>
      <c r="W31" s="2104"/>
    </row>
    <row r="32" spans="1:58" x14ac:dyDescent="0.35">
      <c r="A32" s="2784"/>
      <c r="B32" s="2785"/>
      <c r="C32" s="2785"/>
      <c r="D32" s="2786"/>
      <c r="E32" s="2786"/>
      <c r="F32" s="675"/>
      <c r="G32" s="675"/>
      <c r="H32" s="675"/>
      <c r="I32" s="675"/>
      <c r="J32" s="675"/>
      <c r="K32" s="675"/>
      <c r="L32" s="675"/>
      <c r="M32" s="675"/>
      <c r="N32" s="2786"/>
      <c r="O32" s="2862"/>
      <c r="P32" s="2862"/>
      <c r="Q32" s="2862"/>
      <c r="R32" s="2862"/>
      <c r="S32" s="2862"/>
      <c r="T32" s="675"/>
      <c r="U32" s="675"/>
      <c r="V32" s="641"/>
      <c r="W32" s="641"/>
    </row>
    <row r="33" spans="1:39" x14ac:dyDescent="0.35">
      <c r="A33" s="2784"/>
      <c r="B33" s="2785"/>
      <c r="C33" s="2785"/>
      <c r="D33" s="2786"/>
      <c r="E33" s="2786"/>
      <c r="F33" s="675"/>
      <c r="G33" s="675"/>
      <c r="H33" s="675"/>
      <c r="I33" s="675"/>
      <c r="J33" s="675"/>
      <c r="K33" s="675"/>
      <c r="L33" s="675"/>
      <c r="M33" s="675"/>
      <c r="N33" s="2862"/>
      <c r="O33" s="2862"/>
      <c r="P33" s="2862"/>
      <c r="Q33" s="2862"/>
      <c r="R33" s="2862"/>
      <c r="S33" s="2862"/>
      <c r="T33" s="675"/>
      <c r="U33" s="675"/>
      <c r="V33" s="641"/>
      <c r="W33" s="641"/>
    </row>
    <row r="34" spans="1:39" x14ac:dyDescent="0.35">
      <c r="A34" s="2784"/>
      <c r="B34" s="2785"/>
      <c r="C34" s="2785"/>
      <c r="D34" s="2786"/>
      <c r="E34" s="2786"/>
      <c r="F34" s="675"/>
      <c r="G34" s="675"/>
      <c r="H34" s="675"/>
      <c r="I34" s="675"/>
      <c r="J34" s="675"/>
      <c r="K34" s="675"/>
      <c r="L34" s="675"/>
      <c r="M34" s="675"/>
      <c r="N34" s="675"/>
      <c r="O34" s="675"/>
      <c r="P34" s="675"/>
      <c r="Q34" s="675"/>
      <c r="R34" s="675"/>
      <c r="S34" s="675"/>
      <c r="T34" s="675"/>
      <c r="U34" s="675"/>
      <c r="V34" s="641"/>
      <c r="W34" s="641"/>
    </row>
    <row r="35" spans="1:39" x14ac:dyDescent="0.35">
      <c r="A35" s="2784"/>
      <c r="B35" s="2785"/>
      <c r="C35" s="2785"/>
      <c r="D35" s="2786"/>
      <c r="E35" s="2786"/>
      <c r="F35" s="675"/>
      <c r="G35" s="675"/>
      <c r="H35" s="675"/>
      <c r="I35" s="675"/>
      <c r="J35" s="675"/>
      <c r="K35" s="675"/>
      <c r="L35" s="675"/>
      <c r="M35" s="675"/>
      <c r="N35" s="675"/>
      <c r="O35" s="675"/>
      <c r="P35" s="675"/>
      <c r="Q35" s="675"/>
      <c r="R35" s="675"/>
      <c r="S35" s="675"/>
      <c r="T35" s="675"/>
      <c r="U35" s="675"/>
      <c r="V35" s="641"/>
      <c r="W35" s="641"/>
    </row>
    <row r="36" spans="1:39" x14ac:dyDescent="0.35">
      <c r="A36" s="2784"/>
      <c r="B36" s="2785"/>
      <c r="C36" s="2785"/>
      <c r="D36" s="2786"/>
      <c r="E36" s="2786"/>
      <c r="F36" s="675"/>
      <c r="G36" s="675"/>
      <c r="H36" s="675"/>
      <c r="I36" s="675"/>
      <c r="J36" s="675"/>
      <c r="K36" s="675"/>
      <c r="L36" s="675"/>
      <c r="M36" s="675"/>
      <c r="N36" s="675"/>
      <c r="O36" s="675"/>
      <c r="P36" s="675"/>
      <c r="Q36" s="675"/>
      <c r="R36" s="675"/>
      <c r="S36" s="675"/>
      <c r="T36" s="675"/>
      <c r="U36" s="675"/>
      <c r="V36" s="641"/>
      <c r="W36" s="641"/>
    </row>
    <row r="37" spans="1:39" x14ac:dyDescent="0.35">
      <c r="A37" s="2784"/>
      <c r="B37" s="2785"/>
      <c r="C37" s="2785"/>
      <c r="D37" s="2786"/>
      <c r="E37" s="2786"/>
      <c r="F37" s="2786"/>
      <c r="G37" s="2786"/>
      <c r="H37" s="2786"/>
      <c r="I37" s="2786"/>
      <c r="J37" s="2786"/>
      <c r="K37" s="2786"/>
      <c r="L37" s="2786"/>
      <c r="M37" s="2786"/>
      <c r="N37" s="2786"/>
      <c r="O37" s="2786"/>
      <c r="P37" s="2786"/>
      <c r="Q37" s="2786"/>
      <c r="R37" s="2786"/>
      <c r="S37" s="2786"/>
      <c r="T37" s="2786"/>
      <c r="U37" s="2786"/>
      <c r="V37" s="2104"/>
      <c r="W37" s="2104"/>
    </row>
    <row r="38" spans="1:39" x14ac:dyDescent="0.35">
      <c r="A38" s="2784"/>
      <c r="B38" s="2785"/>
      <c r="C38" s="2785"/>
      <c r="D38" s="2786"/>
      <c r="E38" s="2786"/>
      <c r="F38" s="2786"/>
      <c r="G38" s="2786"/>
      <c r="H38" s="2786"/>
      <c r="I38" s="2786"/>
      <c r="J38" s="2786"/>
      <c r="K38" s="2786"/>
      <c r="L38" s="2786"/>
      <c r="M38" s="2786"/>
      <c r="N38" s="2786"/>
      <c r="O38" s="2786"/>
      <c r="P38" s="2786"/>
      <c r="Q38" s="2786"/>
      <c r="R38" s="2786"/>
      <c r="S38" s="2786"/>
      <c r="T38" s="2786"/>
      <c r="U38" s="2786"/>
      <c r="V38" s="2104"/>
      <c r="W38" s="2104"/>
    </row>
    <row r="39" spans="1:39" x14ac:dyDescent="0.35">
      <c r="A39" s="2784"/>
      <c r="B39" s="2785"/>
      <c r="C39" s="2785"/>
      <c r="D39" s="2786"/>
      <c r="E39" s="2786"/>
      <c r="F39" s="2786"/>
      <c r="G39" s="2786"/>
      <c r="H39" s="2786"/>
      <c r="I39" s="2786"/>
      <c r="J39" s="2786"/>
      <c r="K39" s="2786"/>
      <c r="L39" s="2786"/>
      <c r="M39" s="2786"/>
      <c r="N39" s="2786"/>
      <c r="O39" s="2786"/>
      <c r="P39" s="2786"/>
      <c r="Q39" s="2786"/>
      <c r="R39" s="2786"/>
      <c r="S39" s="2786"/>
      <c r="T39" s="2786"/>
      <c r="U39" s="2786"/>
      <c r="V39" s="2104"/>
      <c r="W39" s="2104"/>
    </row>
    <row r="40" spans="1:39" x14ac:dyDescent="0.35">
      <c r="A40" s="2784"/>
      <c r="B40" s="2785"/>
      <c r="C40" s="2785"/>
      <c r="D40" s="2786"/>
      <c r="E40" s="2786"/>
      <c r="F40" s="2786"/>
      <c r="G40" s="2786"/>
      <c r="H40" s="2786"/>
      <c r="I40" s="2786"/>
      <c r="J40" s="2786"/>
      <c r="K40" s="2786"/>
      <c r="L40" s="2786"/>
      <c r="M40" s="2786"/>
      <c r="N40" s="2786"/>
      <c r="O40" s="2786"/>
      <c r="P40" s="2786"/>
      <c r="Q40" s="2786"/>
      <c r="R40" s="2786"/>
      <c r="S40" s="2786"/>
      <c r="T40" s="2786"/>
      <c r="U40" s="2786"/>
      <c r="V40" s="2104"/>
      <c r="W40" s="2104"/>
      <c r="AM40" s="2787" t="s">
        <v>1102</v>
      </c>
    </row>
    <row r="41" spans="1:39" x14ac:dyDescent="0.35">
      <c r="A41" s="2784"/>
      <c r="B41" s="2785"/>
      <c r="C41" s="2785"/>
      <c r="D41" s="2786"/>
      <c r="E41" s="2786"/>
      <c r="F41" s="2786"/>
      <c r="G41" s="2786"/>
      <c r="H41" s="2786"/>
      <c r="I41" s="2786"/>
      <c r="J41" s="2786"/>
      <c r="K41" s="2786"/>
      <c r="L41" s="2786"/>
      <c r="M41" s="2786"/>
      <c r="N41" s="2786"/>
      <c r="O41" s="2786"/>
      <c r="P41" s="2786"/>
      <c r="Q41" s="2786"/>
      <c r="R41" s="2786"/>
      <c r="S41" s="2786"/>
      <c r="T41" s="2786"/>
      <c r="U41" s="2786"/>
      <c r="V41" s="2104"/>
      <c r="W41" s="2104"/>
    </row>
    <row r="42" spans="1:39" x14ac:dyDescent="0.35">
      <c r="A42" s="2784"/>
      <c r="B42" s="2785"/>
      <c r="C42" s="2785"/>
      <c r="D42" s="2786"/>
      <c r="E42" s="2786"/>
      <c r="F42" s="2786"/>
      <c r="G42" s="2786"/>
      <c r="H42" s="2786"/>
      <c r="I42" s="2786"/>
      <c r="J42" s="2786"/>
      <c r="K42" s="2786"/>
      <c r="L42" s="2786"/>
      <c r="M42" s="2786"/>
      <c r="N42" s="2786"/>
      <c r="O42" s="2786"/>
      <c r="P42" s="2786"/>
      <c r="Q42" s="2786"/>
      <c r="R42" s="2786"/>
      <c r="S42" s="2786"/>
      <c r="T42" s="2786"/>
      <c r="U42" s="2786"/>
      <c r="V42" s="2104"/>
      <c r="W42" s="2104"/>
    </row>
    <row r="43" spans="1:39" x14ac:dyDescent="0.35">
      <c r="A43" s="2784"/>
      <c r="B43" s="2785"/>
      <c r="C43" s="2785"/>
      <c r="D43" s="2786"/>
      <c r="E43" s="2786"/>
      <c r="F43" s="2786"/>
      <c r="G43" s="2786"/>
      <c r="H43" s="2786"/>
      <c r="I43" s="2786"/>
      <c r="J43" s="2786"/>
      <c r="K43" s="2786"/>
      <c r="L43" s="2786"/>
      <c r="M43" s="2786"/>
      <c r="N43" s="2786"/>
      <c r="O43" s="2786"/>
      <c r="P43" s="2786"/>
      <c r="Q43" s="2786"/>
      <c r="R43" s="2786"/>
      <c r="S43" s="2786"/>
      <c r="T43" s="2786"/>
      <c r="U43" s="2786"/>
      <c r="V43" s="2104"/>
      <c r="W43" s="2104"/>
    </row>
    <row r="44" spans="1:39" x14ac:dyDescent="0.35">
      <c r="A44" s="2784"/>
      <c r="B44" s="2785"/>
      <c r="C44" s="2785"/>
      <c r="D44" s="2786"/>
      <c r="E44" s="2786"/>
      <c r="F44" s="2786"/>
      <c r="G44" s="2786"/>
      <c r="H44" s="2786"/>
      <c r="I44" s="2786"/>
      <c r="J44" s="2786"/>
      <c r="K44" s="2786"/>
      <c r="L44" s="2786"/>
      <c r="M44" s="2786"/>
      <c r="N44" s="2786"/>
      <c r="O44" s="2786"/>
      <c r="P44" s="2786"/>
      <c r="Q44" s="2786"/>
      <c r="R44" s="2786"/>
      <c r="S44" s="2786"/>
      <c r="T44" s="2786"/>
      <c r="U44" s="2786"/>
      <c r="V44" s="2104"/>
      <c r="W44" s="2104"/>
    </row>
    <row r="45" spans="1:39" x14ac:dyDescent="0.35">
      <c r="A45" s="2784"/>
      <c r="B45" s="2785"/>
      <c r="C45" s="2785"/>
      <c r="D45" s="2786"/>
      <c r="E45" s="2786"/>
      <c r="F45" s="2786"/>
      <c r="G45" s="2786"/>
      <c r="H45" s="2786"/>
      <c r="I45" s="2786"/>
      <c r="J45" s="2786"/>
      <c r="K45" s="2786"/>
      <c r="L45" s="2786"/>
      <c r="M45" s="2786"/>
      <c r="N45" s="2786"/>
      <c r="O45" s="2786"/>
      <c r="P45" s="2786"/>
      <c r="Q45" s="2786"/>
      <c r="R45" s="2786"/>
      <c r="S45" s="2786"/>
      <c r="T45" s="2786"/>
      <c r="U45" s="2786"/>
      <c r="V45" s="2104"/>
      <c r="W45" s="2104"/>
    </row>
    <row r="46" spans="1:39" x14ac:dyDescent="0.35">
      <c r="A46" s="2784">
        <v>6</v>
      </c>
      <c r="B46" s="2784" t="s">
        <v>58</v>
      </c>
      <c r="C46" s="2784"/>
      <c r="D46" s="4880" t="s">
        <v>684</v>
      </c>
      <c r="E46" s="4881"/>
      <c r="F46" s="4881"/>
      <c r="G46" s="4881"/>
      <c r="H46" s="4881"/>
      <c r="I46" s="4881"/>
      <c r="J46" s="4881"/>
      <c r="K46" s="4881"/>
      <c r="L46" s="4881"/>
      <c r="M46" s="4881"/>
      <c r="N46" s="4881"/>
      <c r="O46" s="4881"/>
      <c r="P46" s="4881"/>
      <c r="Q46" s="4881"/>
      <c r="R46" s="4881"/>
      <c r="S46" s="4881"/>
      <c r="T46" s="4881"/>
      <c r="U46" s="4881"/>
      <c r="V46" s="4881"/>
      <c r="W46" s="4881"/>
      <c r="X46" s="4881"/>
      <c r="Y46" s="4881"/>
      <c r="Z46" s="4881"/>
      <c r="AA46" s="4881"/>
      <c r="AB46" s="4881"/>
      <c r="AC46" s="4882"/>
    </row>
    <row r="47" spans="1:39" ht="27.65" customHeight="1" x14ac:dyDescent="0.35">
      <c r="A47" s="2863">
        <v>7</v>
      </c>
      <c r="B47" s="2863" t="s">
        <v>60</v>
      </c>
      <c r="C47" s="2863"/>
      <c r="D47" s="4880" t="s">
        <v>1103</v>
      </c>
      <c r="E47" s="4881"/>
      <c r="F47" s="4881"/>
      <c r="G47" s="4881"/>
      <c r="H47" s="4881"/>
      <c r="I47" s="4881"/>
      <c r="J47" s="4881"/>
      <c r="K47" s="4881"/>
      <c r="L47" s="4881"/>
      <c r="M47" s="4881"/>
      <c r="N47" s="4881"/>
      <c r="O47" s="4881"/>
      <c r="P47" s="4881"/>
      <c r="Q47" s="4881"/>
      <c r="R47" s="4881"/>
      <c r="S47" s="4881"/>
      <c r="T47" s="4881"/>
      <c r="U47" s="4881"/>
      <c r="V47" s="4881"/>
      <c r="W47" s="4881"/>
      <c r="X47" s="4881"/>
      <c r="Y47" s="4881"/>
      <c r="Z47" s="4881"/>
      <c r="AA47" s="4881"/>
      <c r="AB47" s="4881"/>
      <c r="AC47" s="4882"/>
    </row>
    <row r="48" spans="1:39" ht="15" customHeight="1" x14ac:dyDescent="0.35">
      <c r="A48" s="2784">
        <v>8</v>
      </c>
      <c r="B48" s="2784" t="s">
        <v>62</v>
      </c>
      <c r="C48" s="2784"/>
      <c r="D48" s="4880" t="s">
        <v>1104</v>
      </c>
      <c r="E48" s="4881"/>
      <c r="F48" s="4881"/>
      <c r="G48" s="4881"/>
      <c r="H48" s="4881"/>
      <c r="I48" s="4881"/>
      <c r="J48" s="4881"/>
      <c r="K48" s="4881"/>
      <c r="L48" s="4881"/>
      <c r="M48" s="4881"/>
      <c r="N48" s="4881"/>
      <c r="O48" s="4881"/>
      <c r="P48" s="4881"/>
      <c r="Q48" s="4881"/>
      <c r="R48" s="4881"/>
      <c r="S48" s="4881"/>
      <c r="T48" s="4881"/>
      <c r="U48" s="4881"/>
      <c r="V48" s="4881"/>
      <c r="W48" s="4881"/>
      <c r="X48" s="4881"/>
      <c r="Y48" s="4881"/>
      <c r="Z48" s="4881"/>
      <c r="AA48" s="4881"/>
      <c r="AB48" s="4881"/>
      <c r="AC48" s="4882"/>
    </row>
    <row r="49" spans="1:29" ht="15" customHeight="1" x14ac:dyDescent="0.35">
      <c r="A49" s="2784">
        <v>9</v>
      </c>
      <c r="B49" s="2784" t="s">
        <v>134</v>
      </c>
      <c r="C49" s="2864"/>
      <c r="D49" s="4880" t="s">
        <v>1041</v>
      </c>
      <c r="E49" s="4881"/>
      <c r="F49" s="4881"/>
      <c r="G49" s="4881"/>
      <c r="H49" s="4881"/>
      <c r="I49" s="4881"/>
      <c r="J49" s="4881"/>
      <c r="K49" s="4881"/>
      <c r="L49" s="4881"/>
      <c r="M49" s="4881"/>
      <c r="N49" s="4881"/>
      <c r="O49" s="4881"/>
      <c r="P49" s="4881"/>
      <c r="Q49" s="4881"/>
      <c r="R49" s="4881"/>
      <c r="S49" s="4881"/>
      <c r="T49" s="4881"/>
      <c r="U49" s="4881"/>
      <c r="V49" s="4881"/>
      <c r="W49" s="4881"/>
      <c r="X49" s="4881"/>
      <c r="Y49" s="4881"/>
      <c r="Z49" s="4881"/>
      <c r="AA49" s="4881"/>
      <c r="AB49" s="4881"/>
      <c r="AC49" s="4882"/>
    </row>
  </sheetData>
  <mergeCells count="7">
    <mergeCell ref="D49:AC49"/>
    <mergeCell ref="D2:AC2"/>
    <mergeCell ref="D3:AC3"/>
    <mergeCell ref="D4:AC4"/>
    <mergeCell ref="D46:AC46"/>
    <mergeCell ref="D47:AC47"/>
    <mergeCell ref="D48:AC48"/>
  </mergeCells>
  <pageMargins left="0.74803149606299202" right="0.74803149606299202" top="0.98425196850393704" bottom="0.98425196850393704" header="0.511811023622047" footer="0.511811023622047"/>
  <pageSetup paperSize="9" scale="4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07429-BB09-4126-9CAC-ECCD49C02421}">
  <sheetPr>
    <tabColor theme="8" tint="-0.249977111117893"/>
    <pageSetUpPr fitToPage="1"/>
  </sheetPr>
  <dimension ref="A1:AC86"/>
  <sheetViews>
    <sheetView showGridLines="0" view="pageBreakPreview" topLeftCell="A4" zoomScale="110" zoomScaleNormal="100" zoomScaleSheetLayoutView="110" workbookViewId="0">
      <selection activeCell="E8" sqref="E8:H8"/>
    </sheetView>
  </sheetViews>
  <sheetFormatPr defaultRowHeight="12.5" x14ac:dyDescent="0.25"/>
  <cols>
    <col min="1" max="1" width="3" style="1510" bestFit="1" customWidth="1"/>
    <col min="2" max="2" width="14.26953125" style="1510" bestFit="1" customWidth="1"/>
    <col min="3" max="3" width="3" style="1510" bestFit="1" customWidth="1"/>
    <col min="4" max="4" width="12.1796875" style="1510" customWidth="1"/>
    <col min="5" max="25" width="9.7265625" style="1510" customWidth="1"/>
    <col min="26" max="26" width="8.7265625" style="1510"/>
    <col min="27" max="27" width="9.1796875" style="1510" customWidth="1"/>
    <col min="28" max="260" width="8.7265625" style="1510"/>
    <col min="261" max="261" width="3" style="1510" bestFit="1" customWidth="1"/>
    <col min="262" max="262" width="14.26953125" style="1510" bestFit="1" customWidth="1"/>
    <col min="263" max="263" width="3" style="1510" bestFit="1" customWidth="1"/>
    <col min="264" max="264" width="12.1796875" style="1510" customWidth="1"/>
    <col min="265" max="272" width="7.26953125" style="1510" customWidth="1"/>
    <col min="273" max="274" width="12.1796875" style="1510" customWidth="1"/>
    <col min="275" max="275" width="7.26953125" style="1510" customWidth="1"/>
    <col min="276" max="276" width="9.7265625" style="1510" customWidth="1"/>
    <col min="277" max="516" width="8.7265625" style="1510"/>
    <col min="517" max="517" width="3" style="1510" bestFit="1" customWidth="1"/>
    <col min="518" max="518" width="14.26953125" style="1510" bestFit="1" customWidth="1"/>
    <col min="519" max="519" width="3" style="1510" bestFit="1" customWidth="1"/>
    <col min="520" max="520" width="12.1796875" style="1510" customWidth="1"/>
    <col min="521" max="528" width="7.26953125" style="1510" customWidth="1"/>
    <col min="529" max="530" width="12.1796875" style="1510" customWidth="1"/>
    <col min="531" max="531" width="7.26953125" style="1510" customWidth="1"/>
    <col min="532" max="532" width="9.7265625" style="1510" customWidth="1"/>
    <col min="533" max="772" width="8.7265625" style="1510"/>
    <col min="773" max="773" width="3" style="1510" bestFit="1" customWidth="1"/>
    <col min="774" max="774" width="14.26953125" style="1510" bestFit="1" customWidth="1"/>
    <col min="775" max="775" width="3" style="1510" bestFit="1" customWidth="1"/>
    <col min="776" max="776" width="12.1796875" style="1510" customWidth="1"/>
    <col min="777" max="784" width="7.26953125" style="1510" customWidth="1"/>
    <col min="785" max="786" width="12.1796875" style="1510" customWidth="1"/>
    <col min="787" max="787" width="7.26953125" style="1510" customWidth="1"/>
    <col min="788" max="788" width="9.7265625" style="1510" customWidth="1"/>
    <col min="789" max="1028" width="8.7265625" style="1510"/>
    <col min="1029" max="1029" width="3" style="1510" bestFit="1" customWidth="1"/>
    <col min="1030" max="1030" width="14.26953125" style="1510" bestFit="1" customWidth="1"/>
    <col min="1031" max="1031" width="3" style="1510" bestFit="1" customWidth="1"/>
    <col min="1032" max="1032" width="12.1796875" style="1510" customWidth="1"/>
    <col min="1033" max="1040" width="7.26953125" style="1510" customWidth="1"/>
    <col min="1041" max="1042" width="12.1796875" style="1510" customWidth="1"/>
    <col min="1043" max="1043" width="7.26953125" style="1510" customWidth="1"/>
    <col min="1044" max="1044" width="9.7265625" style="1510" customWidth="1"/>
    <col min="1045" max="1284" width="8.7265625" style="1510"/>
    <col min="1285" max="1285" width="3" style="1510" bestFit="1" customWidth="1"/>
    <col min="1286" max="1286" width="14.26953125" style="1510" bestFit="1" customWidth="1"/>
    <col min="1287" max="1287" width="3" style="1510" bestFit="1" customWidth="1"/>
    <col min="1288" max="1288" width="12.1796875" style="1510" customWidth="1"/>
    <col min="1289" max="1296" width="7.26953125" style="1510" customWidth="1"/>
    <col min="1297" max="1298" width="12.1796875" style="1510" customWidth="1"/>
    <col min="1299" max="1299" width="7.26953125" style="1510" customWidth="1"/>
    <col min="1300" max="1300" width="9.7265625" style="1510" customWidth="1"/>
    <col min="1301" max="1540" width="8.7265625" style="1510"/>
    <col min="1541" max="1541" width="3" style="1510" bestFit="1" customWidth="1"/>
    <col min="1542" max="1542" width="14.26953125" style="1510" bestFit="1" customWidth="1"/>
    <col min="1543" max="1543" width="3" style="1510" bestFit="1" customWidth="1"/>
    <col min="1544" max="1544" width="12.1796875" style="1510" customWidth="1"/>
    <col min="1545" max="1552" width="7.26953125" style="1510" customWidth="1"/>
    <col min="1553" max="1554" width="12.1796875" style="1510" customWidth="1"/>
    <col min="1555" max="1555" width="7.26953125" style="1510" customWidth="1"/>
    <col min="1556" max="1556" width="9.7265625" style="1510" customWidth="1"/>
    <col min="1557" max="1796" width="8.7265625" style="1510"/>
    <col min="1797" max="1797" width="3" style="1510" bestFit="1" customWidth="1"/>
    <col min="1798" max="1798" width="14.26953125" style="1510" bestFit="1" customWidth="1"/>
    <col min="1799" max="1799" width="3" style="1510" bestFit="1" customWidth="1"/>
    <col min="1800" max="1800" width="12.1796875" style="1510" customWidth="1"/>
    <col min="1801" max="1808" width="7.26953125" style="1510" customWidth="1"/>
    <col min="1809" max="1810" width="12.1796875" style="1510" customWidth="1"/>
    <col min="1811" max="1811" width="7.26953125" style="1510" customWidth="1"/>
    <col min="1812" max="1812" width="9.7265625" style="1510" customWidth="1"/>
    <col min="1813" max="2052" width="8.7265625" style="1510"/>
    <col min="2053" max="2053" width="3" style="1510" bestFit="1" customWidth="1"/>
    <col min="2054" max="2054" width="14.26953125" style="1510" bestFit="1" customWidth="1"/>
    <col min="2055" max="2055" width="3" style="1510" bestFit="1" customWidth="1"/>
    <col min="2056" max="2056" width="12.1796875" style="1510" customWidth="1"/>
    <col min="2057" max="2064" width="7.26953125" style="1510" customWidth="1"/>
    <col min="2065" max="2066" width="12.1796875" style="1510" customWidth="1"/>
    <col min="2067" max="2067" width="7.26953125" style="1510" customWidth="1"/>
    <col min="2068" max="2068" width="9.7265625" style="1510" customWidth="1"/>
    <col min="2069" max="2308" width="8.7265625" style="1510"/>
    <col min="2309" max="2309" width="3" style="1510" bestFit="1" customWidth="1"/>
    <col min="2310" max="2310" width="14.26953125" style="1510" bestFit="1" customWidth="1"/>
    <col min="2311" max="2311" width="3" style="1510" bestFit="1" customWidth="1"/>
    <col min="2312" max="2312" width="12.1796875" style="1510" customWidth="1"/>
    <col min="2313" max="2320" width="7.26953125" style="1510" customWidth="1"/>
    <col min="2321" max="2322" width="12.1796875" style="1510" customWidth="1"/>
    <col min="2323" max="2323" width="7.26953125" style="1510" customWidth="1"/>
    <col min="2324" max="2324" width="9.7265625" style="1510" customWidth="1"/>
    <col min="2325" max="2564" width="8.7265625" style="1510"/>
    <col min="2565" max="2565" width="3" style="1510" bestFit="1" customWidth="1"/>
    <col min="2566" max="2566" width="14.26953125" style="1510" bestFit="1" customWidth="1"/>
    <col min="2567" max="2567" width="3" style="1510" bestFit="1" customWidth="1"/>
    <col min="2568" max="2568" width="12.1796875" style="1510" customWidth="1"/>
    <col min="2569" max="2576" width="7.26953125" style="1510" customWidth="1"/>
    <col min="2577" max="2578" width="12.1796875" style="1510" customWidth="1"/>
    <col min="2579" max="2579" width="7.26953125" style="1510" customWidth="1"/>
    <col min="2580" max="2580" width="9.7265625" style="1510" customWidth="1"/>
    <col min="2581" max="2820" width="8.7265625" style="1510"/>
    <col min="2821" max="2821" width="3" style="1510" bestFit="1" customWidth="1"/>
    <col min="2822" max="2822" width="14.26953125" style="1510" bestFit="1" customWidth="1"/>
    <col min="2823" max="2823" width="3" style="1510" bestFit="1" customWidth="1"/>
    <col min="2824" max="2824" width="12.1796875" style="1510" customWidth="1"/>
    <col min="2825" max="2832" width="7.26953125" style="1510" customWidth="1"/>
    <col min="2833" max="2834" width="12.1796875" style="1510" customWidth="1"/>
    <col min="2835" max="2835" width="7.26953125" style="1510" customWidth="1"/>
    <col min="2836" max="2836" width="9.7265625" style="1510" customWidth="1"/>
    <col min="2837" max="3076" width="8.7265625" style="1510"/>
    <col min="3077" max="3077" width="3" style="1510" bestFit="1" customWidth="1"/>
    <col min="3078" max="3078" width="14.26953125" style="1510" bestFit="1" customWidth="1"/>
    <col min="3079" max="3079" width="3" style="1510" bestFit="1" customWidth="1"/>
    <col min="3080" max="3080" width="12.1796875" style="1510" customWidth="1"/>
    <col min="3081" max="3088" width="7.26953125" style="1510" customWidth="1"/>
    <col min="3089" max="3090" width="12.1796875" style="1510" customWidth="1"/>
    <col min="3091" max="3091" width="7.26953125" style="1510" customWidth="1"/>
    <col min="3092" max="3092" width="9.7265625" style="1510" customWidth="1"/>
    <col min="3093" max="3332" width="8.7265625" style="1510"/>
    <col min="3333" max="3333" width="3" style="1510" bestFit="1" customWidth="1"/>
    <col min="3334" max="3334" width="14.26953125" style="1510" bestFit="1" customWidth="1"/>
    <col min="3335" max="3335" width="3" style="1510" bestFit="1" customWidth="1"/>
    <col min="3336" max="3336" width="12.1796875" style="1510" customWidth="1"/>
    <col min="3337" max="3344" width="7.26953125" style="1510" customWidth="1"/>
    <col min="3345" max="3346" width="12.1796875" style="1510" customWidth="1"/>
    <col min="3347" max="3347" width="7.26953125" style="1510" customWidth="1"/>
    <col min="3348" max="3348" width="9.7265625" style="1510" customWidth="1"/>
    <col min="3349" max="3588" width="8.7265625" style="1510"/>
    <col min="3589" max="3589" width="3" style="1510" bestFit="1" customWidth="1"/>
    <col min="3590" max="3590" width="14.26953125" style="1510" bestFit="1" customWidth="1"/>
    <col min="3591" max="3591" width="3" style="1510" bestFit="1" customWidth="1"/>
    <col min="3592" max="3592" width="12.1796875" style="1510" customWidth="1"/>
    <col min="3593" max="3600" width="7.26953125" style="1510" customWidth="1"/>
    <col min="3601" max="3602" width="12.1796875" style="1510" customWidth="1"/>
    <col min="3603" max="3603" width="7.26953125" style="1510" customWidth="1"/>
    <col min="3604" max="3604" width="9.7265625" style="1510" customWidth="1"/>
    <col min="3605" max="3844" width="8.7265625" style="1510"/>
    <col min="3845" max="3845" width="3" style="1510" bestFit="1" customWidth="1"/>
    <col min="3846" max="3846" width="14.26953125" style="1510" bestFit="1" customWidth="1"/>
    <col min="3847" max="3847" width="3" style="1510" bestFit="1" customWidth="1"/>
    <col min="3848" max="3848" width="12.1796875" style="1510" customWidth="1"/>
    <col min="3849" max="3856" width="7.26953125" style="1510" customWidth="1"/>
    <col min="3857" max="3858" width="12.1796875" style="1510" customWidth="1"/>
    <col min="3859" max="3859" width="7.26953125" style="1510" customWidth="1"/>
    <col min="3860" max="3860" width="9.7265625" style="1510" customWidth="1"/>
    <col min="3861" max="4100" width="8.7265625" style="1510"/>
    <col min="4101" max="4101" width="3" style="1510" bestFit="1" customWidth="1"/>
    <col min="4102" max="4102" width="14.26953125" style="1510" bestFit="1" customWidth="1"/>
    <col min="4103" max="4103" width="3" style="1510" bestFit="1" customWidth="1"/>
    <col min="4104" max="4104" width="12.1796875" style="1510" customWidth="1"/>
    <col min="4105" max="4112" width="7.26953125" style="1510" customWidth="1"/>
    <col min="4113" max="4114" width="12.1796875" style="1510" customWidth="1"/>
    <col min="4115" max="4115" width="7.26953125" style="1510" customWidth="1"/>
    <col min="4116" max="4116" width="9.7265625" style="1510" customWidth="1"/>
    <col min="4117" max="4356" width="8.7265625" style="1510"/>
    <col min="4357" max="4357" width="3" style="1510" bestFit="1" customWidth="1"/>
    <col min="4358" max="4358" width="14.26953125" style="1510" bestFit="1" customWidth="1"/>
    <col min="4359" max="4359" width="3" style="1510" bestFit="1" customWidth="1"/>
    <col min="4360" max="4360" width="12.1796875" style="1510" customWidth="1"/>
    <col min="4361" max="4368" width="7.26953125" style="1510" customWidth="1"/>
    <col min="4369" max="4370" width="12.1796875" style="1510" customWidth="1"/>
    <col min="4371" max="4371" width="7.26953125" style="1510" customWidth="1"/>
    <col min="4372" max="4372" width="9.7265625" style="1510" customWidth="1"/>
    <col min="4373" max="4612" width="8.7265625" style="1510"/>
    <col min="4613" max="4613" width="3" style="1510" bestFit="1" customWidth="1"/>
    <col min="4614" max="4614" width="14.26953125" style="1510" bestFit="1" customWidth="1"/>
    <col min="4615" max="4615" width="3" style="1510" bestFit="1" customWidth="1"/>
    <col min="4616" max="4616" width="12.1796875" style="1510" customWidth="1"/>
    <col min="4617" max="4624" width="7.26953125" style="1510" customWidth="1"/>
    <col min="4625" max="4626" width="12.1796875" style="1510" customWidth="1"/>
    <col min="4627" max="4627" width="7.26953125" style="1510" customWidth="1"/>
    <col min="4628" max="4628" width="9.7265625" style="1510" customWidth="1"/>
    <col min="4629" max="4868" width="8.7265625" style="1510"/>
    <col min="4869" max="4869" width="3" style="1510" bestFit="1" customWidth="1"/>
    <col min="4870" max="4870" width="14.26953125" style="1510" bestFit="1" customWidth="1"/>
    <col min="4871" max="4871" width="3" style="1510" bestFit="1" customWidth="1"/>
    <col min="4872" max="4872" width="12.1796875" style="1510" customWidth="1"/>
    <col min="4873" max="4880" width="7.26953125" style="1510" customWidth="1"/>
    <col min="4881" max="4882" width="12.1796875" style="1510" customWidth="1"/>
    <col min="4883" max="4883" width="7.26953125" style="1510" customWidth="1"/>
    <col min="4884" max="4884" width="9.7265625" style="1510" customWidth="1"/>
    <col min="4885" max="5124" width="8.7265625" style="1510"/>
    <col min="5125" max="5125" width="3" style="1510" bestFit="1" customWidth="1"/>
    <col min="5126" max="5126" width="14.26953125" style="1510" bestFit="1" customWidth="1"/>
    <col min="5127" max="5127" width="3" style="1510" bestFit="1" customWidth="1"/>
    <col min="5128" max="5128" width="12.1796875" style="1510" customWidth="1"/>
    <col min="5129" max="5136" width="7.26953125" style="1510" customWidth="1"/>
    <col min="5137" max="5138" width="12.1796875" style="1510" customWidth="1"/>
    <col min="5139" max="5139" width="7.26953125" style="1510" customWidth="1"/>
    <col min="5140" max="5140" width="9.7265625" style="1510" customWidth="1"/>
    <col min="5141" max="5380" width="8.7265625" style="1510"/>
    <col min="5381" max="5381" width="3" style="1510" bestFit="1" customWidth="1"/>
    <col min="5382" max="5382" width="14.26953125" style="1510" bestFit="1" customWidth="1"/>
    <col min="5383" max="5383" width="3" style="1510" bestFit="1" customWidth="1"/>
    <col min="5384" max="5384" width="12.1796875" style="1510" customWidth="1"/>
    <col min="5385" max="5392" width="7.26953125" style="1510" customWidth="1"/>
    <col min="5393" max="5394" width="12.1796875" style="1510" customWidth="1"/>
    <col min="5395" max="5395" width="7.26953125" style="1510" customWidth="1"/>
    <col min="5396" max="5396" width="9.7265625" style="1510" customWidth="1"/>
    <col min="5397" max="5636" width="8.7265625" style="1510"/>
    <col min="5637" max="5637" width="3" style="1510" bestFit="1" customWidth="1"/>
    <col min="5638" max="5638" width="14.26953125" style="1510" bestFit="1" customWidth="1"/>
    <col min="5639" max="5639" width="3" style="1510" bestFit="1" customWidth="1"/>
    <col min="5640" max="5640" width="12.1796875" style="1510" customWidth="1"/>
    <col min="5641" max="5648" width="7.26953125" style="1510" customWidth="1"/>
    <col min="5649" max="5650" width="12.1796875" style="1510" customWidth="1"/>
    <col min="5651" max="5651" width="7.26953125" style="1510" customWidth="1"/>
    <col min="5652" max="5652" width="9.7265625" style="1510" customWidth="1"/>
    <col min="5653" max="5892" width="8.7265625" style="1510"/>
    <col min="5893" max="5893" width="3" style="1510" bestFit="1" customWidth="1"/>
    <col min="5894" max="5894" width="14.26953125" style="1510" bestFit="1" customWidth="1"/>
    <col min="5895" max="5895" width="3" style="1510" bestFit="1" customWidth="1"/>
    <col min="5896" max="5896" width="12.1796875" style="1510" customWidth="1"/>
    <col min="5897" max="5904" width="7.26953125" style="1510" customWidth="1"/>
    <col min="5905" max="5906" width="12.1796875" style="1510" customWidth="1"/>
    <col min="5907" max="5907" width="7.26953125" style="1510" customWidth="1"/>
    <col min="5908" max="5908" width="9.7265625" style="1510" customWidth="1"/>
    <col min="5909" max="6148" width="8.7265625" style="1510"/>
    <col min="6149" max="6149" width="3" style="1510" bestFit="1" customWidth="1"/>
    <col min="6150" max="6150" width="14.26953125" style="1510" bestFit="1" customWidth="1"/>
    <col min="6151" max="6151" width="3" style="1510" bestFit="1" customWidth="1"/>
    <col min="6152" max="6152" width="12.1796875" style="1510" customWidth="1"/>
    <col min="6153" max="6160" width="7.26953125" style="1510" customWidth="1"/>
    <col min="6161" max="6162" width="12.1796875" style="1510" customWidth="1"/>
    <col min="6163" max="6163" width="7.26953125" style="1510" customWidth="1"/>
    <col min="6164" max="6164" width="9.7265625" style="1510" customWidth="1"/>
    <col min="6165" max="6404" width="8.7265625" style="1510"/>
    <col min="6405" max="6405" width="3" style="1510" bestFit="1" customWidth="1"/>
    <col min="6406" max="6406" width="14.26953125" style="1510" bestFit="1" customWidth="1"/>
    <col min="6407" max="6407" width="3" style="1510" bestFit="1" customWidth="1"/>
    <col min="6408" max="6408" width="12.1796875" style="1510" customWidth="1"/>
    <col min="6409" max="6416" width="7.26953125" style="1510" customWidth="1"/>
    <col min="6417" max="6418" width="12.1796875" style="1510" customWidth="1"/>
    <col min="6419" max="6419" width="7.26953125" style="1510" customWidth="1"/>
    <col min="6420" max="6420" width="9.7265625" style="1510" customWidth="1"/>
    <col min="6421" max="6660" width="8.7265625" style="1510"/>
    <col min="6661" max="6661" width="3" style="1510" bestFit="1" customWidth="1"/>
    <col min="6662" max="6662" width="14.26953125" style="1510" bestFit="1" customWidth="1"/>
    <col min="6663" max="6663" width="3" style="1510" bestFit="1" customWidth="1"/>
    <col min="6664" max="6664" width="12.1796875" style="1510" customWidth="1"/>
    <col min="6665" max="6672" width="7.26953125" style="1510" customWidth="1"/>
    <col min="6673" max="6674" width="12.1796875" style="1510" customWidth="1"/>
    <col min="6675" max="6675" width="7.26953125" style="1510" customWidth="1"/>
    <col min="6676" max="6676" width="9.7265625" style="1510" customWidth="1"/>
    <col min="6677" max="6916" width="8.7265625" style="1510"/>
    <col min="6917" max="6917" width="3" style="1510" bestFit="1" customWidth="1"/>
    <col min="6918" max="6918" width="14.26953125" style="1510" bestFit="1" customWidth="1"/>
    <col min="6919" max="6919" width="3" style="1510" bestFit="1" customWidth="1"/>
    <col min="6920" max="6920" width="12.1796875" style="1510" customWidth="1"/>
    <col min="6921" max="6928" width="7.26953125" style="1510" customWidth="1"/>
    <col min="6929" max="6930" width="12.1796875" style="1510" customWidth="1"/>
    <col min="6931" max="6931" width="7.26953125" style="1510" customWidth="1"/>
    <col min="6932" max="6932" width="9.7265625" style="1510" customWidth="1"/>
    <col min="6933" max="7172" width="8.7265625" style="1510"/>
    <col min="7173" max="7173" width="3" style="1510" bestFit="1" customWidth="1"/>
    <col min="7174" max="7174" width="14.26953125" style="1510" bestFit="1" customWidth="1"/>
    <col min="7175" max="7175" width="3" style="1510" bestFit="1" customWidth="1"/>
    <col min="7176" max="7176" width="12.1796875" style="1510" customWidth="1"/>
    <col min="7177" max="7184" width="7.26953125" style="1510" customWidth="1"/>
    <col min="7185" max="7186" width="12.1796875" style="1510" customWidth="1"/>
    <col min="7187" max="7187" width="7.26953125" style="1510" customWidth="1"/>
    <col min="7188" max="7188" width="9.7265625" style="1510" customWidth="1"/>
    <col min="7189" max="7428" width="8.7265625" style="1510"/>
    <col min="7429" max="7429" width="3" style="1510" bestFit="1" customWidth="1"/>
    <col min="7430" max="7430" width="14.26953125" style="1510" bestFit="1" customWidth="1"/>
    <col min="7431" max="7431" width="3" style="1510" bestFit="1" customWidth="1"/>
    <col min="7432" max="7432" width="12.1796875" style="1510" customWidth="1"/>
    <col min="7433" max="7440" width="7.26953125" style="1510" customWidth="1"/>
    <col min="7441" max="7442" width="12.1796875" style="1510" customWidth="1"/>
    <col min="7443" max="7443" width="7.26953125" style="1510" customWidth="1"/>
    <col min="7444" max="7444" width="9.7265625" style="1510" customWidth="1"/>
    <col min="7445" max="7684" width="8.7265625" style="1510"/>
    <col min="7685" max="7685" width="3" style="1510" bestFit="1" customWidth="1"/>
    <col min="7686" max="7686" width="14.26953125" style="1510" bestFit="1" customWidth="1"/>
    <col min="7687" max="7687" width="3" style="1510" bestFit="1" customWidth="1"/>
    <col min="7688" max="7688" width="12.1796875" style="1510" customWidth="1"/>
    <col min="7689" max="7696" width="7.26953125" style="1510" customWidth="1"/>
    <col min="7697" max="7698" width="12.1796875" style="1510" customWidth="1"/>
    <col min="7699" max="7699" width="7.26953125" style="1510" customWidth="1"/>
    <col min="7700" max="7700" width="9.7265625" style="1510" customWidth="1"/>
    <col min="7701" max="7940" width="8.7265625" style="1510"/>
    <col min="7941" max="7941" width="3" style="1510" bestFit="1" customWidth="1"/>
    <col min="7942" max="7942" width="14.26953125" style="1510" bestFit="1" customWidth="1"/>
    <col min="7943" max="7943" width="3" style="1510" bestFit="1" customWidth="1"/>
    <col min="7944" max="7944" width="12.1796875" style="1510" customWidth="1"/>
    <col min="7945" max="7952" width="7.26953125" style="1510" customWidth="1"/>
    <col min="7953" max="7954" width="12.1796875" style="1510" customWidth="1"/>
    <col min="7955" max="7955" width="7.26953125" style="1510" customWidth="1"/>
    <col min="7956" max="7956" width="9.7265625" style="1510" customWidth="1"/>
    <col min="7957" max="8196" width="8.7265625" style="1510"/>
    <col min="8197" max="8197" width="3" style="1510" bestFit="1" customWidth="1"/>
    <col min="8198" max="8198" width="14.26953125" style="1510" bestFit="1" customWidth="1"/>
    <col min="8199" max="8199" width="3" style="1510" bestFit="1" customWidth="1"/>
    <col min="8200" max="8200" width="12.1796875" style="1510" customWidth="1"/>
    <col min="8201" max="8208" width="7.26953125" style="1510" customWidth="1"/>
    <col min="8209" max="8210" width="12.1796875" style="1510" customWidth="1"/>
    <col min="8211" max="8211" width="7.26953125" style="1510" customWidth="1"/>
    <col min="8212" max="8212" width="9.7265625" style="1510" customWidth="1"/>
    <col min="8213" max="8452" width="8.7265625" style="1510"/>
    <col min="8453" max="8453" width="3" style="1510" bestFit="1" customWidth="1"/>
    <col min="8454" max="8454" width="14.26953125" style="1510" bestFit="1" customWidth="1"/>
    <col min="8455" max="8455" width="3" style="1510" bestFit="1" customWidth="1"/>
    <col min="8456" max="8456" width="12.1796875" style="1510" customWidth="1"/>
    <col min="8457" max="8464" width="7.26953125" style="1510" customWidth="1"/>
    <col min="8465" max="8466" width="12.1796875" style="1510" customWidth="1"/>
    <col min="8467" max="8467" width="7.26953125" style="1510" customWidth="1"/>
    <col min="8468" max="8468" width="9.7265625" style="1510" customWidth="1"/>
    <col min="8469" max="8708" width="8.7265625" style="1510"/>
    <col min="8709" max="8709" width="3" style="1510" bestFit="1" customWidth="1"/>
    <col min="8710" max="8710" width="14.26953125" style="1510" bestFit="1" customWidth="1"/>
    <col min="8711" max="8711" width="3" style="1510" bestFit="1" customWidth="1"/>
    <col min="8712" max="8712" width="12.1796875" style="1510" customWidth="1"/>
    <col min="8713" max="8720" width="7.26953125" style="1510" customWidth="1"/>
    <col min="8721" max="8722" width="12.1796875" style="1510" customWidth="1"/>
    <col min="8723" max="8723" width="7.26953125" style="1510" customWidth="1"/>
    <col min="8724" max="8724" width="9.7265625" style="1510" customWidth="1"/>
    <col min="8725" max="8964" width="8.7265625" style="1510"/>
    <col min="8965" max="8965" width="3" style="1510" bestFit="1" customWidth="1"/>
    <col min="8966" max="8966" width="14.26953125" style="1510" bestFit="1" customWidth="1"/>
    <col min="8967" max="8967" width="3" style="1510" bestFit="1" customWidth="1"/>
    <col min="8968" max="8968" width="12.1796875" style="1510" customWidth="1"/>
    <col min="8969" max="8976" width="7.26953125" style="1510" customWidth="1"/>
    <col min="8977" max="8978" width="12.1796875" style="1510" customWidth="1"/>
    <col min="8979" max="8979" width="7.26953125" style="1510" customWidth="1"/>
    <col min="8980" max="8980" width="9.7265625" style="1510" customWidth="1"/>
    <col min="8981" max="9220" width="8.7265625" style="1510"/>
    <col min="9221" max="9221" width="3" style="1510" bestFit="1" customWidth="1"/>
    <col min="9222" max="9222" width="14.26953125" style="1510" bestFit="1" customWidth="1"/>
    <col min="9223" max="9223" width="3" style="1510" bestFit="1" customWidth="1"/>
    <col min="9224" max="9224" width="12.1796875" style="1510" customWidth="1"/>
    <col min="9225" max="9232" width="7.26953125" style="1510" customWidth="1"/>
    <col min="9233" max="9234" width="12.1796875" style="1510" customWidth="1"/>
    <col min="9235" max="9235" width="7.26953125" style="1510" customWidth="1"/>
    <col min="9236" max="9236" width="9.7265625" style="1510" customWidth="1"/>
    <col min="9237" max="9476" width="8.7265625" style="1510"/>
    <col min="9477" max="9477" width="3" style="1510" bestFit="1" customWidth="1"/>
    <col min="9478" max="9478" width="14.26953125" style="1510" bestFit="1" customWidth="1"/>
    <col min="9479" max="9479" width="3" style="1510" bestFit="1" customWidth="1"/>
    <col min="9480" max="9480" width="12.1796875" style="1510" customWidth="1"/>
    <col min="9481" max="9488" width="7.26953125" style="1510" customWidth="1"/>
    <col min="9489" max="9490" width="12.1796875" style="1510" customWidth="1"/>
    <col min="9491" max="9491" width="7.26953125" style="1510" customWidth="1"/>
    <col min="9492" max="9492" width="9.7265625" style="1510" customWidth="1"/>
    <col min="9493" max="9732" width="8.7265625" style="1510"/>
    <col min="9733" max="9733" width="3" style="1510" bestFit="1" customWidth="1"/>
    <col min="9734" max="9734" width="14.26953125" style="1510" bestFit="1" customWidth="1"/>
    <col min="9735" max="9735" width="3" style="1510" bestFit="1" customWidth="1"/>
    <col min="9736" max="9736" width="12.1796875" style="1510" customWidth="1"/>
    <col min="9737" max="9744" width="7.26953125" style="1510" customWidth="1"/>
    <col min="9745" max="9746" width="12.1796875" style="1510" customWidth="1"/>
    <col min="9747" max="9747" width="7.26953125" style="1510" customWidth="1"/>
    <col min="9748" max="9748" width="9.7265625" style="1510" customWidth="1"/>
    <col min="9749" max="9988" width="8.7265625" style="1510"/>
    <col min="9989" max="9989" width="3" style="1510" bestFit="1" customWidth="1"/>
    <col min="9990" max="9990" width="14.26953125" style="1510" bestFit="1" customWidth="1"/>
    <col min="9991" max="9991" width="3" style="1510" bestFit="1" customWidth="1"/>
    <col min="9992" max="9992" width="12.1796875" style="1510" customWidth="1"/>
    <col min="9993" max="10000" width="7.26953125" style="1510" customWidth="1"/>
    <col min="10001" max="10002" width="12.1796875" style="1510" customWidth="1"/>
    <col min="10003" max="10003" width="7.26953125" style="1510" customWidth="1"/>
    <col min="10004" max="10004" width="9.7265625" style="1510" customWidth="1"/>
    <col min="10005" max="10244" width="8.7265625" style="1510"/>
    <col min="10245" max="10245" width="3" style="1510" bestFit="1" customWidth="1"/>
    <col min="10246" max="10246" width="14.26953125" style="1510" bestFit="1" customWidth="1"/>
    <col min="10247" max="10247" width="3" style="1510" bestFit="1" customWidth="1"/>
    <col min="10248" max="10248" width="12.1796875" style="1510" customWidth="1"/>
    <col min="10249" max="10256" width="7.26953125" style="1510" customWidth="1"/>
    <col min="10257" max="10258" width="12.1796875" style="1510" customWidth="1"/>
    <col min="10259" max="10259" width="7.26953125" style="1510" customWidth="1"/>
    <col min="10260" max="10260" width="9.7265625" style="1510" customWidth="1"/>
    <col min="10261" max="10500" width="8.7265625" style="1510"/>
    <col min="10501" max="10501" width="3" style="1510" bestFit="1" customWidth="1"/>
    <col min="10502" max="10502" width="14.26953125" style="1510" bestFit="1" customWidth="1"/>
    <col min="10503" max="10503" width="3" style="1510" bestFit="1" customWidth="1"/>
    <col min="10504" max="10504" width="12.1796875" style="1510" customWidth="1"/>
    <col min="10505" max="10512" width="7.26953125" style="1510" customWidth="1"/>
    <col min="10513" max="10514" width="12.1796875" style="1510" customWidth="1"/>
    <col min="10515" max="10515" width="7.26953125" style="1510" customWidth="1"/>
    <col min="10516" max="10516" width="9.7265625" style="1510" customWidth="1"/>
    <col min="10517" max="10756" width="8.7265625" style="1510"/>
    <col min="10757" max="10757" width="3" style="1510" bestFit="1" customWidth="1"/>
    <col min="10758" max="10758" width="14.26953125" style="1510" bestFit="1" customWidth="1"/>
    <col min="10759" max="10759" width="3" style="1510" bestFit="1" customWidth="1"/>
    <col min="10760" max="10760" width="12.1796875" style="1510" customWidth="1"/>
    <col min="10761" max="10768" width="7.26953125" style="1510" customWidth="1"/>
    <col min="10769" max="10770" width="12.1796875" style="1510" customWidth="1"/>
    <col min="10771" max="10771" width="7.26953125" style="1510" customWidth="1"/>
    <col min="10772" max="10772" width="9.7265625" style="1510" customWidth="1"/>
    <col min="10773" max="11012" width="8.7265625" style="1510"/>
    <col min="11013" max="11013" width="3" style="1510" bestFit="1" customWidth="1"/>
    <col min="11014" max="11014" width="14.26953125" style="1510" bestFit="1" customWidth="1"/>
    <col min="11015" max="11015" width="3" style="1510" bestFit="1" customWidth="1"/>
    <col min="11016" max="11016" width="12.1796875" style="1510" customWidth="1"/>
    <col min="11017" max="11024" width="7.26953125" style="1510" customWidth="1"/>
    <col min="11025" max="11026" width="12.1796875" style="1510" customWidth="1"/>
    <col min="11027" max="11027" width="7.26953125" style="1510" customWidth="1"/>
    <col min="11028" max="11028" width="9.7265625" style="1510" customWidth="1"/>
    <col min="11029" max="11268" width="8.7265625" style="1510"/>
    <col min="11269" max="11269" width="3" style="1510" bestFit="1" customWidth="1"/>
    <col min="11270" max="11270" width="14.26953125" style="1510" bestFit="1" customWidth="1"/>
    <col min="11271" max="11271" width="3" style="1510" bestFit="1" customWidth="1"/>
    <col min="11272" max="11272" width="12.1796875" style="1510" customWidth="1"/>
    <col min="11273" max="11280" width="7.26953125" style="1510" customWidth="1"/>
    <col min="11281" max="11282" width="12.1796875" style="1510" customWidth="1"/>
    <col min="11283" max="11283" width="7.26953125" style="1510" customWidth="1"/>
    <col min="11284" max="11284" width="9.7265625" style="1510" customWidth="1"/>
    <col min="11285" max="11524" width="8.7265625" style="1510"/>
    <col min="11525" max="11525" width="3" style="1510" bestFit="1" customWidth="1"/>
    <col min="11526" max="11526" width="14.26953125" style="1510" bestFit="1" customWidth="1"/>
    <col min="11527" max="11527" width="3" style="1510" bestFit="1" customWidth="1"/>
    <col min="11528" max="11528" width="12.1796875" style="1510" customWidth="1"/>
    <col min="11529" max="11536" width="7.26953125" style="1510" customWidth="1"/>
    <col min="11537" max="11538" width="12.1796875" style="1510" customWidth="1"/>
    <col min="11539" max="11539" width="7.26953125" style="1510" customWidth="1"/>
    <col min="11540" max="11540" width="9.7265625" style="1510" customWidth="1"/>
    <col min="11541" max="11780" width="8.7265625" style="1510"/>
    <col min="11781" max="11781" width="3" style="1510" bestFit="1" customWidth="1"/>
    <col min="11782" max="11782" width="14.26953125" style="1510" bestFit="1" customWidth="1"/>
    <col min="11783" max="11783" width="3" style="1510" bestFit="1" customWidth="1"/>
    <col min="11784" max="11784" width="12.1796875" style="1510" customWidth="1"/>
    <col min="11785" max="11792" width="7.26953125" style="1510" customWidth="1"/>
    <col min="11793" max="11794" width="12.1796875" style="1510" customWidth="1"/>
    <col min="11795" max="11795" width="7.26953125" style="1510" customWidth="1"/>
    <col min="11796" max="11796" width="9.7265625" style="1510" customWidth="1"/>
    <col min="11797" max="12036" width="8.7265625" style="1510"/>
    <col min="12037" max="12037" width="3" style="1510" bestFit="1" customWidth="1"/>
    <col min="12038" max="12038" width="14.26953125" style="1510" bestFit="1" customWidth="1"/>
    <col min="12039" max="12039" width="3" style="1510" bestFit="1" customWidth="1"/>
    <col min="12040" max="12040" width="12.1796875" style="1510" customWidth="1"/>
    <col min="12041" max="12048" width="7.26953125" style="1510" customWidth="1"/>
    <col min="12049" max="12050" width="12.1796875" style="1510" customWidth="1"/>
    <col min="12051" max="12051" width="7.26953125" style="1510" customWidth="1"/>
    <col min="12052" max="12052" width="9.7265625" style="1510" customWidth="1"/>
    <col min="12053" max="12292" width="8.7265625" style="1510"/>
    <col min="12293" max="12293" width="3" style="1510" bestFit="1" customWidth="1"/>
    <col min="12294" max="12294" width="14.26953125" style="1510" bestFit="1" customWidth="1"/>
    <col min="12295" max="12295" width="3" style="1510" bestFit="1" customWidth="1"/>
    <col min="12296" max="12296" width="12.1796875" style="1510" customWidth="1"/>
    <col min="12297" max="12304" width="7.26953125" style="1510" customWidth="1"/>
    <col min="12305" max="12306" width="12.1796875" style="1510" customWidth="1"/>
    <col min="12307" max="12307" width="7.26953125" style="1510" customWidth="1"/>
    <col min="12308" max="12308" width="9.7265625" style="1510" customWidth="1"/>
    <col min="12309" max="12548" width="8.7265625" style="1510"/>
    <col min="12549" max="12549" width="3" style="1510" bestFit="1" customWidth="1"/>
    <col min="12550" max="12550" width="14.26953125" style="1510" bestFit="1" customWidth="1"/>
    <col min="12551" max="12551" width="3" style="1510" bestFit="1" customWidth="1"/>
    <col min="12552" max="12552" width="12.1796875" style="1510" customWidth="1"/>
    <col min="12553" max="12560" width="7.26953125" style="1510" customWidth="1"/>
    <col min="12561" max="12562" width="12.1796875" style="1510" customWidth="1"/>
    <col min="12563" max="12563" width="7.26953125" style="1510" customWidth="1"/>
    <col min="12564" max="12564" width="9.7265625" style="1510" customWidth="1"/>
    <col min="12565" max="12804" width="8.7265625" style="1510"/>
    <col min="12805" max="12805" width="3" style="1510" bestFit="1" customWidth="1"/>
    <col min="12806" max="12806" width="14.26953125" style="1510" bestFit="1" customWidth="1"/>
    <col min="12807" max="12807" width="3" style="1510" bestFit="1" customWidth="1"/>
    <col min="12808" max="12808" width="12.1796875" style="1510" customWidth="1"/>
    <col min="12809" max="12816" width="7.26953125" style="1510" customWidth="1"/>
    <col min="12817" max="12818" width="12.1796875" style="1510" customWidth="1"/>
    <col min="12819" max="12819" width="7.26953125" style="1510" customWidth="1"/>
    <col min="12820" max="12820" width="9.7265625" style="1510" customWidth="1"/>
    <col min="12821" max="13060" width="8.7265625" style="1510"/>
    <col min="13061" max="13061" width="3" style="1510" bestFit="1" customWidth="1"/>
    <col min="13062" max="13062" width="14.26953125" style="1510" bestFit="1" customWidth="1"/>
    <col min="13063" max="13063" width="3" style="1510" bestFit="1" customWidth="1"/>
    <col min="13064" max="13064" width="12.1796875" style="1510" customWidth="1"/>
    <col min="13065" max="13072" width="7.26953125" style="1510" customWidth="1"/>
    <col min="13073" max="13074" width="12.1796875" style="1510" customWidth="1"/>
    <col min="13075" max="13075" width="7.26953125" style="1510" customWidth="1"/>
    <col min="13076" max="13076" width="9.7265625" style="1510" customWidth="1"/>
    <col min="13077" max="13316" width="8.7265625" style="1510"/>
    <col min="13317" max="13317" width="3" style="1510" bestFit="1" customWidth="1"/>
    <col min="13318" max="13318" width="14.26953125" style="1510" bestFit="1" customWidth="1"/>
    <col min="13319" max="13319" width="3" style="1510" bestFit="1" customWidth="1"/>
    <col min="13320" max="13320" width="12.1796875" style="1510" customWidth="1"/>
    <col min="13321" max="13328" width="7.26953125" style="1510" customWidth="1"/>
    <col min="13329" max="13330" width="12.1796875" style="1510" customWidth="1"/>
    <col min="13331" max="13331" width="7.26953125" style="1510" customWidth="1"/>
    <col min="13332" max="13332" width="9.7265625" style="1510" customWidth="1"/>
    <col min="13333" max="13572" width="8.7265625" style="1510"/>
    <col min="13573" max="13573" width="3" style="1510" bestFit="1" customWidth="1"/>
    <col min="13574" max="13574" width="14.26953125" style="1510" bestFit="1" customWidth="1"/>
    <col min="13575" max="13575" width="3" style="1510" bestFit="1" customWidth="1"/>
    <col min="13576" max="13576" width="12.1796875" style="1510" customWidth="1"/>
    <col min="13577" max="13584" width="7.26953125" style="1510" customWidth="1"/>
    <col min="13585" max="13586" width="12.1796875" style="1510" customWidth="1"/>
    <col min="13587" max="13587" width="7.26953125" style="1510" customWidth="1"/>
    <col min="13588" max="13588" width="9.7265625" style="1510" customWidth="1"/>
    <col min="13589" max="13828" width="8.7265625" style="1510"/>
    <col min="13829" max="13829" width="3" style="1510" bestFit="1" customWidth="1"/>
    <col min="13830" max="13830" width="14.26953125" style="1510" bestFit="1" customWidth="1"/>
    <col min="13831" max="13831" width="3" style="1510" bestFit="1" customWidth="1"/>
    <col min="13832" max="13832" width="12.1796875" style="1510" customWidth="1"/>
    <col min="13833" max="13840" width="7.26953125" style="1510" customWidth="1"/>
    <col min="13841" max="13842" width="12.1796875" style="1510" customWidth="1"/>
    <col min="13843" max="13843" width="7.26953125" style="1510" customWidth="1"/>
    <col min="13844" max="13844" width="9.7265625" style="1510" customWidth="1"/>
    <col min="13845" max="14084" width="8.7265625" style="1510"/>
    <col min="14085" max="14085" width="3" style="1510" bestFit="1" customWidth="1"/>
    <col min="14086" max="14086" width="14.26953125" style="1510" bestFit="1" customWidth="1"/>
    <col min="14087" max="14087" width="3" style="1510" bestFit="1" customWidth="1"/>
    <col min="14088" max="14088" width="12.1796875" style="1510" customWidth="1"/>
    <col min="14089" max="14096" width="7.26953125" style="1510" customWidth="1"/>
    <col min="14097" max="14098" width="12.1796875" style="1510" customWidth="1"/>
    <col min="14099" max="14099" width="7.26953125" style="1510" customWidth="1"/>
    <col min="14100" max="14100" width="9.7265625" style="1510" customWidth="1"/>
    <col min="14101" max="14340" width="8.7265625" style="1510"/>
    <col min="14341" max="14341" width="3" style="1510" bestFit="1" customWidth="1"/>
    <col min="14342" max="14342" width="14.26953125" style="1510" bestFit="1" customWidth="1"/>
    <col min="14343" max="14343" width="3" style="1510" bestFit="1" customWidth="1"/>
    <col min="14344" max="14344" width="12.1796875" style="1510" customWidth="1"/>
    <col min="14345" max="14352" width="7.26953125" style="1510" customWidth="1"/>
    <col min="14353" max="14354" width="12.1796875" style="1510" customWidth="1"/>
    <col min="14355" max="14355" width="7.26953125" style="1510" customWidth="1"/>
    <col min="14356" max="14356" width="9.7265625" style="1510" customWidth="1"/>
    <col min="14357" max="14596" width="8.7265625" style="1510"/>
    <col min="14597" max="14597" width="3" style="1510" bestFit="1" customWidth="1"/>
    <col min="14598" max="14598" width="14.26953125" style="1510" bestFit="1" customWidth="1"/>
    <col min="14599" max="14599" width="3" style="1510" bestFit="1" customWidth="1"/>
    <col min="14600" max="14600" width="12.1796875" style="1510" customWidth="1"/>
    <col min="14601" max="14608" width="7.26953125" style="1510" customWidth="1"/>
    <col min="14609" max="14610" width="12.1796875" style="1510" customWidth="1"/>
    <col min="14611" max="14611" width="7.26953125" style="1510" customWidth="1"/>
    <col min="14612" max="14612" width="9.7265625" style="1510" customWidth="1"/>
    <col min="14613" max="14852" width="8.7265625" style="1510"/>
    <col min="14853" max="14853" width="3" style="1510" bestFit="1" customWidth="1"/>
    <col min="14854" max="14854" width="14.26953125" style="1510" bestFit="1" customWidth="1"/>
    <col min="14855" max="14855" width="3" style="1510" bestFit="1" customWidth="1"/>
    <col min="14856" max="14856" width="12.1796875" style="1510" customWidth="1"/>
    <col min="14857" max="14864" width="7.26953125" style="1510" customWidth="1"/>
    <col min="14865" max="14866" width="12.1796875" style="1510" customWidth="1"/>
    <col min="14867" max="14867" width="7.26953125" style="1510" customWidth="1"/>
    <col min="14868" max="14868" width="9.7265625" style="1510" customWidth="1"/>
    <col min="14869" max="15108" width="8.7265625" style="1510"/>
    <col min="15109" max="15109" width="3" style="1510" bestFit="1" customWidth="1"/>
    <col min="15110" max="15110" width="14.26953125" style="1510" bestFit="1" customWidth="1"/>
    <col min="15111" max="15111" width="3" style="1510" bestFit="1" customWidth="1"/>
    <col min="15112" max="15112" width="12.1796875" style="1510" customWidth="1"/>
    <col min="15113" max="15120" width="7.26953125" style="1510" customWidth="1"/>
    <col min="15121" max="15122" width="12.1796875" style="1510" customWidth="1"/>
    <col min="15123" max="15123" width="7.26953125" style="1510" customWidth="1"/>
    <col min="15124" max="15124" width="9.7265625" style="1510" customWidth="1"/>
    <col min="15125" max="15364" width="8.7265625" style="1510"/>
    <col min="15365" max="15365" width="3" style="1510" bestFit="1" customWidth="1"/>
    <col min="15366" max="15366" width="14.26953125" style="1510" bestFit="1" customWidth="1"/>
    <col min="15367" max="15367" width="3" style="1510" bestFit="1" customWidth="1"/>
    <col min="15368" max="15368" width="12.1796875" style="1510" customWidth="1"/>
    <col min="15369" max="15376" width="7.26953125" style="1510" customWidth="1"/>
    <col min="15377" max="15378" width="12.1796875" style="1510" customWidth="1"/>
    <col min="15379" max="15379" width="7.26953125" style="1510" customWidth="1"/>
    <col min="15380" max="15380" width="9.7265625" style="1510" customWidth="1"/>
    <col min="15381" max="15620" width="8.7265625" style="1510"/>
    <col min="15621" max="15621" width="3" style="1510" bestFit="1" customWidth="1"/>
    <col min="15622" max="15622" width="14.26953125" style="1510" bestFit="1" customWidth="1"/>
    <col min="15623" max="15623" width="3" style="1510" bestFit="1" customWidth="1"/>
    <col min="15624" max="15624" width="12.1796875" style="1510" customWidth="1"/>
    <col min="15625" max="15632" width="7.26953125" style="1510" customWidth="1"/>
    <col min="15633" max="15634" width="12.1796875" style="1510" customWidth="1"/>
    <col min="15635" max="15635" width="7.26953125" style="1510" customWidth="1"/>
    <col min="15636" max="15636" width="9.7265625" style="1510" customWidth="1"/>
    <col min="15637" max="15876" width="8.7265625" style="1510"/>
    <col min="15877" max="15877" width="3" style="1510" bestFit="1" customWidth="1"/>
    <col min="15878" max="15878" width="14.26953125" style="1510" bestFit="1" customWidth="1"/>
    <col min="15879" max="15879" width="3" style="1510" bestFit="1" customWidth="1"/>
    <col min="15880" max="15880" width="12.1796875" style="1510" customWidth="1"/>
    <col min="15881" max="15888" width="7.26953125" style="1510" customWidth="1"/>
    <col min="15889" max="15890" width="12.1796875" style="1510" customWidth="1"/>
    <col min="15891" max="15891" width="7.26953125" style="1510" customWidth="1"/>
    <col min="15892" max="15892" width="9.7265625" style="1510" customWidth="1"/>
    <col min="15893" max="16132" width="8.7265625" style="1510"/>
    <col min="16133" max="16133" width="3" style="1510" bestFit="1" customWidth="1"/>
    <col min="16134" max="16134" width="14.26953125" style="1510" bestFit="1" customWidth="1"/>
    <col min="16135" max="16135" width="3" style="1510" bestFit="1" customWidth="1"/>
    <col min="16136" max="16136" width="12.1796875" style="1510" customWidth="1"/>
    <col min="16137" max="16144" width="7.26953125" style="1510" customWidth="1"/>
    <col min="16145" max="16146" width="12.1796875" style="1510" customWidth="1"/>
    <col min="16147" max="16147" width="7.26953125" style="1510" customWidth="1"/>
    <col min="16148" max="16148" width="9.7265625" style="1510" customWidth="1"/>
    <col min="16149" max="16384" width="8.7265625" style="1510"/>
  </cols>
  <sheetData>
    <row r="1" spans="1:29" ht="14.5" x14ac:dyDescent="0.35">
      <c r="A1" s="819"/>
      <c r="B1" s="2077"/>
      <c r="C1" s="2077"/>
      <c r="D1" s="2078"/>
      <c r="E1" s="2078"/>
      <c r="F1" s="2078"/>
      <c r="G1" s="2078"/>
      <c r="H1" s="2078"/>
      <c r="I1" s="2078"/>
      <c r="J1" s="2078"/>
      <c r="K1" s="2078"/>
      <c r="L1" s="2078"/>
      <c r="M1" s="2078"/>
      <c r="N1" s="2078"/>
      <c r="O1" s="2078"/>
      <c r="P1" s="2078"/>
      <c r="Q1" s="2078"/>
      <c r="R1" s="2078"/>
      <c r="S1" s="2078"/>
      <c r="T1" s="2078"/>
      <c r="U1" s="140"/>
      <c r="V1" s="140"/>
      <c r="W1" s="140"/>
      <c r="X1" s="140"/>
      <c r="Y1" s="140"/>
    </row>
    <row r="2" spans="1:29" ht="14.5" customHeight="1" x14ac:dyDescent="0.35">
      <c r="A2" s="819">
        <v>1</v>
      </c>
      <c r="B2" s="819" t="s">
        <v>0</v>
      </c>
      <c r="C2" s="819">
        <v>49</v>
      </c>
      <c r="D2" s="4757" t="s">
        <v>1105</v>
      </c>
      <c r="E2" s="4758"/>
      <c r="F2" s="4758"/>
      <c r="G2" s="4758"/>
      <c r="H2" s="4758"/>
      <c r="I2" s="4758"/>
      <c r="J2" s="4758"/>
      <c r="K2" s="4758"/>
      <c r="L2" s="4758"/>
      <c r="M2" s="4758"/>
      <c r="N2" s="4758"/>
      <c r="O2" s="4758"/>
      <c r="P2" s="4758"/>
      <c r="Q2" s="4758"/>
      <c r="R2" s="4758"/>
      <c r="S2" s="4758"/>
      <c r="T2" s="4759"/>
      <c r="U2" s="2470"/>
      <c r="V2" s="2470"/>
      <c r="W2" s="2470"/>
      <c r="X2" s="140"/>
      <c r="Y2" s="140"/>
    </row>
    <row r="3" spans="1:29" ht="14.5" x14ac:dyDescent="0.35">
      <c r="A3" s="819">
        <v>2</v>
      </c>
      <c r="B3" s="819" t="s">
        <v>2</v>
      </c>
      <c r="C3" s="819"/>
      <c r="D3" s="4757" t="s">
        <v>952</v>
      </c>
      <c r="E3" s="4758"/>
      <c r="F3" s="4758"/>
      <c r="G3" s="4758"/>
      <c r="H3" s="4758"/>
      <c r="I3" s="4758"/>
      <c r="J3" s="4758"/>
      <c r="K3" s="4758"/>
      <c r="L3" s="4758"/>
      <c r="M3" s="4758"/>
      <c r="N3" s="4758"/>
      <c r="O3" s="4758"/>
      <c r="P3" s="4758"/>
      <c r="Q3" s="4758"/>
      <c r="R3" s="4758"/>
      <c r="S3" s="4758"/>
      <c r="T3" s="4759"/>
      <c r="U3" s="140"/>
      <c r="V3" s="140"/>
      <c r="W3" s="140"/>
      <c r="X3" s="140"/>
      <c r="Y3" s="140"/>
    </row>
    <row r="4" spans="1:29" ht="13.5" customHeight="1" x14ac:dyDescent="0.25">
      <c r="A4" s="819">
        <v>3</v>
      </c>
      <c r="B4" s="819" t="s">
        <v>4</v>
      </c>
      <c r="C4" s="819"/>
      <c r="D4" s="4757" t="s">
        <v>1106</v>
      </c>
      <c r="E4" s="4758"/>
      <c r="F4" s="4758"/>
      <c r="G4" s="4758"/>
      <c r="H4" s="4758"/>
      <c r="I4" s="4758"/>
      <c r="J4" s="4758"/>
      <c r="K4" s="4758"/>
      <c r="L4" s="4758"/>
      <c r="M4" s="4758"/>
      <c r="N4" s="4758"/>
      <c r="O4" s="4758"/>
      <c r="P4" s="4758"/>
      <c r="Q4" s="4758"/>
      <c r="R4" s="4758"/>
      <c r="S4" s="4758"/>
      <c r="T4" s="4759"/>
      <c r="U4" s="482"/>
      <c r="V4" s="482"/>
      <c r="W4" s="482"/>
      <c r="X4" s="482"/>
      <c r="Y4" s="482"/>
      <c r="Z4" s="482"/>
      <c r="AA4" s="482"/>
    </row>
    <row r="5" spans="1:29" ht="22.5" customHeight="1" x14ac:dyDescent="0.35">
      <c r="A5" s="819"/>
      <c r="B5" s="140"/>
      <c r="C5" s="140"/>
      <c r="D5" s="2689"/>
      <c r="E5" s="2689"/>
      <c r="F5" s="2689"/>
      <c r="G5" s="2689"/>
      <c r="H5" s="2689"/>
      <c r="I5" s="2689"/>
      <c r="J5" s="2689"/>
      <c r="K5" s="2689"/>
      <c r="L5" s="2689"/>
      <c r="M5" s="2689"/>
      <c r="N5" s="2689"/>
      <c r="O5" s="2689"/>
      <c r="P5" s="2689"/>
      <c r="Q5" s="2689"/>
      <c r="R5" s="2689"/>
      <c r="S5" s="2689"/>
      <c r="T5" s="2689"/>
      <c r="U5" s="482"/>
      <c r="V5" s="482"/>
      <c r="W5" s="482"/>
      <c r="X5" s="482"/>
      <c r="Y5" s="482"/>
      <c r="Z5" s="482"/>
      <c r="AA5" s="482"/>
    </row>
    <row r="6" spans="1:29" ht="14.5" x14ac:dyDescent="0.35">
      <c r="A6" s="819">
        <v>5</v>
      </c>
      <c r="B6" s="819" t="s">
        <v>6</v>
      </c>
      <c r="C6" s="819"/>
      <c r="D6" s="1427"/>
      <c r="E6" s="1427"/>
      <c r="F6" s="1427"/>
      <c r="G6" s="1427"/>
      <c r="H6" s="1427"/>
      <c r="I6" s="1427"/>
      <c r="J6" s="1427"/>
      <c r="K6" s="1427"/>
      <c r="L6" s="1427"/>
      <c r="M6" s="1427"/>
      <c r="N6" s="1427"/>
      <c r="O6" s="1427"/>
      <c r="P6" s="2283"/>
      <c r="Q6" s="1427"/>
      <c r="R6" s="1427"/>
      <c r="S6" s="1427"/>
      <c r="T6" s="1427"/>
      <c r="U6" s="4883"/>
      <c r="V6" s="4883"/>
      <c r="W6" s="4883"/>
      <c r="X6" s="4883"/>
      <c r="Y6" s="4883"/>
      <c r="Z6" s="4883"/>
    </row>
    <row r="7" spans="1:29" ht="14.5" x14ac:dyDescent="0.35">
      <c r="A7" s="819"/>
      <c r="B7" s="2077"/>
      <c r="C7" s="2077"/>
      <c r="D7" s="2865" t="s">
        <v>1107</v>
      </c>
      <c r="E7" s="2865"/>
      <c r="F7" s="2865"/>
      <c r="G7" s="2865"/>
      <c r="H7" s="2865"/>
      <c r="I7" s="2866"/>
      <c r="Q7" s="2079"/>
      <c r="R7" s="1427"/>
      <c r="S7" s="140"/>
      <c r="T7" s="140"/>
      <c r="U7" s="140"/>
      <c r="V7" s="140"/>
      <c r="W7" s="140"/>
      <c r="X7" s="140"/>
      <c r="Y7" s="140"/>
      <c r="Z7" s="140"/>
      <c r="AA7" s="140"/>
      <c r="AB7" s="140"/>
      <c r="AC7" s="140"/>
    </row>
    <row r="8" spans="1:29" ht="20.5" customHeight="1" x14ac:dyDescent="0.35">
      <c r="A8" s="819"/>
      <c r="B8" s="2077"/>
      <c r="C8" s="2077"/>
      <c r="D8" s="2867"/>
      <c r="E8" s="4884" t="s">
        <v>1108</v>
      </c>
      <c r="F8" s="4884"/>
      <c r="G8" s="4884"/>
      <c r="H8" s="4885"/>
      <c r="I8" s="4884" t="s">
        <v>1109</v>
      </c>
      <c r="J8" s="4884"/>
      <c r="K8" s="4884"/>
      <c r="L8" s="4885"/>
      <c r="M8" s="4884" t="s">
        <v>1110</v>
      </c>
      <c r="N8" s="4884"/>
      <c r="O8" s="4884"/>
      <c r="P8" s="4885"/>
      <c r="Q8" s="2689"/>
      <c r="R8" s="2689"/>
      <c r="S8" s="2689"/>
      <c r="T8" s="2689"/>
      <c r="U8" s="140"/>
      <c r="V8" s="140"/>
      <c r="W8" s="140"/>
      <c r="X8" s="140"/>
      <c r="Y8" s="140"/>
      <c r="Z8" s="140"/>
      <c r="AA8" s="140"/>
      <c r="AB8" s="140"/>
      <c r="AC8" s="140"/>
    </row>
    <row r="9" spans="1:29" ht="14.5" x14ac:dyDescent="0.35">
      <c r="A9" s="819"/>
      <c r="B9" s="2077"/>
      <c r="C9" s="2077"/>
      <c r="D9" s="2868" t="s">
        <v>424</v>
      </c>
      <c r="E9" s="2869" t="s">
        <v>1111</v>
      </c>
      <c r="F9" s="2870"/>
      <c r="G9" s="2871" t="s">
        <v>1112</v>
      </c>
      <c r="H9" s="2872"/>
      <c r="I9" s="2873" t="s">
        <v>1111</v>
      </c>
      <c r="J9" s="2870"/>
      <c r="K9" s="2871" t="s">
        <v>1112</v>
      </c>
      <c r="L9" s="2872"/>
      <c r="M9" s="2873" t="s">
        <v>1111</v>
      </c>
      <c r="N9" s="2870"/>
      <c r="O9" s="2871" t="s">
        <v>1112</v>
      </c>
      <c r="P9" s="2872"/>
      <c r="Q9" s="2689"/>
      <c r="R9" s="2689"/>
      <c r="S9" s="2689"/>
      <c r="T9" s="2689"/>
      <c r="U9" s="140"/>
      <c r="V9" s="140"/>
      <c r="W9" s="140"/>
      <c r="X9" s="140"/>
      <c r="Y9" s="140"/>
      <c r="Z9" s="140"/>
      <c r="AA9" s="140"/>
      <c r="AB9" s="140"/>
      <c r="AC9" s="140"/>
    </row>
    <row r="10" spans="1:29" ht="14.5" x14ac:dyDescent="0.35">
      <c r="A10" s="819"/>
      <c r="B10" s="2077"/>
      <c r="C10" s="2077"/>
      <c r="D10" s="2868"/>
      <c r="E10" s="2874" t="s">
        <v>1113</v>
      </c>
      <c r="F10" s="2875" t="s">
        <v>1114</v>
      </c>
      <c r="G10" s="2875" t="s">
        <v>1113</v>
      </c>
      <c r="H10" s="2876" t="s">
        <v>1114</v>
      </c>
      <c r="I10" s="2877" t="s">
        <v>1113</v>
      </c>
      <c r="J10" s="2875" t="s">
        <v>1114</v>
      </c>
      <c r="K10" s="2875" t="s">
        <v>1113</v>
      </c>
      <c r="L10" s="2876" t="s">
        <v>1114</v>
      </c>
      <c r="M10" s="2877" t="s">
        <v>1113</v>
      </c>
      <c r="N10" s="2875" t="s">
        <v>1114</v>
      </c>
      <c r="O10" s="2875" t="s">
        <v>1113</v>
      </c>
      <c r="P10" s="2876" t="s">
        <v>1114</v>
      </c>
      <c r="Q10" s="2689"/>
      <c r="R10" s="2689"/>
      <c r="S10" s="2689"/>
      <c r="T10" s="2689"/>
      <c r="U10" s="140"/>
      <c r="V10" s="140"/>
      <c r="W10" s="140"/>
      <c r="X10" s="140"/>
      <c r="Y10" s="140"/>
      <c r="Z10" s="140"/>
      <c r="AA10" s="140"/>
      <c r="AB10" s="140"/>
      <c r="AC10" s="140"/>
    </row>
    <row r="11" spans="1:29" ht="14.5" x14ac:dyDescent="0.35">
      <c r="A11" s="819"/>
      <c r="B11" s="2077"/>
      <c r="C11" s="2077"/>
      <c r="D11" s="2868" t="s">
        <v>402</v>
      </c>
      <c r="E11" s="2189">
        <v>444.1</v>
      </c>
      <c r="F11" s="2561">
        <v>14.02</v>
      </c>
      <c r="G11" s="2878">
        <v>449.3</v>
      </c>
      <c r="H11" s="2879">
        <v>10.74</v>
      </c>
      <c r="I11" s="2189">
        <v>447.8</v>
      </c>
      <c r="J11" s="2561">
        <v>10.130000000000001</v>
      </c>
      <c r="K11" s="2878">
        <v>468.8</v>
      </c>
      <c r="L11" s="2879">
        <v>10.31</v>
      </c>
      <c r="M11" s="2189">
        <v>534.68723494833466</v>
      </c>
      <c r="N11" s="2561">
        <v>9.8711320323500882</v>
      </c>
      <c r="O11" s="2878">
        <v>570.1517759009364</v>
      </c>
      <c r="P11" s="2879">
        <v>8.589279018499834</v>
      </c>
      <c r="Q11" s="2689"/>
      <c r="R11" s="2689"/>
      <c r="S11" s="2689"/>
      <c r="T11" s="2689"/>
      <c r="U11" s="140"/>
      <c r="V11" s="140"/>
      <c r="W11" s="140"/>
      <c r="X11" s="140"/>
      <c r="Y11" s="140"/>
      <c r="Z11" s="140"/>
      <c r="AA11" s="140"/>
      <c r="AB11" s="140"/>
      <c r="AC11" s="140"/>
    </row>
    <row r="12" spans="1:29" ht="14.5" x14ac:dyDescent="0.35">
      <c r="A12" s="819"/>
      <c r="B12" s="2077"/>
      <c r="C12" s="2077"/>
      <c r="D12" s="2868" t="s">
        <v>404</v>
      </c>
      <c r="E12" s="2189">
        <v>446.2</v>
      </c>
      <c r="F12" s="2561">
        <v>12.46</v>
      </c>
      <c r="G12" s="2878">
        <v>447.5</v>
      </c>
      <c r="H12" s="2879">
        <v>6</v>
      </c>
      <c r="I12" s="2189">
        <v>491.1</v>
      </c>
      <c r="J12" s="2561">
        <v>12.48</v>
      </c>
      <c r="K12" s="2878">
        <v>491.6</v>
      </c>
      <c r="L12" s="2879">
        <v>10.08</v>
      </c>
      <c r="M12" s="2189">
        <v>562.79913115725174</v>
      </c>
      <c r="N12" s="2561">
        <v>8.2333151683005621</v>
      </c>
      <c r="O12" s="2878">
        <v>584.27423054594976</v>
      </c>
      <c r="P12" s="2879">
        <v>8.234744094632676</v>
      </c>
      <c r="Q12" s="2689"/>
      <c r="R12" s="2689"/>
      <c r="S12" s="2689"/>
      <c r="T12" s="2689"/>
      <c r="U12" s="140"/>
      <c r="V12" s="140"/>
      <c r="W12" s="140"/>
      <c r="X12" s="140"/>
      <c r="Y12" s="140"/>
      <c r="Z12" s="140"/>
      <c r="AA12" s="140"/>
      <c r="AB12" s="140"/>
      <c r="AC12" s="140"/>
    </row>
    <row r="13" spans="1:29" ht="14.5" x14ac:dyDescent="0.35">
      <c r="A13" s="819"/>
      <c r="B13" s="2077"/>
      <c r="C13" s="2077"/>
      <c r="D13" s="2868" t="s">
        <v>407</v>
      </c>
      <c r="E13" s="2189">
        <v>576.4</v>
      </c>
      <c r="F13" s="2561">
        <v>35.229999999999997</v>
      </c>
      <c r="G13" s="2878">
        <v>552.4</v>
      </c>
      <c r="H13" s="2879">
        <v>26.02</v>
      </c>
      <c r="I13" s="2189">
        <v>573.1</v>
      </c>
      <c r="J13" s="2561">
        <v>14.39</v>
      </c>
      <c r="K13" s="2878">
        <v>454</v>
      </c>
      <c r="L13" s="2879">
        <v>11.99</v>
      </c>
      <c r="M13" s="2189">
        <v>599.47376506451326</v>
      </c>
      <c r="N13" s="2561">
        <v>8.9268241345634181</v>
      </c>
      <c r="O13" s="2878">
        <v>614.62592115785981</v>
      </c>
      <c r="P13" s="2879">
        <v>10.525863813950815</v>
      </c>
      <c r="Q13" s="2689"/>
      <c r="R13" s="2689"/>
      <c r="S13" s="2689"/>
      <c r="T13" s="2689"/>
      <c r="U13" s="140"/>
      <c r="V13" s="140"/>
      <c r="W13" s="140"/>
      <c r="X13" s="140"/>
      <c r="Y13" s="140"/>
      <c r="Z13" s="140"/>
      <c r="AA13" s="140"/>
      <c r="AB13" s="140"/>
      <c r="AC13" s="140"/>
    </row>
    <row r="14" spans="1:29" ht="14.5" x14ac:dyDescent="0.35">
      <c r="A14" s="819"/>
      <c r="B14" s="2077"/>
      <c r="C14" s="2077"/>
      <c r="D14" s="2868" t="s">
        <v>405</v>
      </c>
      <c r="E14" s="2189">
        <v>517.5</v>
      </c>
      <c r="F14" s="2561">
        <v>21.63</v>
      </c>
      <c r="G14" s="2878">
        <v>510.3</v>
      </c>
      <c r="H14" s="2879">
        <v>17.48</v>
      </c>
      <c r="I14" s="2189">
        <v>485.6</v>
      </c>
      <c r="J14" s="2561">
        <v>10.56</v>
      </c>
      <c r="K14" s="2878">
        <v>485.2</v>
      </c>
      <c r="L14" s="2879">
        <v>8.2200000000000006</v>
      </c>
      <c r="M14" s="2189">
        <v>551.62632539267133</v>
      </c>
      <c r="N14" s="2561">
        <v>8.3152640597113461</v>
      </c>
      <c r="O14" s="2878">
        <v>579.0983506438821</v>
      </c>
      <c r="P14" s="2879">
        <v>7.5788360553072103</v>
      </c>
      <c r="Q14" s="2689"/>
      <c r="R14" s="2689"/>
      <c r="S14" s="2689"/>
      <c r="T14" s="2689"/>
      <c r="U14" s="140"/>
      <c r="V14" s="140"/>
      <c r="W14" s="140"/>
      <c r="X14" s="140"/>
      <c r="Y14" s="140"/>
      <c r="Z14" s="140"/>
      <c r="AA14" s="140"/>
      <c r="AB14" s="140"/>
      <c r="AC14" s="140"/>
    </row>
    <row r="15" spans="1:29" ht="14.5" x14ac:dyDescent="0.35">
      <c r="A15" s="819"/>
      <c r="B15" s="2077"/>
      <c r="C15" s="2077"/>
      <c r="D15" s="2868" t="s">
        <v>409</v>
      </c>
      <c r="E15" s="2189">
        <v>428.1</v>
      </c>
      <c r="F15" s="2561">
        <v>17.54</v>
      </c>
      <c r="G15" s="2878">
        <v>433.4</v>
      </c>
      <c r="H15" s="2879">
        <v>10.82</v>
      </c>
      <c r="I15" s="2189">
        <v>425.3</v>
      </c>
      <c r="J15" s="2561">
        <v>7.68</v>
      </c>
      <c r="K15" s="2878">
        <v>446.7</v>
      </c>
      <c r="L15" s="2879">
        <v>5.25</v>
      </c>
      <c r="M15" s="2189">
        <v>519.03348696387752</v>
      </c>
      <c r="N15" s="2561">
        <v>7.8376997357182061</v>
      </c>
      <c r="O15" s="2878">
        <v>554.17525361291575</v>
      </c>
      <c r="P15" s="2879">
        <v>7.0078553761247973</v>
      </c>
      <c r="Q15" s="2689"/>
      <c r="R15" s="2689"/>
      <c r="S15" s="2689"/>
      <c r="T15" s="2689"/>
      <c r="U15" s="140"/>
      <c r="V15" s="140"/>
      <c r="W15" s="140"/>
      <c r="X15" s="140"/>
      <c r="Y15" s="140"/>
      <c r="Z15" s="140"/>
      <c r="AA15" s="140"/>
      <c r="AB15" s="140"/>
      <c r="AC15" s="140"/>
    </row>
    <row r="16" spans="1:29" ht="14.5" x14ac:dyDescent="0.35">
      <c r="A16" s="819"/>
      <c r="B16" s="2077"/>
      <c r="C16" s="2077"/>
      <c r="D16" s="2868" t="s">
        <v>408</v>
      </c>
      <c r="E16" s="2189">
        <v>470.3</v>
      </c>
      <c r="F16" s="2561">
        <v>13.37</v>
      </c>
      <c r="G16" s="2878">
        <v>460.9</v>
      </c>
      <c r="H16" s="2879">
        <v>8.24</v>
      </c>
      <c r="I16" s="2189">
        <v>473.6</v>
      </c>
      <c r="J16" s="2561">
        <v>11.13</v>
      </c>
      <c r="K16" s="2878">
        <v>476.1</v>
      </c>
      <c r="L16" s="2879">
        <v>8.19</v>
      </c>
      <c r="M16" s="2189">
        <v>552.52901134320621</v>
      </c>
      <c r="N16" s="2561">
        <v>7.4943157022607396</v>
      </c>
      <c r="O16" s="2878">
        <v>575.68431453960181</v>
      </c>
      <c r="P16" s="2879">
        <v>9.620714143568101</v>
      </c>
      <c r="Q16" s="2689"/>
      <c r="R16" s="2689"/>
      <c r="S16" s="2689"/>
      <c r="T16" s="2689"/>
      <c r="U16" s="140"/>
      <c r="V16" s="140"/>
      <c r="W16" s="140"/>
      <c r="X16" s="140" t="s">
        <v>294</v>
      </c>
      <c r="Y16" s="140"/>
      <c r="Z16" s="140"/>
      <c r="AA16" s="140"/>
      <c r="AB16" s="140"/>
      <c r="AC16" s="140"/>
    </row>
    <row r="17" spans="1:29" ht="14.5" x14ac:dyDescent="0.35">
      <c r="A17" s="819"/>
      <c r="B17" s="2077"/>
      <c r="C17" s="2077"/>
      <c r="D17" s="2868" t="s">
        <v>406</v>
      </c>
      <c r="E17" s="2189">
        <v>436.7</v>
      </c>
      <c r="F17" s="2561">
        <v>19.649999999999999</v>
      </c>
      <c r="G17" s="2878">
        <v>446</v>
      </c>
      <c r="H17" s="2879">
        <v>18.809999999999999</v>
      </c>
      <c r="I17" s="2189">
        <v>506.3</v>
      </c>
      <c r="J17" s="2561">
        <v>14.19</v>
      </c>
      <c r="K17" s="2878">
        <v>503.1</v>
      </c>
      <c r="L17" s="2879">
        <v>13.14</v>
      </c>
      <c r="M17" s="2189">
        <v>543.48279939074735</v>
      </c>
      <c r="N17" s="2561">
        <v>9.2018775902191834</v>
      </c>
      <c r="O17" s="2878">
        <v>573.8544808041604</v>
      </c>
      <c r="P17" s="2879">
        <v>9.8583655084850896</v>
      </c>
      <c r="Q17" s="2689"/>
      <c r="R17" s="2689"/>
      <c r="S17" s="2689"/>
      <c r="T17" s="2689"/>
      <c r="U17" s="140"/>
      <c r="V17" s="140"/>
      <c r="W17" s="140"/>
      <c r="X17" s="140"/>
      <c r="Y17" s="140"/>
      <c r="Z17" s="140"/>
      <c r="AA17" s="140"/>
      <c r="AB17" s="140"/>
      <c r="AC17" s="140"/>
    </row>
    <row r="18" spans="1:29" ht="14.5" x14ac:dyDescent="0.35">
      <c r="A18" s="819"/>
      <c r="B18" s="2077"/>
      <c r="C18" s="2077"/>
      <c r="D18" s="2868" t="s">
        <v>403</v>
      </c>
      <c r="E18" s="2189">
        <v>427.7</v>
      </c>
      <c r="F18" s="2561">
        <v>9.61</v>
      </c>
      <c r="G18" s="2878">
        <v>419.6</v>
      </c>
      <c r="H18" s="2879">
        <v>10.6</v>
      </c>
      <c r="I18" s="2189">
        <v>505.6</v>
      </c>
      <c r="J18" s="2561">
        <v>12.56</v>
      </c>
      <c r="K18" s="2878">
        <v>498.7</v>
      </c>
      <c r="L18" s="2879">
        <v>10.83</v>
      </c>
      <c r="M18" s="2189">
        <v>544.3147149452227</v>
      </c>
      <c r="N18" s="2561">
        <v>10.568633610266732</v>
      </c>
      <c r="O18" s="2878">
        <v>575.21079015976068</v>
      </c>
      <c r="P18" s="2879">
        <v>7.834705260177766</v>
      </c>
      <c r="Q18" s="2689"/>
      <c r="R18" s="2689"/>
      <c r="S18" s="2689"/>
      <c r="T18" s="2689"/>
      <c r="U18" s="140"/>
      <c r="V18" s="140"/>
      <c r="W18" s="140"/>
      <c r="X18" s="140"/>
      <c r="Y18" s="140"/>
      <c r="Z18" s="140"/>
      <c r="AA18" s="140"/>
      <c r="AB18" s="140"/>
      <c r="AC18" s="140"/>
    </row>
    <row r="19" spans="1:29" ht="14.5" x14ac:dyDescent="0.35">
      <c r="A19" s="819"/>
      <c r="B19" s="2077"/>
      <c r="C19" s="2077"/>
      <c r="D19" s="2868" t="s">
        <v>401</v>
      </c>
      <c r="E19" s="2880">
        <v>629.29999999999995</v>
      </c>
      <c r="F19" s="2881">
        <v>17.95</v>
      </c>
      <c r="G19" s="2881">
        <v>591.1</v>
      </c>
      <c r="H19" s="2882">
        <v>23.94</v>
      </c>
      <c r="I19" s="2880">
        <v>583.4</v>
      </c>
      <c r="J19" s="2881">
        <v>11.08</v>
      </c>
      <c r="K19" s="2881">
        <v>565.70000000000005</v>
      </c>
      <c r="L19" s="2882">
        <v>12.01</v>
      </c>
      <c r="M19" s="2880">
        <v>630.14704752846217</v>
      </c>
      <c r="N19" s="2881">
        <v>12.69394276709963</v>
      </c>
      <c r="O19" s="2881">
        <v>672.93697842067093</v>
      </c>
      <c r="P19" s="2882">
        <v>17.171808241333721</v>
      </c>
      <c r="Q19" s="2689"/>
      <c r="R19" s="2689"/>
      <c r="S19" s="2689"/>
      <c r="T19" s="2689"/>
      <c r="U19" s="140"/>
      <c r="V19" s="140"/>
    </row>
    <row r="20" spans="1:29" ht="14.5" x14ac:dyDescent="0.35">
      <c r="A20" s="819"/>
      <c r="B20" s="2077"/>
      <c r="C20" s="2077"/>
      <c r="D20" s="2883" t="s">
        <v>316</v>
      </c>
      <c r="E20" s="2884">
        <v>492.3</v>
      </c>
      <c r="F20" s="2884">
        <v>9</v>
      </c>
      <c r="G20" s="2885">
        <v>486.1</v>
      </c>
      <c r="H20" s="2886">
        <v>7.19</v>
      </c>
      <c r="I20" s="2884">
        <v>494.9</v>
      </c>
      <c r="J20" s="2884">
        <v>4.55</v>
      </c>
      <c r="K20" s="2885">
        <v>494.8</v>
      </c>
      <c r="L20" s="2886">
        <v>3.81</v>
      </c>
      <c r="M20" s="2884">
        <v>557.99465239399876</v>
      </c>
      <c r="N20" s="2884">
        <v>3.4807817910979524</v>
      </c>
      <c r="O20" s="2885">
        <v>587.17936436728598</v>
      </c>
      <c r="P20" s="2886">
        <v>3.4704566737163378</v>
      </c>
      <c r="Q20" s="2689"/>
      <c r="R20" s="2689"/>
      <c r="S20" s="2689"/>
      <c r="T20" s="2689"/>
      <c r="U20" s="140"/>
      <c r="V20" s="140"/>
    </row>
    <row r="21" spans="1:29" ht="14.5" x14ac:dyDescent="0.35">
      <c r="A21" s="819"/>
      <c r="B21" s="2077"/>
      <c r="C21" s="2077"/>
      <c r="D21" s="416"/>
      <c r="E21" s="415"/>
      <c r="F21" s="2887"/>
      <c r="G21" s="2888"/>
      <c r="H21" s="415"/>
      <c r="I21" s="31"/>
      <c r="Q21" s="1427"/>
      <c r="R21" s="140"/>
      <c r="S21" s="140"/>
      <c r="T21" s="140"/>
      <c r="U21" s="140"/>
      <c r="V21" s="140"/>
    </row>
    <row r="22" spans="1:29" ht="14.5" x14ac:dyDescent="0.35">
      <c r="A22" s="819"/>
      <c r="B22" s="2077"/>
      <c r="C22" s="2077"/>
      <c r="I22" s="140"/>
      <c r="J22" s="2889"/>
      <c r="K22" s="2889"/>
      <c r="L22" s="2889"/>
      <c r="M22" s="2889"/>
      <c r="N22" s="2889"/>
      <c r="O22" s="2889"/>
      <c r="P22" s="2889"/>
      <c r="Q22" s="2890"/>
      <c r="R22" s="2891"/>
      <c r="S22" s="31"/>
      <c r="T22" s="31"/>
      <c r="U22" s="1427"/>
      <c r="V22" s="140"/>
      <c r="W22" s="140"/>
      <c r="X22" s="140"/>
      <c r="Y22" s="140"/>
    </row>
    <row r="23" spans="1:29" ht="13.15" customHeight="1" x14ac:dyDescent="0.35">
      <c r="A23" s="819">
        <v>6</v>
      </c>
      <c r="B23" s="819" t="s">
        <v>58</v>
      </c>
      <c r="C23" s="819"/>
      <c r="D23" s="4642" t="s">
        <v>1115</v>
      </c>
      <c r="E23" s="4643"/>
      <c r="F23" s="4643"/>
      <c r="G23" s="4643"/>
      <c r="H23" s="4643"/>
      <c r="I23" s="4643"/>
      <c r="J23" s="4643"/>
      <c r="K23" s="4643"/>
      <c r="L23" s="4643"/>
      <c r="M23" s="4643"/>
      <c r="N23" s="4643"/>
      <c r="O23" s="4643"/>
      <c r="P23" s="4643"/>
      <c r="Q23" s="4643"/>
      <c r="R23" s="4643"/>
      <c r="S23" s="4644"/>
      <c r="T23" s="4593"/>
      <c r="U23" s="140"/>
      <c r="V23" s="140"/>
      <c r="W23" s="140"/>
      <c r="X23" s="140"/>
      <c r="Y23" s="140"/>
    </row>
    <row r="24" spans="1:29" ht="42.75" customHeight="1" x14ac:dyDescent="0.35">
      <c r="A24" s="819">
        <v>7</v>
      </c>
      <c r="B24" s="819" t="s">
        <v>64</v>
      </c>
      <c r="C24" s="819"/>
      <c r="D24" s="4642" t="s">
        <v>1116</v>
      </c>
      <c r="E24" s="4643"/>
      <c r="F24" s="4643"/>
      <c r="G24" s="4643"/>
      <c r="H24" s="4643"/>
      <c r="I24" s="4643"/>
      <c r="J24" s="4643"/>
      <c r="K24" s="4643"/>
      <c r="L24" s="4643"/>
      <c r="M24" s="4643"/>
      <c r="N24" s="4643"/>
      <c r="O24" s="4643"/>
      <c r="P24" s="4643"/>
      <c r="Q24" s="4643"/>
      <c r="R24" s="4643"/>
      <c r="S24" s="4644"/>
      <c r="T24" s="4593"/>
      <c r="U24" s="140"/>
      <c r="V24" s="140"/>
      <c r="W24" s="140"/>
      <c r="X24" s="140"/>
      <c r="Y24" s="140"/>
    </row>
    <row r="25" spans="1:29" ht="20.25" customHeight="1" x14ac:dyDescent="0.35">
      <c r="A25" s="870">
        <v>8</v>
      </c>
      <c r="B25" s="870" t="s">
        <v>60</v>
      </c>
      <c r="C25" s="870"/>
      <c r="D25" s="4886" t="s">
        <v>1117</v>
      </c>
      <c r="E25" s="4887"/>
      <c r="F25" s="4887"/>
      <c r="G25" s="4887"/>
      <c r="H25" s="4887"/>
      <c r="I25" s="4887"/>
      <c r="J25" s="4887"/>
      <c r="K25" s="4887"/>
      <c r="L25" s="4887"/>
      <c r="M25" s="4887"/>
      <c r="N25" s="4887"/>
      <c r="O25" s="4887"/>
      <c r="P25" s="4887"/>
      <c r="Q25" s="4887"/>
      <c r="R25" s="4887"/>
      <c r="S25" s="4888"/>
      <c r="T25" s="2892"/>
      <c r="U25" s="140" t="s">
        <v>294</v>
      </c>
      <c r="V25" s="140"/>
      <c r="W25" s="140"/>
      <c r="X25" s="140"/>
      <c r="Y25" s="140"/>
    </row>
    <row r="26" spans="1:29" ht="16.5" customHeight="1" x14ac:dyDescent="0.35">
      <c r="A26" s="819">
        <v>9</v>
      </c>
      <c r="B26" s="819" t="s">
        <v>62</v>
      </c>
      <c r="C26" s="819"/>
      <c r="D26" s="4642" t="s">
        <v>1118</v>
      </c>
      <c r="E26" s="4643"/>
      <c r="F26" s="4643"/>
      <c r="G26" s="4643"/>
      <c r="H26" s="4643"/>
      <c r="I26" s="4643"/>
      <c r="J26" s="4643"/>
      <c r="K26" s="4643"/>
      <c r="L26" s="4643"/>
      <c r="M26" s="4643"/>
      <c r="N26" s="4643"/>
      <c r="O26" s="4643"/>
      <c r="P26" s="4643"/>
      <c r="Q26" s="4643"/>
      <c r="R26" s="4643"/>
      <c r="S26" s="4644"/>
      <c r="T26" s="4593"/>
      <c r="U26" s="140"/>
      <c r="V26" s="140"/>
      <c r="W26" s="140"/>
      <c r="X26" s="140"/>
      <c r="Y26" s="140"/>
    </row>
    <row r="27" spans="1:29" ht="14.5" x14ac:dyDescent="0.35">
      <c r="A27" s="2893"/>
      <c r="B27" s="2894"/>
      <c r="C27" s="2894"/>
      <c r="D27" s="140"/>
      <c r="E27" s="140"/>
      <c r="F27" s="140"/>
      <c r="G27" s="140"/>
      <c r="H27" s="140"/>
      <c r="I27" s="140"/>
      <c r="J27" s="140"/>
      <c r="K27" s="140"/>
      <c r="L27" s="140"/>
      <c r="M27" s="140"/>
      <c r="N27" s="140"/>
      <c r="O27" s="140"/>
      <c r="P27" s="140"/>
      <c r="Q27" s="140"/>
      <c r="R27" s="140"/>
      <c r="S27" s="140"/>
      <c r="T27" s="140"/>
      <c r="U27" s="140"/>
      <c r="V27" s="140"/>
      <c r="W27" s="140"/>
      <c r="X27" s="140"/>
      <c r="Y27" s="140"/>
    </row>
    <row r="28" spans="1:29" ht="14.5" hidden="1" x14ac:dyDescent="0.35">
      <c r="A28" s="2893"/>
      <c r="B28" s="2894"/>
      <c r="C28" s="2894"/>
      <c r="D28" s="140"/>
      <c r="E28" s="140"/>
      <c r="F28" s="140"/>
      <c r="G28" s="140"/>
      <c r="H28" s="140"/>
      <c r="I28" s="140"/>
      <c r="J28" s="140"/>
      <c r="K28" s="140"/>
      <c r="L28" s="140"/>
      <c r="M28" s="140"/>
      <c r="N28" s="140"/>
      <c r="O28" s="140"/>
      <c r="P28" s="140"/>
      <c r="Q28" s="140"/>
      <c r="R28" s="140"/>
      <c r="S28" s="140"/>
      <c r="T28" s="140"/>
      <c r="U28" s="140"/>
      <c r="V28" s="140"/>
      <c r="W28" s="140"/>
      <c r="X28" s="140"/>
      <c r="Y28" s="140"/>
    </row>
    <row r="29" spans="1:29" ht="14.5" hidden="1" x14ac:dyDescent="0.35">
      <c r="A29" s="2893"/>
      <c r="B29" s="2894"/>
      <c r="C29" s="2894"/>
      <c r="D29" s="140"/>
      <c r="E29" s="140"/>
      <c r="F29" s="140"/>
      <c r="G29" s="140"/>
      <c r="H29" s="140"/>
      <c r="I29" s="140"/>
      <c r="J29" s="140"/>
      <c r="K29" s="140"/>
      <c r="L29" s="140"/>
      <c r="M29" s="140"/>
      <c r="N29" s="140"/>
      <c r="O29" s="140"/>
      <c r="P29" s="140"/>
      <c r="Q29" s="140"/>
      <c r="R29" s="140"/>
      <c r="S29" s="140"/>
      <c r="T29" s="140"/>
      <c r="U29" s="140"/>
      <c r="V29" s="140"/>
      <c r="W29" s="140"/>
      <c r="X29" s="140"/>
      <c r="Y29" s="140"/>
    </row>
    <row r="30" spans="1:29" ht="14.5" hidden="1" x14ac:dyDescent="0.35">
      <c r="A30" s="2893"/>
      <c r="B30" s="2894"/>
      <c r="C30" s="2894"/>
      <c r="D30" s="140"/>
      <c r="E30" s="140"/>
      <c r="F30" s="140"/>
      <c r="G30" s="140"/>
      <c r="H30" s="140"/>
      <c r="I30" s="140"/>
      <c r="J30" s="140"/>
      <c r="K30" s="140"/>
      <c r="L30" s="140"/>
      <c r="M30" s="140"/>
      <c r="N30" s="140"/>
      <c r="O30" s="140"/>
      <c r="P30" s="140"/>
      <c r="Q30" s="140"/>
      <c r="R30" s="140"/>
      <c r="S30" s="140"/>
      <c r="T30" s="140"/>
      <c r="U30" s="140"/>
      <c r="V30" s="140"/>
      <c r="W30" s="140"/>
      <c r="X30" s="140"/>
      <c r="Y30" s="140"/>
    </row>
    <row r="31" spans="1:29" ht="14.5" hidden="1" x14ac:dyDescent="0.35">
      <c r="A31" s="2893"/>
      <c r="B31" s="2894"/>
      <c r="C31" s="2894"/>
      <c r="D31" s="140"/>
      <c r="E31" s="140"/>
      <c r="F31" s="140"/>
      <c r="G31" s="140"/>
      <c r="H31" s="140"/>
      <c r="I31" s="140"/>
      <c r="J31" s="140"/>
      <c r="K31" s="140"/>
      <c r="L31" s="140"/>
      <c r="M31" s="140"/>
      <c r="N31" s="140"/>
      <c r="O31" s="140"/>
      <c r="P31" s="140"/>
      <c r="Q31" s="140"/>
      <c r="R31" s="140"/>
      <c r="S31" s="140"/>
      <c r="T31" s="140"/>
      <c r="U31" s="140"/>
      <c r="V31" s="140"/>
      <c r="W31" s="140"/>
      <c r="X31" s="140"/>
      <c r="Y31" s="140"/>
    </row>
    <row r="32" spans="1:29" ht="14.5" hidden="1" x14ac:dyDescent="0.35">
      <c r="A32" s="2893"/>
      <c r="B32" s="2894"/>
      <c r="C32" s="2894"/>
      <c r="D32" s="140"/>
      <c r="E32" s="140"/>
      <c r="F32" s="140"/>
      <c r="G32" s="140"/>
      <c r="H32" s="140"/>
      <c r="I32" s="140"/>
      <c r="J32" s="140"/>
      <c r="K32" s="140"/>
      <c r="L32" s="140"/>
      <c r="M32" s="140"/>
      <c r="N32" s="140"/>
      <c r="O32" s="140"/>
      <c r="P32" s="140"/>
      <c r="Q32" s="140"/>
      <c r="R32" s="140"/>
      <c r="S32" s="140"/>
      <c r="T32" s="140"/>
      <c r="U32" s="140"/>
      <c r="V32" s="140"/>
      <c r="W32" s="140"/>
      <c r="X32" s="140"/>
      <c r="Y32" s="140"/>
    </row>
    <row r="33" spans="1:25" ht="14.5" hidden="1" x14ac:dyDescent="0.35">
      <c r="A33" s="2893"/>
      <c r="B33" s="2894"/>
      <c r="C33" s="2894"/>
      <c r="D33" s="140"/>
      <c r="E33" s="140"/>
      <c r="F33" s="140"/>
      <c r="G33" s="140"/>
      <c r="H33" s="140"/>
      <c r="I33" s="140"/>
      <c r="J33" s="140"/>
      <c r="K33" s="140"/>
      <c r="L33" s="140"/>
      <c r="M33" s="140"/>
      <c r="N33" s="140"/>
      <c r="O33" s="140"/>
      <c r="P33" s="140"/>
      <c r="Q33" s="140"/>
      <c r="R33" s="140"/>
      <c r="S33" s="140"/>
      <c r="T33" s="140"/>
      <c r="U33" s="140"/>
      <c r="V33" s="140"/>
      <c r="W33" s="140"/>
      <c r="X33" s="140"/>
      <c r="Y33" s="140"/>
    </row>
    <row r="34" spans="1:25" ht="14.5" hidden="1" x14ac:dyDescent="0.35">
      <c r="A34" s="2893"/>
      <c r="B34" s="2894"/>
      <c r="C34" s="2894"/>
      <c r="D34" s="140"/>
      <c r="E34" s="140"/>
      <c r="F34" s="140"/>
      <c r="G34" s="140"/>
      <c r="H34" s="140"/>
      <c r="I34" s="140"/>
      <c r="J34" s="140"/>
      <c r="K34" s="140"/>
      <c r="L34" s="140"/>
      <c r="M34" s="140"/>
      <c r="N34" s="140"/>
      <c r="O34" s="140"/>
      <c r="P34" s="140"/>
      <c r="Q34" s="4588"/>
      <c r="R34" s="140"/>
      <c r="S34" s="140"/>
      <c r="T34" s="140"/>
      <c r="U34" s="140"/>
      <c r="V34" s="140"/>
      <c r="W34" s="140"/>
      <c r="X34" s="140"/>
      <c r="Y34" s="140"/>
    </row>
    <row r="35" spans="1:25" ht="14.5" hidden="1" x14ac:dyDescent="0.35">
      <c r="A35" s="2893"/>
      <c r="B35" s="2894"/>
      <c r="C35" s="2894"/>
      <c r="D35" s="587"/>
      <c r="E35" s="587"/>
      <c r="F35" s="4873" t="s">
        <v>1119</v>
      </c>
      <c r="G35" s="4873"/>
      <c r="H35" s="4873"/>
      <c r="I35" s="4873"/>
      <c r="J35" s="4874"/>
      <c r="K35" s="4588" t="s">
        <v>1120</v>
      </c>
      <c r="L35" s="4588"/>
      <c r="M35" s="4588"/>
      <c r="N35" s="4588"/>
      <c r="O35" s="4588"/>
      <c r="P35" s="4588"/>
      <c r="Q35" s="168" t="s">
        <v>1121</v>
      </c>
      <c r="R35" s="140"/>
      <c r="S35" s="140"/>
      <c r="T35" s="140"/>
      <c r="U35" s="140"/>
      <c r="V35" s="140"/>
      <c r="W35" s="140"/>
      <c r="X35" s="140"/>
      <c r="Y35" s="140"/>
    </row>
    <row r="36" spans="1:25" ht="21.5" hidden="1" x14ac:dyDescent="0.35">
      <c r="A36" s="2893"/>
      <c r="B36" s="2894"/>
      <c r="C36" s="2894"/>
      <c r="D36" s="416" t="s">
        <v>1122</v>
      </c>
      <c r="E36" s="416"/>
      <c r="F36" s="168" t="s">
        <v>1123</v>
      </c>
      <c r="G36" s="168" t="s">
        <v>1124</v>
      </c>
      <c r="H36" s="168" t="s">
        <v>1125</v>
      </c>
      <c r="I36" s="168"/>
      <c r="J36" s="2895" t="s">
        <v>1121</v>
      </c>
      <c r="K36" s="168" t="s">
        <v>1123</v>
      </c>
      <c r="L36" s="168"/>
      <c r="M36" s="168" t="s">
        <v>1124</v>
      </c>
      <c r="N36" s="168"/>
      <c r="O36" s="168"/>
      <c r="P36" s="168" t="s">
        <v>1125</v>
      </c>
      <c r="Q36" s="1264">
        <v>87</v>
      </c>
      <c r="R36" s="140"/>
      <c r="S36" s="140"/>
      <c r="T36" s="140"/>
      <c r="U36" s="140"/>
      <c r="V36" s="140"/>
      <c r="W36" s="140"/>
      <c r="X36" s="140"/>
      <c r="Y36" s="140"/>
    </row>
    <row r="37" spans="1:25" ht="14.5" hidden="1" x14ac:dyDescent="0.35">
      <c r="A37" s="2893"/>
      <c r="B37" s="2894"/>
      <c r="C37" s="2894"/>
      <c r="D37" s="1632" t="s">
        <v>402</v>
      </c>
      <c r="E37" s="1632"/>
      <c r="F37" s="756">
        <v>5</v>
      </c>
      <c r="G37" s="2896">
        <v>10</v>
      </c>
      <c r="H37" s="168">
        <v>9</v>
      </c>
      <c r="I37" s="168"/>
      <c r="J37" s="2895">
        <v>76</v>
      </c>
      <c r="K37" s="107">
        <v>2</v>
      </c>
      <c r="L37" s="107"/>
      <c r="M37" s="107">
        <v>4</v>
      </c>
      <c r="N37" s="107"/>
      <c r="O37" s="107"/>
      <c r="P37" s="11">
        <v>6</v>
      </c>
      <c r="Q37" s="1264">
        <v>75</v>
      </c>
      <c r="R37" s="140"/>
      <c r="S37" s="140"/>
      <c r="T37" s="140"/>
      <c r="U37" s="140"/>
      <c r="V37" s="140"/>
      <c r="W37" s="140"/>
      <c r="X37" s="140"/>
      <c r="Y37" s="140"/>
    </row>
    <row r="38" spans="1:25" ht="14.5" hidden="1" x14ac:dyDescent="0.35">
      <c r="A38" s="2893"/>
      <c r="B38" s="2894"/>
      <c r="C38" s="2894"/>
      <c r="D38" s="1632" t="s">
        <v>404</v>
      </c>
      <c r="E38" s="1632"/>
      <c r="F38" s="756">
        <v>16</v>
      </c>
      <c r="G38" s="2896">
        <v>10</v>
      </c>
      <c r="H38" s="168">
        <v>8</v>
      </c>
      <c r="I38" s="168"/>
      <c r="J38" s="2895">
        <v>66</v>
      </c>
      <c r="K38" s="107">
        <v>7</v>
      </c>
      <c r="L38" s="107"/>
      <c r="M38" s="107">
        <v>10</v>
      </c>
      <c r="N38" s="107"/>
      <c r="O38" s="107"/>
      <c r="P38" s="11">
        <v>8</v>
      </c>
      <c r="Q38" s="1264">
        <v>68</v>
      </c>
      <c r="R38" s="140"/>
      <c r="S38" s="140"/>
      <c r="T38" s="140"/>
      <c r="U38" s="140"/>
      <c r="V38" s="140"/>
      <c r="W38" s="140"/>
      <c r="X38" s="140"/>
      <c r="Y38" s="140"/>
    </row>
    <row r="39" spans="1:25" ht="14.5" hidden="1" x14ac:dyDescent="0.35">
      <c r="A39" s="2893"/>
      <c r="B39" s="2894"/>
      <c r="C39" s="2894"/>
      <c r="D39" s="1632" t="s">
        <v>407</v>
      </c>
      <c r="E39" s="1632"/>
      <c r="F39" s="756">
        <v>27</v>
      </c>
      <c r="G39" s="2896">
        <v>23</v>
      </c>
      <c r="H39" s="168">
        <v>13</v>
      </c>
      <c r="I39" s="168"/>
      <c r="J39" s="2895">
        <v>36</v>
      </c>
      <c r="K39" s="107">
        <v>7</v>
      </c>
      <c r="L39" s="107"/>
      <c r="M39" s="107">
        <v>14</v>
      </c>
      <c r="N39" s="107"/>
      <c r="O39" s="107"/>
      <c r="P39" s="11">
        <v>11</v>
      </c>
      <c r="Q39" s="1264">
        <v>82</v>
      </c>
      <c r="R39" s="140"/>
      <c r="S39" s="140"/>
      <c r="T39" s="140"/>
      <c r="U39" s="140"/>
      <c r="V39" s="140"/>
      <c r="W39" s="140"/>
      <c r="X39" s="140"/>
      <c r="Y39" s="140"/>
    </row>
    <row r="40" spans="1:25" ht="14.5" hidden="1" x14ac:dyDescent="0.35">
      <c r="A40" s="2893"/>
      <c r="B40" s="2894"/>
      <c r="C40" s="2894"/>
      <c r="D40" s="1632" t="s">
        <v>405</v>
      </c>
      <c r="E40" s="1632"/>
      <c r="F40" s="756">
        <v>15</v>
      </c>
      <c r="G40" s="2896">
        <v>10</v>
      </c>
      <c r="H40" s="168">
        <v>7</v>
      </c>
      <c r="I40" s="168"/>
      <c r="J40" s="2895">
        <v>68</v>
      </c>
      <c r="K40" s="107">
        <v>4</v>
      </c>
      <c r="L40" s="107"/>
      <c r="M40" s="107">
        <v>8</v>
      </c>
      <c r="N40" s="107"/>
      <c r="O40" s="107"/>
      <c r="P40" s="11">
        <v>7</v>
      </c>
      <c r="Q40" s="1264">
        <v>95</v>
      </c>
      <c r="R40" s="140"/>
      <c r="S40" s="140"/>
      <c r="T40" s="140"/>
      <c r="U40" s="140"/>
      <c r="V40" s="140"/>
      <c r="W40" s="140"/>
      <c r="X40" s="140"/>
      <c r="Y40" s="140"/>
    </row>
    <row r="41" spans="1:25" ht="14.5" hidden="1" x14ac:dyDescent="0.35">
      <c r="A41" s="2893"/>
      <c r="B41" s="2894"/>
      <c r="C41" s="2894"/>
      <c r="D41" s="1632" t="s">
        <v>409</v>
      </c>
      <c r="E41" s="1632"/>
      <c r="F41" s="756">
        <v>3</v>
      </c>
      <c r="G41" s="2896">
        <v>6</v>
      </c>
      <c r="H41" s="168">
        <v>6</v>
      </c>
      <c r="I41" s="168"/>
      <c r="J41" s="2895">
        <v>86</v>
      </c>
      <c r="K41" s="107">
        <v>0</v>
      </c>
      <c r="L41" s="107"/>
      <c r="M41" s="107">
        <v>2</v>
      </c>
      <c r="N41" s="107"/>
      <c r="O41" s="107"/>
      <c r="P41" s="11">
        <v>3</v>
      </c>
      <c r="Q41" s="1264">
        <v>86</v>
      </c>
      <c r="R41" s="140"/>
      <c r="S41" s="140"/>
      <c r="T41" s="140"/>
      <c r="U41" s="140"/>
      <c r="V41" s="140"/>
      <c r="W41" s="140"/>
      <c r="X41" s="140"/>
      <c r="Y41" s="140"/>
    </row>
    <row r="42" spans="1:25" ht="14.5" hidden="1" x14ac:dyDescent="0.35">
      <c r="A42" s="2893"/>
      <c r="B42" s="2894"/>
      <c r="C42" s="2894"/>
      <c r="D42" s="1632" t="s">
        <v>408</v>
      </c>
      <c r="E42" s="1632"/>
      <c r="F42" s="756">
        <v>9</v>
      </c>
      <c r="G42" s="2896">
        <v>13</v>
      </c>
      <c r="H42" s="168">
        <v>11</v>
      </c>
      <c r="I42" s="168"/>
      <c r="J42" s="2895">
        <v>67</v>
      </c>
      <c r="K42" s="107">
        <v>2</v>
      </c>
      <c r="L42" s="107"/>
      <c r="M42" s="107">
        <v>6</v>
      </c>
      <c r="N42" s="107"/>
      <c r="O42" s="107"/>
      <c r="P42" s="11">
        <v>7</v>
      </c>
      <c r="Q42" s="1264">
        <v>88</v>
      </c>
      <c r="R42" s="140"/>
      <c r="S42" s="140"/>
      <c r="T42" s="140"/>
      <c r="U42" s="140"/>
      <c r="V42" s="140"/>
      <c r="W42" s="140"/>
      <c r="X42" s="140"/>
      <c r="Y42" s="140"/>
    </row>
    <row r="43" spans="1:25" ht="14.5" hidden="1" x14ac:dyDescent="0.35">
      <c r="A43" s="2893"/>
      <c r="B43" s="2894"/>
      <c r="C43" s="2894"/>
      <c r="D43" s="1632" t="s">
        <v>406</v>
      </c>
      <c r="E43" s="1632"/>
      <c r="F43" s="756">
        <v>7</v>
      </c>
      <c r="G43" s="2896">
        <v>14</v>
      </c>
      <c r="H43" s="168">
        <v>11</v>
      </c>
      <c r="I43" s="168"/>
      <c r="J43" s="2895">
        <v>67</v>
      </c>
      <c r="K43" s="107">
        <v>1</v>
      </c>
      <c r="L43" s="107"/>
      <c r="M43" s="107">
        <v>5</v>
      </c>
      <c r="N43" s="107"/>
      <c r="O43" s="107"/>
      <c r="P43" s="11">
        <v>6</v>
      </c>
      <c r="Q43" s="1264">
        <v>70</v>
      </c>
      <c r="R43" s="140"/>
      <c r="S43" s="140"/>
      <c r="T43" s="140"/>
      <c r="U43" s="140"/>
      <c r="V43" s="140"/>
      <c r="W43" s="140"/>
      <c r="X43" s="140"/>
      <c r="Y43" s="140"/>
    </row>
    <row r="44" spans="1:25" ht="14.5" hidden="1" x14ac:dyDescent="0.35">
      <c r="A44" s="2893"/>
      <c r="B44" s="2894"/>
      <c r="C44" s="2894"/>
      <c r="D44" s="1632" t="s">
        <v>403</v>
      </c>
      <c r="E44" s="1632"/>
      <c r="F44" s="756">
        <v>29</v>
      </c>
      <c r="G44" s="2896">
        <v>27</v>
      </c>
      <c r="H44" s="168">
        <v>11</v>
      </c>
      <c r="I44" s="168"/>
      <c r="J44" s="2895">
        <v>33</v>
      </c>
      <c r="K44" s="107">
        <v>7</v>
      </c>
      <c r="L44" s="107"/>
      <c r="M44" s="107">
        <v>12</v>
      </c>
      <c r="N44" s="107"/>
      <c r="O44" s="107"/>
      <c r="P44" s="11">
        <v>10</v>
      </c>
      <c r="Q44" s="2897">
        <v>55</v>
      </c>
      <c r="R44" s="140"/>
      <c r="S44" s="140"/>
      <c r="T44" s="140"/>
      <c r="U44" s="140"/>
      <c r="V44" s="140"/>
      <c r="W44" s="140"/>
      <c r="X44" s="140"/>
      <c r="Y44" s="140"/>
    </row>
    <row r="45" spans="1:25" ht="14.5" hidden="1" x14ac:dyDescent="0.35">
      <c r="A45" s="2893"/>
      <c r="B45" s="2894"/>
      <c r="C45" s="2894"/>
      <c r="D45" s="2898" t="s">
        <v>401</v>
      </c>
      <c r="E45" s="2898"/>
      <c r="F45" s="2899">
        <v>38</v>
      </c>
      <c r="G45" s="2900">
        <v>25</v>
      </c>
      <c r="H45" s="2899">
        <v>10</v>
      </c>
      <c r="I45" s="2899"/>
      <c r="J45" s="2901">
        <v>28</v>
      </c>
      <c r="K45" s="2897">
        <v>12</v>
      </c>
      <c r="L45" s="2897"/>
      <c r="M45" s="2897">
        <v>19</v>
      </c>
      <c r="N45" s="2897"/>
      <c r="O45" s="2897"/>
      <c r="P45" s="2897">
        <v>14</v>
      </c>
      <c r="Q45" s="140"/>
      <c r="R45" s="140"/>
      <c r="S45" s="140"/>
      <c r="T45" s="140"/>
      <c r="U45" s="140"/>
      <c r="V45" s="140"/>
      <c r="W45" s="140"/>
      <c r="X45" s="140"/>
      <c r="Y45" s="140"/>
    </row>
    <row r="46" spans="1:25" ht="14.5" hidden="1" x14ac:dyDescent="0.35">
      <c r="A46" s="2893"/>
      <c r="B46" s="2894"/>
      <c r="C46" s="2894"/>
      <c r="D46" s="140"/>
      <c r="E46" s="140"/>
      <c r="F46" s="140"/>
      <c r="G46" s="140"/>
      <c r="H46" s="140"/>
      <c r="I46" s="140"/>
      <c r="J46" s="140"/>
      <c r="K46" s="140"/>
      <c r="L46" s="140"/>
      <c r="M46" s="140"/>
      <c r="N46" s="140"/>
      <c r="O46" s="140"/>
      <c r="P46" s="140"/>
      <c r="Q46" s="140"/>
      <c r="R46" s="140"/>
      <c r="S46" s="140"/>
      <c r="T46" s="140"/>
      <c r="U46" s="140"/>
      <c r="V46" s="140"/>
      <c r="W46" s="140"/>
      <c r="X46" s="140"/>
      <c r="Y46" s="140"/>
    </row>
    <row r="47" spans="1:25" ht="14.5" hidden="1" x14ac:dyDescent="0.35">
      <c r="A47" s="2893"/>
      <c r="B47" s="2894"/>
      <c r="C47" s="2894"/>
      <c r="D47" s="140"/>
      <c r="E47" s="140"/>
      <c r="F47" s="140"/>
      <c r="G47" s="140"/>
      <c r="H47" s="140"/>
      <c r="I47" s="140"/>
      <c r="J47" s="140"/>
      <c r="K47" s="140"/>
      <c r="L47" s="140"/>
      <c r="M47" s="140"/>
      <c r="N47" s="140"/>
      <c r="O47" s="140"/>
      <c r="P47" s="140"/>
      <c r="Q47" s="140"/>
      <c r="R47" s="140"/>
      <c r="S47" s="140"/>
      <c r="T47" s="140"/>
      <c r="U47" s="140"/>
      <c r="V47" s="140"/>
      <c r="W47" s="140"/>
      <c r="X47" s="140"/>
      <c r="Y47" s="140"/>
    </row>
    <row r="48" spans="1:25" ht="14.5" hidden="1" x14ac:dyDescent="0.35">
      <c r="A48" s="2893"/>
      <c r="B48" s="2894"/>
      <c r="C48" s="2894"/>
      <c r="D48" s="140"/>
      <c r="E48" s="140"/>
      <c r="F48" s="140"/>
      <c r="G48" s="140"/>
      <c r="H48" s="140"/>
      <c r="I48" s="140"/>
      <c r="J48" s="140"/>
      <c r="K48" s="140"/>
      <c r="L48" s="140"/>
      <c r="M48" s="140"/>
      <c r="N48" s="140"/>
      <c r="O48" s="140"/>
      <c r="P48" s="140"/>
      <c r="Q48" s="90"/>
      <c r="R48" s="140"/>
      <c r="S48" s="140"/>
      <c r="T48" s="140"/>
      <c r="U48" s="140"/>
      <c r="V48" s="140"/>
      <c r="W48" s="140"/>
      <c r="X48" s="140"/>
      <c r="Y48" s="140"/>
    </row>
    <row r="49" spans="1:25" ht="14.5" hidden="1" x14ac:dyDescent="0.35">
      <c r="A49" s="2893"/>
      <c r="B49" s="2894"/>
      <c r="C49" s="2894"/>
      <c r="D49" s="90" t="s">
        <v>690</v>
      </c>
      <c r="E49" s="89"/>
      <c r="F49" s="89"/>
      <c r="G49" s="89" t="s">
        <v>1126</v>
      </c>
      <c r="H49" s="89"/>
      <c r="I49" s="89"/>
      <c r="J49" s="89"/>
      <c r="K49" s="90"/>
      <c r="L49" s="90"/>
      <c r="M49" s="90"/>
      <c r="N49" s="90"/>
      <c r="O49" s="90"/>
      <c r="P49" s="90"/>
      <c r="Q49" s="4588"/>
      <c r="R49" s="140"/>
      <c r="S49" s="140"/>
      <c r="T49" s="140"/>
      <c r="U49" s="140"/>
      <c r="V49" s="140"/>
      <c r="W49" s="140"/>
      <c r="X49" s="140"/>
      <c r="Y49" s="140"/>
    </row>
    <row r="50" spans="1:25" ht="14.5" hidden="1" x14ac:dyDescent="0.35">
      <c r="A50" s="2893"/>
      <c r="B50" s="2894"/>
      <c r="C50" s="2894"/>
      <c r="D50" s="587"/>
      <c r="E50" s="587"/>
      <c r="F50" s="4873" t="s">
        <v>1119</v>
      </c>
      <c r="G50" s="4873"/>
      <c r="H50" s="4873"/>
      <c r="I50" s="4873"/>
      <c r="J50" s="4874"/>
      <c r="K50" s="4588" t="s">
        <v>1120</v>
      </c>
      <c r="L50" s="4588"/>
      <c r="M50" s="4588"/>
      <c r="N50" s="4588"/>
      <c r="O50" s="4588"/>
      <c r="P50" s="4588"/>
      <c r="Q50" s="168" t="s">
        <v>1121</v>
      </c>
      <c r="R50" s="140"/>
      <c r="S50" s="140"/>
      <c r="T50" s="140"/>
      <c r="U50" s="140"/>
      <c r="V50" s="140"/>
      <c r="W50" s="140"/>
      <c r="X50" s="140"/>
      <c r="Y50" s="140"/>
    </row>
    <row r="51" spans="1:25" ht="21.5" hidden="1" x14ac:dyDescent="0.35">
      <c r="A51" s="2893"/>
      <c r="B51" s="2894"/>
      <c r="C51" s="2894"/>
      <c r="D51" s="416" t="s">
        <v>1122</v>
      </c>
      <c r="E51" s="416"/>
      <c r="F51" s="168" t="s">
        <v>1123</v>
      </c>
      <c r="G51" s="168" t="s">
        <v>1124</v>
      </c>
      <c r="H51" s="168" t="s">
        <v>1125</v>
      </c>
      <c r="I51" s="168"/>
      <c r="J51" s="2895" t="s">
        <v>1121</v>
      </c>
      <c r="K51" s="168" t="s">
        <v>1123</v>
      </c>
      <c r="L51" s="168"/>
      <c r="M51" s="168" t="s">
        <v>1124</v>
      </c>
      <c r="N51" s="168"/>
      <c r="O51" s="168"/>
      <c r="P51" s="168" t="s">
        <v>1125</v>
      </c>
      <c r="Q51" s="1264">
        <v>87</v>
      </c>
      <c r="R51" s="140"/>
      <c r="S51" s="140"/>
      <c r="T51" s="140"/>
      <c r="U51" s="140"/>
      <c r="V51" s="140"/>
      <c r="W51" s="140"/>
      <c r="X51" s="140"/>
      <c r="Y51" s="140"/>
    </row>
    <row r="52" spans="1:25" ht="14.5" hidden="1" x14ac:dyDescent="0.35">
      <c r="A52" s="2893"/>
      <c r="B52" s="2894"/>
      <c r="C52" s="2894"/>
      <c r="D52" s="1632" t="s">
        <v>402</v>
      </c>
      <c r="E52" s="1632"/>
      <c r="F52" s="756">
        <v>5</v>
      </c>
      <c r="G52" s="2896">
        <v>10</v>
      </c>
      <c r="H52" s="168">
        <v>9</v>
      </c>
      <c r="I52" s="168"/>
      <c r="J52" s="2895">
        <v>76</v>
      </c>
      <c r="K52" s="107">
        <v>2</v>
      </c>
      <c r="L52" s="107"/>
      <c r="M52" s="107">
        <v>4</v>
      </c>
      <c r="N52" s="107"/>
      <c r="O52" s="107"/>
      <c r="P52" s="11">
        <v>6</v>
      </c>
      <c r="Q52" s="1264">
        <v>75</v>
      </c>
      <c r="R52" s="140"/>
      <c r="S52" s="140"/>
      <c r="T52" s="140"/>
      <c r="U52" s="140"/>
      <c r="V52" s="140"/>
      <c r="W52" s="140"/>
      <c r="X52" s="140"/>
      <c r="Y52" s="140"/>
    </row>
    <row r="53" spans="1:25" ht="14.5" hidden="1" x14ac:dyDescent="0.35">
      <c r="A53" s="2893"/>
      <c r="B53" s="2894"/>
      <c r="C53" s="2894"/>
      <c r="D53" s="1632" t="s">
        <v>404</v>
      </c>
      <c r="E53" s="1632"/>
      <c r="F53" s="756">
        <v>16</v>
      </c>
      <c r="G53" s="2896">
        <v>10</v>
      </c>
      <c r="H53" s="168">
        <v>8</v>
      </c>
      <c r="I53" s="168"/>
      <c r="J53" s="2895">
        <v>66</v>
      </c>
      <c r="K53" s="107">
        <v>7</v>
      </c>
      <c r="L53" s="107"/>
      <c r="M53" s="107">
        <v>10</v>
      </c>
      <c r="N53" s="107"/>
      <c r="O53" s="107"/>
      <c r="P53" s="11">
        <v>8</v>
      </c>
      <c r="Q53" s="1264">
        <v>68</v>
      </c>
      <c r="R53" s="140"/>
      <c r="S53" s="140"/>
      <c r="T53" s="140"/>
      <c r="U53" s="140"/>
      <c r="V53" s="140"/>
      <c r="W53" s="140"/>
      <c r="X53" s="140"/>
      <c r="Y53" s="140"/>
    </row>
    <row r="54" spans="1:25" ht="14.5" hidden="1" x14ac:dyDescent="0.35">
      <c r="A54" s="2893"/>
      <c r="B54" s="2894"/>
      <c r="C54" s="2894"/>
      <c r="D54" s="1632" t="s">
        <v>407</v>
      </c>
      <c r="E54" s="1632"/>
      <c r="F54" s="756">
        <v>27</v>
      </c>
      <c r="G54" s="2896">
        <v>23</v>
      </c>
      <c r="H54" s="168">
        <v>13</v>
      </c>
      <c r="I54" s="168"/>
      <c r="J54" s="2895">
        <v>36</v>
      </c>
      <c r="K54" s="107">
        <v>7</v>
      </c>
      <c r="L54" s="107"/>
      <c r="M54" s="107">
        <v>14</v>
      </c>
      <c r="N54" s="107"/>
      <c r="O54" s="107"/>
      <c r="P54" s="11">
        <v>11</v>
      </c>
      <c r="Q54" s="1264">
        <v>82</v>
      </c>
      <c r="R54" s="140"/>
      <c r="S54" s="140"/>
      <c r="T54" s="140"/>
      <c r="U54" s="140"/>
      <c r="V54" s="140"/>
      <c r="W54" s="140"/>
      <c r="X54" s="140"/>
      <c r="Y54" s="140"/>
    </row>
    <row r="55" spans="1:25" ht="14.5" hidden="1" x14ac:dyDescent="0.35">
      <c r="A55" s="2893"/>
      <c r="B55" s="2894"/>
      <c r="C55" s="2894"/>
      <c r="D55" s="1632" t="s">
        <v>405</v>
      </c>
      <c r="E55" s="1632"/>
      <c r="F55" s="756">
        <v>15</v>
      </c>
      <c r="G55" s="2896">
        <v>10</v>
      </c>
      <c r="H55" s="168">
        <v>7</v>
      </c>
      <c r="I55" s="168"/>
      <c r="J55" s="2895">
        <v>68</v>
      </c>
      <c r="K55" s="107">
        <v>4</v>
      </c>
      <c r="L55" s="107"/>
      <c r="M55" s="107">
        <v>8</v>
      </c>
      <c r="N55" s="107"/>
      <c r="O55" s="107"/>
      <c r="P55" s="11">
        <v>7</v>
      </c>
      <c r="Q55" s="1264">
        <v>95</v>
      </c>
      <c r="R55" s="140"/>
      <c r="S55" s="140"/>
      <c r="T55" s="140"/>
      <c r="U55" s="140"/>
      <c r="V55" s="140"/>
      <c r="W55" s="140"/>
      <c r="X55" s="140"/>
      <c r="Y55" s="140"/>
    </row>
    <row r="56" spans="1:25" ht="14.5" hidden="1" x14ac:dyDescent="0.35">
      <c r="A56" s="2893"/>
      <c r="B56" s="2894"/>
      <c r="C56" s="2894"/>
      <c r="D56" s="1632" t="s">
        <v>409</v>
      </c>
      <c r="E56" s="1632"/>
      <c r="F56" s="756">
        <v>3</v>
      </c>
      <c r="G56" s="2896">
        <v>6</v>
      </c>
      <c r="H56" s="168">
        <v>6</v>
      </c>
      <c r="I56" s="168"/>
      <c r="J56" s="2895">
        <v>86</v>
      </c>
      <c r="K56" s="107">
        <v>0</v>
      </c>
      <c r="L56" s="107"/>
      <c r="M56" s="107">
        <v>2</v>
      </c>
      <c r="N56" s="107"/>
      <c r="O56" s="107"/>
      <c r="P56" s="11">
        <v>3</v>
      </c>
      <c r="Q56" s="1264">
        <v>86</v>
      </c>
      <c r="R56" s="140"/>
      <c r="S56" s="140"/>
      <c r="T56" s="140"/>
      <c r="U56" s="140"/>
      <c r="V56" s="140"/>
      <c r="W56" s="140"/>
      <c r="X56" s="140"/>
      <c r="Y56" s="140"/>
    </row>
    <row r="57" spans="1:25" ht="14.5" hidden="1" x14ac:dyDescent="0.35">
      <c r="A57" s="2893"/>
      <c r="B57" s="2894"/>
      <c r="C57" s="2894"/>
      <c r="D57" s="1632" t="s">
        <v>408</v>
      </c>
      <c r="E57" s="1632"/>
      <c r="F57" s="756">
        <v>9</v>
      </c>
      <c r="G57" s="2896">
        <v>13</v>
      </c>
      <c r="H57" s="168">
        <v>11</v>
      </c>
      <c r="I57" s="168"/>
      <c r="J57" s="2895">
        <v>67</v>
      </c>
      <c r="K57" s="107">
        <v>2</v>
      </c>
      <c r="L57" s="107"/>
      <c r="M57" s="107">
        <v>6</v>
      </c>
      <c r="N57" s="107"/>
      <c r="O57" s="107"/>
      <c r="P57" s="11">
        <v>7</v>
      </c>
      <c r="Q57" s="1264">
        <v>88</v>
      </c>
      <c r="R57" s="140"/>
      <c r="S57" s="140"/>
      <c r="T57" s="140"/>
      <c r="U57" s="140"/>
      <c r="V57" s="140"/>
      <c r="W57" s="140"/>
      <c r="X57" s="140"/>
      <c r="Y57" s="140"/>
    </row>
    <row r="58" spans="1:25" ht="14.5" hidden="1" x14ac:dyDescent="0.35">
      <c r="A58" s="2893"/>
      <c r="B58" s="2894"/>
      <c r="C58" s="2894"/>
      <c r="D58" s="1632" t="s">
        <v>406</v>
      </c>
      <c r="E58" s="1632"/>
      <c r="F58" s="756">
        <v>7</v>
      </c>
      <c r="G58" s="2896">
        <v>14</v>
      </c>
      <c r="H58" s="168">
        <v>11</v>
      </c>
      <c r="I58" s="168"/>
      <c r="J58" s="2895">
        <v>67</v>
      </c>
      <c r="K58" s="107">
        <v>1</v>
      </c>
      <c r="L58" s="107"/>
      <c r="M58" s="107">
        <v>5</v>
      </c>
      <c r="N58" s="107"/>
      <c r="O58" s="107"/>
      <c r="P58" s="11">
        <v>6</v>
      </c>
      <c r="Q58" s="1264">
        <v>70</v>
      </c>
      <c r="R58" s="140"/>
      <c r="S58" s="140"/>
      <c r="T58" s="140"/>
      <c r="U58" s="140"/>
      <c r="V58" s="140"/>
      <c r="W58" s="140"/>
      <c r="X58" s="140"/>
      <c r="Y58" s="140"/>
    </row>
    <row r="59" spans="1:25" ht="14.5" hidden="1" x14ac:dyDescent="0.35">
      <c r="A59" s="2893"/>
      <c r="B59" s="2894"/>
      <c r="C59" s="2894"/>
      <c r="D59" s="1632" t="s">
        <v>403</v>
      </c>
      <c r="E59" s="1632"/>
      <c r="F59" s="756">
        <v>29</v>
      </c>
      <c r="G59" s="2896">
        <v>27</v>
      </c>
      <c r="H59" s="168">
        <v>11</v>
      </c>
      <c r="I59" s="168"/>
      <c r="J59" s="2895">
        <v>33</v>
      </c>
      <c r="K59" s="107">
        <v>7</v>
      </c>
      <c r="L59" s="107"/>
      <c r="M59" s="107">
        <v>12</v>
      </c>
      <c r="N59" s="107"/>
      <c r="O59" s="107"/>
      <c r="P59" s="11">
        <v>10</v>
      </c>
      <c r="Q59" s="2897">
        <v>55</v>
      </c>
      <c r="R59" s="140"/>
      <c r="S59" s="140"/>
      <c r="T59" s="140"/>
      <c r="U59" s="140"/>
      <c r="V59" s="140"/>
      <c r="W59" s="140"/>
      <c r="X59" s="140"/>
      <c r="Y59" s="140"/>
    </row>
    <row r="60" spans="1:25" ht="14.5" hidden="1" x14ac:dyDescent="0.35">
      <c r="A60" s="2893"/>
      <c r="B60" s="2894"/>
      <c r="C60" s="2894"/>
      <c r="D60" s="2898" t="s">
        <v>401</v>
      </c>
      <c r="E60" s="2898"/>
      <c r="F60" s="2899">
        <v>38</v>
      </c>
      <c r="G60" s="2900">
        <v>25</v>
      </c>
      <c r="H60" s="2899">
        <v>10</v>
      </c>
      <c r="I60" s="2899"/>
      <c r="J60" s="2901">
        <v>28</v>
      </c>
      <c r="K60" s="2897">
        <v>12</v>
      </c>
      <c r="L60" s="2897"/>
      <c r="M60" s="2897">
        <v>19</v>
      </c>
      <c r="N60" s="2897"/>
      <c r="O60" s="2897"/>
      <c r="P60" s="2897">
        <v>14</v>
      </c>
      <c r="Q60" s="140"/>
      <c r="R60" s="140"/>
      <c r="S60" s="140"/>
      <c r="T60" s="140"/>
      <c r="U60" s="140"/>
      <c r="V60" s="140"/>
      <c r="W60" s="140"/>
      <c r="X60" s="140"/>
      <c r="Y60" s="140"/>
    </row>
    <row r="61" spans="1:25" ht="14.5" hidden="1" x14ac:dyDescent="0.35">
      <c r="A61" s="2893"/>
      <c r="B61" s="2894"/>
      <c r="C61" s="2894"/>
      <c r="D61" s="140"/>
      <c r="E61" s="140"/>
      <c r="F61" s="140"/>
      <c r="G61" s="140"/>
      <c r="H61" s="140"/>
      <c r="I61" s="140"/>
      <c r="J61" s="140"/>
      <c r="K61" s="140"/>
      <c r="L61" s="140"/>
      <c r="M61" s="140"/>
      <c r="N61" s="140"/>
      <c r="O61" s="140"/>
      <c r="P61" s="140"/>
      <c r="Q61" s="140"/>
      <c r="R61" s="140"/>
      <c r="S61" s="140"/>
      <c r="T61" s="140"/>
      <c r="U61" s="140"/>
      <c r="V61" s="140"/>
      <c r="W61" s="140"/>
      <c r="X61" s="140"/>
      <c r="Y61" s="140"/>
    </row>
    <row r="62" spans="1:25" ht="14.5" hidden="1" x14ac:dyDescent="0.35">
      <c r="A62" s="2893"/>
      <c r="B62" s="2894"/>
      <c r="C62" s="2894"/>
      <c r="D62" s="140"/>
      <c r="E62" s="140"/>
      <c r="F62" s="140"/>
      <c r="G62" s="140"/>
      <c r="H62" s="140"/>
      <c r="I62" s="140"/>
      <c r="J62" s="140"/>
      <c r="K62" s="140"/>
      <c r="L62" s="140"/>
      <c r="M62" s="140"/>
      <c r="N62" s="140"/>
      <c r="O62" s="140"/>
      <c r="P62" s="140"/>
      <c r="Q62" s="140"/>
      <c r="R62" s="140"/>
      <c r="S62" s="140"/>
      <c r="T62" s="140"/>
      <c r="U62" s="140"/>
      <c r="V62" s="140"/>
      <c r="W62" s="140"/>
      <c r="X62" s="140"/>
      <c r="Y62" s="140"/>
    </row>
    <row r="63" spans="1:25" ht="14.5" hidden="1" x14ac:dyDescent="0.35">
      <c r="A63" s="2893"/>
      <c r="B63" s="2894"/>
      <c r="C63" s="2894"/>
      <c r="D63" s="140"/>
      <c r="E63" s="140"/>
      <c r="F63" s="140"/>
      <c r="G63" s="140"/>
      <c r="H63" s="140"/>
      <c r="I63" s="140"/>
      <c r="J63" s="140"/>
      <c r="K63" s="140"/>
      <c r="L63" s="140"/>
      <c r="M63" s="140"/>
      <c r="N63" s="140"/>
      <c r="O63" s="140"/>
      <c r="P63" s="140"/>
      <c r="Q63" s="140"/>
      <c r="R63" s="140"/>
      <c r="S63" s="140"/>
      <c r="T63" s="140"/>
      <c r="U63" s="140"/>
      <c r="V63" s="140"/>
      <c r="W63" s="140"/>
      <c r="X63" s="140"/>
      <c r="Y63" s="140"/>
    </row>
    <row r="64" spans="1:25" ht="14.5" hidden="1" x14ac:dyDescent="0.35">
      <c r="A64" s="2893"/>
      <c r="B64" s="2894"/>
      <c r="C64" s="2894"/>
      <c r="D64" s="140"/>
      <c r="E64" s="140"/>
      <c r="F64" s="140"/>
      <c r="G64" s="140"/>
      <c r="H64" s="140"/>
      <c r="I64" s="140"/>
      <c r="J64" s="140"/>
      <c r="K64" s="140"/>
      <c r="L64" s="140"/>
      <c r="M64" s="140"/>
      <c r="N64" s="140"/>
      <c r="O64" s="140"/>
      <c r="P64" s="140"/>
      <c r="Q64" s="140"/>
      <c r="R64" s="140"/>
      <c r="S64" s="140"/>
      <c r="T64" s="140"/>
      <c r="U64" s="140"/>
      <c r="V64" s="140"/>
      <c r="W64" s="140"/>
      <c r="X64" s="140"/>
      <c r="Y64" s="140"/>
    </row>
    <row r="65" spans="1:25" ht="14.5" hidden="1" x14ac:dyDescent="0.35">
      <c r="A65" s="2893"/>
      <c r="B65" s="2894"/>
      <c r="C65" s="2894"/>
      <c r="D65" s="140"/>
      <c r="E65" s="140"/>
      <c r="F65" s="140"/>
      <c r="G65" s="140"/>
      <c r="H65" s="140"/>
      <c r="I65" s="140"/>
      <c r="J65" s="140"/>
      <c r="K65" s="140"/>
      <c r="L65" s="140"/>
      <c r="M65" s="140"/>
      <c r="N65" s="140"/>
      <c r="O65" s="140"/>
      <c r="P65" s="140"/>
      <c r="Q65" s="140"/>
      <c r="R65" s="140"/>
      <c r="S65" s="140"/>
      <c r="T65" s="140"/>
      <c r="U65" s="140"/>
      <c r="V65" s="140"/>
      <c r="W65" s="140"/>
      <c r="X65" s="140"/>
      <c r="Y65" s="140"/>
    </row>
    <row r="66" spans="1:25" ht="14.5" hidden="1" x14ac:dyDescent="0.35">
      <c r="A66" s="2893"/>
      <c r="B66" s="2894"/>
      <c r="C66" s="2894"/>
      <c r="D66" s="89"/>
      <c r="E66" s="89"/>
      <c r="F66" s="90" t="s">
        <v>521</v>
      </c>
      <c r="G66" s="2902" t="s">
        <v>1127</v>
      </c>
      <c r="H66" s="90"/>
      <c r="I66" s="90"/>
      <c r="J66" s="90"/>
      <c r="K66" s="90"/>
      <c r="L66" s="90"/>
      <c r="M66" s="90"/>
      <c r="N66" s="89"/>
      <c r="O66" s="89"/>
      <c r="P66" s="140"/>
      <c r="Q66" s="140"/>
      <c r="R66" s="140"/>
      <c r="S66" s="140"/>
      <c r="T66" s="140"/>
      <c r="U66" s="140"/>
      <c r="V66" s="140"/>
      <c r="W66" s="140"/>
      <c r="X66" s="140"/>
      <c r="Y66" s="140"/>
    </row>
    <row r="67" spans="1:25" ht="14.5" hidden="1" x14ac:dyDescent="0.35">
      <c r="A67" s="2893"/>
      <c r="B67" s="2894"/>
      <c r="C67" s="2894"/>
      <c r="D67" s="1330"/>
      <c r="E67" s="1330"/>
      <c r="F67" s="416" t="s">
        <v>1128</v>
      </c>
      <c r="G67" s="416"/>
      <c r="H67" s="416"/>
      <c r="I67" s="416"/>
      <c r="J67" s="2903" t="s">
        <v>1129</v>
      </c>
      <c r="K67" s="416"/>
      <c r="L67" s="416"/>
      <c r="M67" s="416"/>
      <c r="N67" s="416"/>
      <c r="O67" s="416"/>
      <c r="P67" s="140"/>
      <c r="Q67" s="140"/>
      <c r="R67" s="140"/>
      <c r="S67" s="140"/>
      <c r="T67" s="140"/>
      <c r="U67" s="140"/>
      <c r="V67" s="140"/>
      <c r="W67" s="140"/>
      <c r="X67" s="140"/>
      <c r="Y67" s="140"/>
    </row>
    <row r="68" spans="1:25" ht="14.5" hidden="1" x14ac:dyDescent="0.35">
      <c r="A68" s="2893"/>
      <c r="B68" s="2894"/>
      <c r="C68" s="2894"/>
      <c r="D68" s="416" t="s">
        <v>1122</v>
      </c>
      <c r="E68" s="416"/>
      <c r="F68" s="415">
        <v>2001</v>
      </c>
      <c r="G68" s="415">
        <v>2007</v>
      </c>
      <c r="H68" s="415"/>
      <c r="I68" s="415"/>
      <c r="J68" s="2904">
        <v>2001</v>
      </c>
      <c r="K68" s="415">
        <v>2007</v>
      </c>
      <c r="L68" s="415"/>
      <c r="M68" s="415"/>
      <c r="N68" s="415"/>
      <c r="O68" s="415"/>
      <c r="P68" s="140"/>
      <c r="Q68" s="140"/>
      <c r="R68" s="140"/>
      <c r="S68" s="140"/>
      <c r="T68" s="140"/>
      <c r="U68" s="140"/>
      <c r="V68" s="140"/>
      <c r="W68" s="140"/>
      <c r="X68" s="140"/>
      <c r="Y68" s="140"/>
    </row>
    <row r="69" spans="1:25" ht="14.5" hidden="1" x14ac:dyDescent="0.35">
      <c r="A69" s="2893"/>
      <c r="B69" s="2894"/>
      <c r="C69" s="2894"/>
      <c r="D69" s="1632" t="s">
        <v>402</v>
      </c>
      <c r="E69" s="1632"/>
      <c r="F69" s="1264">
        <v>24</v>
      </c>
      <c r="G69" s="1264">
        <v>35</v>
      </c>
      <c r="H69" s="2905"/>
      <c r="I69" s="2905"/>
      <c r="J69" s="2906">
        <v>34</v>
      </c>
      <c r="K69" s="1264">
        <v>36</v>
      </c>
      <c r="L69" s="1264"/>
      <c r="M69" s="2905"/>
      <c r="N69" s="2905"/>
      <c r="O69" s="2905"/>
      <c r="P69" s="140"/>
      <c r="Q69" s="140"/>
      <c r="R69" s="140"/>
      <c r="S69" s="140"/>
      <c r="T69" s="140"/>
      <c r="U69" s="140"/>
      <c r="V69" s="140"/>
      <c r="W69" s="140"/>
      <c r="X69" s="140"/>
      <c r="Y69" s="140"/>
    </row>
    <row r="70" spans="1:25" ht="14.5" hidden="1" x14ac:dyDescent="0.35">
      <c r="A70" s="2893"/>
      <c r="B70" s="2894"/>
      <c r="C70" s="2894"/>
      <c r="D70" s="1632" t="s">
        <v>404</v>
      </c>
      <c r="E70" s="1632"/>
      <c r="F70" s="1264">
        <v>27</v>
      </c>
      <c r="G70" s="1264">
        <v>43</v>
      </c>
      <c r="H70" s="1264"/>
      <c r="I70" s="1264"/>
      <c r="J70" s="2906">
        <v>29</v>
      </c>
      <c r="K70" s="1264">
        <v>42</v>
      </c>
      <c r="L70" s="1264"/>
      <c r="M70" s="1264"/>
      <c r="N70" s="1264"/>
      <c r="O70" s="1264"/>
      <c r="P70" s="140"/>
      <c r="Q70" s="140"/>
      <c r="R70" s="140"/>
      <c r="S70" s="140"/>
      <c r="T70" s="140"/>
      <c r="U70" s="140"/>
      <c r="V70" s="140"/>
      <c r="W70" s="140"/>
      <c r="X70" s="140"/>
      <c r="Y70" s="140"/>
    </row>
    <row r="71" spans="1:25" ht="14.5" hidden="1" x14ac:dyDescent="0.35">
      <c r="A71" s="2893"/>
      <c r="B71" s="2894"/>
      <c r="C71" s="2894"/>
      <c r="D71" s="1632" t="s">
        <v>407</v>
      </c>
      <c r="E71" s="1632"/>
      <c r="F71" s="1264">
        <v>33</v>
      </c>
      <c r="G71" s="1264">
        <v>38</v>
      </c>
      <c r="H71" s="1264"/>
      <c r="I71" s="1264"/>
      <c r="J71" s="2906">
        <v>32</v>
      </c>
      <c r="K71" s="1264">
        <v>42</v>
      </c>
      <c r="L71" s="1264"/>
      <c r="M71" s="1264"/>
      <c r="N71" s="1264"/>
      <c r="O71" s="1264"/>
      <c r="P71" s="140"/>
      <c r="Q71" s="140"/>
      <c r="R71" s="140"/>
      <c r="S71" s="140"/>
      <c r="T71" s="140"/>
      <c r="U71" s="140"/>
      <c r="V71" s="140"/>
      <c r="W71" s="140"/>
      <c r="X71" s="140"/>
      <c r="Y71" s="140"/>
    </row>
    <row r="72" spans="1:25" ht="14.5" hidden="1" x14ac:dyDescent="0.35">
      <c r="A72" s="2893"/>
      <c r="B72" s="2894"/>
      <c r="C72" s="2894"/>
      <c r="D72" s="1632" t="s">
        <v>405</v>
      </c>
      <c r="E72" s="1632"/>
      <c r="F72" s="1264">
        <v>35</v>
      </c>
      <c r="G72" s="1264">
        <v>38</v>
      </c>
      <c r="H72" s="1264"/>
      <c r="I72" s="1264"/>
      <c r="J72" s="2906">
        <v>31</v>
      </c>
      <c r="K72" s="1264">
        <v>36</v>
      </c>
      <c r="L72" s="1264"/>
      <c r="M72" s="1264"/>
      <c r="N72" s="1264"/>
      <c r="O72" s="1264"/>
      <c r="P72" s="140"/>
      <c r="Q72" s="140"/>
      <c r="R72" s="140"/>
      <c r="S72" s="140"/>
      <c r="T72" s="140"/>
      <c r="U72" s="140"/>
      <c r="V72" s="140"/>
      <c r="W72" s="140"/>
      <c r="X72" s="140"/>
      <c r="Y72" s="140"/>
    </row>
    <row r="73" spans="1:25" ht="14.5" hidden="1" x14ac:dyDescent="0.35">
      <c r="A73" s="2893"/>
      <c r="B73" s="2894"/>
      <c r="C73" s="2894"/>
      <c r="D73" s="1632" t="s">
        <v>409</v>
      </c>
      <c r="E73" s="1632"/>
      <c r="F73" s="1264">
        <v>27</v>
      </c>
      <c r="G73" s="1264">
        <v>29</v>
      </c>
      <c r="H73" s="2905"/>
      <c r="I73" s="2905"/>
      <c r="J73" s="2906">
        <v>24</v>
      </c>
      <c r="K73" s="1264">
        <v>26</v>
      </c>
      <c r="L73" s="1264"/>
      <c r="M73" s="2905"/>
      <c r="N73" s="2905"/>
      <c r="O73" s="2905"/>
      <c r="P73" s="140"/>
      <c r="Q73" s="140"/>
      <c r="R73" s="140"/>
      <c r="S73" s="140"/>
      <c r="T73" s="140"/>
      <c r="U73" s="140"/>
      <c r="V73" s="140"/>
      <c r="W73" s="140"/>
      <c r="X73" s="140"/>
      <c r="Y73" s="140"/>
    </row>
    <row r="74" spans="1:25" ht="14.5" hidden="1" x14ac:dyDescent="0.35">
      <c r="A74" s="2893"/>
      <c r="B74" s="2894"/>
      <c r="C74" s="2894"/>
      <c r="D74" s="1632" t="s">
        <v>408</v>
      </c>
      <c r="E74" s="1632"/>
      <c r="F74" s="1264">
        <v>28</v>
      </c>
      <c r="G74" s="1264">
        <v>32</v>
      </c>
      <c r="H74" s="1264"/>
      <c r="I74" s="1264"/>
      <c r="J74" s="2906">
        <v>29</v>
      </c>
      <c r="K74" s="1264">
        <v>31</v>
      </c>
      <c r="L74" s="1264"/>
      <c r="M74" s="1264"/>
      <c r="N74" s="1264"/>
      <c r="O74" s="1264"/>
      <c r="P74" s="140"/>
      <c r="Q74" s="140"/>
      <c r="R74" s="140"/>
      <c r="S74" s="140"/>
      <c r="T74" s="140"/>
      <c r="U74" s="140"/>
      <c r="V74" s="140"/>
      <c r="W74" s="140"/>
      <c r="X74" s="140"/>
      <c r="Y74" s="140"/>
    </row>
    <row r="75" spans="1:25" ht="14.5" hidden="1" x14ac:dyDescent="0.35">
      <c r="A75" s="2893"/>
      <c r="B75" s="2894"/>
      <c r="C75" s="2894"/>
      <c r="D75" s="1632" t="s">
        <v>406</v>
      </c>
      <c r="E75" s="1632"/>
      <c r="F75" s="1264">
        <v>29</v>
      </c>
      <c r="G75" s="1264">
        <v>35</v>
      </c>
      <c r="H75" s="1264"/>
      <c r="I75" s="1264"/>
      <c r="J75" s="2906">
        <v>25</v>
      </c>
      <c r="K75" s="1264">
        <v>29</v>
      </c>
      <c r="L75" s="1264"/>
      <c r="M75" s="1264"/>
      <c r="N75" s="1264"/>
      <c r="O75" s="1264"/>
      <c r="P75" s="140"/>
      <c r="Q75" s="140"/>
      <c r="R75" s="140"/>
      <c r="S75" s="140"/>
      <c r="T75" s="140"/>
      <c r="U75" s="140"/>
      <c r="V75" s="140"/>
      <c r="W75" s="140"/>
      <c r="X75" s="140"/>
      <c r="Y75" s="140"/>
    </row>
    <row r="76" spans="1:25" ht="14.5" hidden="1" x14ac:dyDescent="0.35">
      <c r="A76" s="2893"/>
      <c r="B76" s="2894"/>
      <c r="C76" s="2894"/>
      <c r="D76" s="1632" t="s">
        <v>403</v>
      </c>
      <c r="E76" s="1632"/>
      <c r="F76" s="1264">
        <v>23</v>
      </c>
      <c r="G76" s="1264">
        <v>34</v>
      </c>
      <c r="H76" s="1264"/>
      <c r="I76" s="1264"/>
      <c r="J76" s="2906">
        <v>26</v>
      </c>
      <c r="K76" s="1264">
        <v>31</v>
      </c>
      <c r="L76" s="1264"/>
      <c r="M76" s="1264"/>
      <c r="N76" s="1264"/>
      <c r="O76" s="1264"/>
      <c r="P76" s="140"/>
      <c r="Q76" s="140"/>
      <c r="R76" s="140"/>
      <c r="S76" s="140"/>
      <c r="T76" s="140"/>
      <c r="U76" s="140"/>
      <c r="V76" s="140"/>
      <c r="W76" s="140"/>
      <c r="X76" s="140"/>
      <c r="Y76" s="140"/>
    </row>
    <row r="77" spans="1:25" ht="14.5" hidden="1" x14ac:dyDescent="0.35">
      <c r="A77" s="2893"/>
      <c r="B77" s="2894"/>
      <c r="C77" s="2894"/>
      <c r="D77" s="2898" t="s">
        <v>401</v>
      </c>
      <c r="E77" s="2898"/>
      <c r="F77" s="2897">
        <v>33</v>
      </c>
      <c r="G77" s="2897">
        <v>48</v>
      </c>
      <c r="H77" s="2897"/>
      <c r="I77" s="2897"/>
      <c r="J77" s="2907">
        <v>32</v>
      </c>
      <c r="K77" s="2897">
        <v>49</v>
      </c>
      <c r="L77" s="2897"/>
      <c r="M77" s="2897"/>
      <c r="N77" s="1264"/>
      <c r="O77" s="1264"/>
      <c r="P77" s="140"/>
      <c r="Q77" s="140"/>
      <c r="R77" s="140"/>
      <c r="S77" s="140"/>
      <c r="T77" s="140"/>
      <c r="U77" s="140"/>
      <c r="V77" s="140"/>
      <c r="W77" s="140"/>
      <c r="X77" s="140"/>
      <c r="Y77" s="140"/>
    </row>
    <row r="78" spans="1:25" ht="14.5" hidden="1" x14ac:dyDescent="0.35">
      <c r="A78" s="2893"/>
      <c r="B78" s="2894"/>
      <c r="C78" s="2894"/>
      <c r="D78" s="2889"/>
      <c r="E78" s="2889"/>
      <c r="F78" s="2889"/>
      <c r="G78" s="2908"/>
      <c r="H78" s="2908"/>
      <c r="I78" s="2908"/>
      <c r="J78" s="2908"/>
      <c r="K78" s="2908"/>
      <c r="L78" s="2908"/>
      <c r="M78" s="2908"/>
      <c r="N78" s="2908"/>
      <c r="O78" s="2908"/>
      <c r="P78" s="140"/>
      <c r="Q78" s="140"/>
      <c r="R78" s="140"/>
      <c r="S78" s="140"/>
      <c r="T78" s="140"/>
      <c r="U78" s="140"/>
      <c r="V78" s="140"/>
      <c r="W78" s="140"/>
      <c r="X78" s="140"/>
      <c r="Y78" s="140"/>
    </row>
    <row r="79" spans="1:25" ht="14.5" hidden="1" x14ac:dyDescent="0.35">
      <c r="A79" s="2893"/>
      <c r="B79" s="2894"/>
      <c r="C79" s="2894"/>
      <c r="D79" s="140"/>
      <c r="E79" s="140"/>
      <c r="F79" s="140"/>
      <c r="G79" s="140"/>
      <c r="H79" s="140"/>
      <c r="I79" s="140"/>
      <c r="J79" s="140"/>
      <c r="K79" s="140"/>
      <c r="L79" s="140"/>
      <c r="M79" s="140"/>
      <c r="N79" s="140"/>
      <c r="O79" s="140"/>
      <c r="P79" s="140"/>
      <c r="Q79" s="140"/>
      <c r="R79" s="140"/>
      <c r="S79" s="140"/>
      <c r="T79" s="140"/>
      <c r="U79" s="140"/>
      <c r="V79" s="140"/>
      <c r="W79" s="140"/>
      <c r="X79" s="140"/>
      <c r="Y79" s="140"/>
    </row>
    <row r="80" spans="1:25" ht="14.5" hidden="1" x14ac:dyDescent="0.35">
      <c r="A80" s="2893"/>
      <c r="B80" s="2894"/>
      <c r="C80" s="2894"/>
      <c r="D80" s="140"/>
      <c r="E80" s="140"/>
      <c r="F80" s="140"/>
      <c r="G80" s="140"/>
      <c r="H80" s="140"/>
      <c r="I80" s="140"/>
      <c r="J80" s="140"/>
      <c r="K80" s="140"/>
      <c r="L80" s="140"/>
      <c r="M80" s="140"/>
      <c r="N80" s="140"/>
      <c r="O80" s="140"/>
      <c r="P80" s="140"/>
      <c r="Q80" s="140"/>
      <c r="R80" s="140"/>
      <c r="S80" s="140"/>
      <c r="T80" s="140"/>
      <c r="U80" s="140"/>
      <c r="V80" s="140"/>
      <c r="W80" s="140"/>
      <c r="X80" s="140"/>
      <c r="Y80" s="140"/>
    </row>
    <row r="81" spans="1:25" ht="14.5" hidden="1" x14ac:dyDescent="0.35">
      <c r="A81" s="2893"/>
      <c r="B81" s="2894"/>
      <c r="C81" s="2894"/>
      <c r="D81" s="140"/>
      <c r="E81" s="140"/>
      <c r="F81" s="140"/>
      <c r="G81" s="140"/>
      <c r="H81" s="140"/>
      <c r="I81" s="140"/>
      <c r="J81" s="140"/>
      <c r="K81" s="140"/>
      <c r="L81" s="140"/>
      <c r="M81" s="140"/>
      <c r="N81" s="140"/>
      <c r="O81" s="140"/>
      <c r="P81" s="140"/>
      <c r="Q81" s="140"/>
      <c r="R81" s="140"/>
      <c r="S81" s="140"/>
      <c r="T81" s="140"/>
      <c r="U81" s="140"/>
      <c r="V81" s="140"/>
      <c r="W81" s="140"/>
      <c r="X81" s="140"/>
      <c r="Y81" s="140"/>
    </row>
    <row r="82" spans="1:25" ht="14.5" hidden="1" x14ac:dyDescent="0.35">
      <c r="A82" s="2893"/>
      <c r="B82" s="2894"/>
      <c r="C82" s="2894"/>
      <c r="D82" s="140"/>
      <c r="E82" s="140"/>
      <c r="F82" s="140"/>
      <c r="G82" s="140"/>
      <c r="H82" s="140"/>
      <c r="I82" s="140"/>
      <c r="J82" s="140"/>
      <c r="K82" s="140"/>
      <c r="L82" s="140"/>
      <c r="M82" s="140"/>
      <c r="N82" s="140"/>
      <c r="O82" s="140"/>
      <c r="P82" s="140"/>
      <c r="Q82" s="140"/>
      <c r="R82" s="140"/>
      <c r="S82" s="140"/>
      <c r="T82" s="140"/>
      <c r="U82" s="140"/>
      <c r="V82" s="140"/>
      <c r="W82" s="140"/>
      <c r="X82" s="140"/>
      <c r="Y82" s="140"/>
    </row>
    <row r="83" spans="1:25" ht="14.5" hidden="1" x14ac:dyDescent="0.35">
      <c r="A83" s="2893"/>
      <c r="B83" s="2894"/>
      <c r="C83" s="2894"/>
      <c r="D83" s="140"/>
      <c r="E83" s="140"/>
      <c r="F83" s="140"/>
      <c r="G83" s="140"/>
      <c r="H83" s="140"/>
      <c r="I83" s="140"/>
      <c r="J83" s="140"/>
      <c r="K83" s="140"/>
      <c r="L83" s="140"/>
      <c r="M83" s="140"/>
      <c r="N83" s="140"/>
      <c r="O83" s="140"/>
      <c r="P83" s="140"/>
      <c r="Q83" s="140"/>
      <c r="R83" s="140"/>
      <c r="S83" s="140"/>
      <c r="T83" s="140"/>
      <c r="U83" s="140"/>
      <c r="V83" s="140"/>
      <c r="W83" s="140"/>
      <c r="X83" s="140"/>
      <c r="Y83" s="140"/>
    </row>
    <row r="84" spans="1:25" ht="14.5" hidden="1" x14ac:dyDescent="0.35">
      <c r="A84" s="2893"/>
      <c r="B84" s="2894"/>
      <c r="C84" s="2894"/>
      <c r="D84" s="140"/>
      <c r="E84" s="140"/>
      <c r="F84" s="140"/>
      <c r="G84" s="140"/>
      <c r="H84" s="140"/>
      <c r="I84" s="140"/>
      <c r="J84" s="140"/>
      <c r="K84" s="140"/>
      <c r="L84" s="140"/>
      <c r="M84" s="140"/>
      <c r="N84" s="140"/>
      <c r="O84" s="140"/>
      <c r="P84" s="140"/>
      <c r="Q84" s="140"/>
      <c r="R84" s="140"/>
      <c r="S84" s="140"/>
      <c r="T84" s="140"/>
      <c r="U84" s="140"/>
      <c r="V84" s="140"/>
      <c r="W84" s="140"/>
      <c r="X84" s="140"/>
      <c r="Y84" s="140"/>
    </row>
    <row r="85" spans="1:25" ht="14.5" x14ac:dyDescent="0.35">
      <c r="A85" s="2893"/>
      <c r="B85" s="2894"/>
      <c r="C85" s="2894"/>
      <c r="D85" s="140"/>
      <c r="E85" s="140"/>
      <c r="F85" s="140"/>
      <c r="G85" s="140"/>
      <c r="H85" s="140"/>
      <c r="I85" s="140"/>
      <c r="J85" s="140"/>
      <c r="K85" s="140"/>
      <c r="L85" s="140"/>
      <c r="M85" s="140"/>
      <c r="N85" s="140"/>
      <c r="O85" s="140"/>
      <c r="P85" s="140"/>
      <c r="Q85" s="140"/>
      <c r="R85" s="140"/>
      <c r="S85" s="140"/>
      <c r="T85" s="140"/>
      <c r="U85" s="140"/>
      <c r="V85" s="140"/>
      <c r="W85" s="140"/>
      <c r="X85" s="140"/>
      <c r="Y85" s="140"/>
    </row>
    <row r="86" spans="1:25" ht="14.5" x14ac:dyDescent="0.35">
      <c r="A86" s="2893"/>
      <c r="B86" s="2894"/>
      <c r="C86" s="2894"/>
      <c r="D86" s="140"/>
      <c r="E86" s="140"/>
      <c r="F86" s="140"/>
      <c r="G86" s="140"/>
      <c r="H86" s="140"/>
      <c r="I86" s="140"/>
      <c r="J86" s="140"/>
      <c r="K86" s="140"/>
      <c r="L86" s="140"/>
      <c r="M86" s="140"/>
      <c r="N86" s="140"/>
      <c r="O86" s="140"/>
      <c r="P86" s="140"/>
      <c r="U86" s="140"/>
      <c r="V86" s="140"/>
      <c r="W86" s="140"/>
      <c r="X86" s="140"/>
      <c r="Y86" s="140"/>
    </row>
  </sheetData>
  <mergeCells count="14">
    <mergeCell ref="D2:T2"/>
    <mergeCell ref="D3:T3"/>
    <mergeCell ref="D4:T4"/>
    <mergeCell ref="U6:W6"/>
    <mergeCell ref="D23:S23"/>
    <mergeCell ref="X6:Z6"/>
    <mergeCell ref="E8:H8"/>
    <mergeCell ref="I8:L8"/>
    <mergeCell ref="M8:P8"/>
    <mergeCell ref="F50:J50"/>
    <mergeCell ref="D24:S24"/>
    <mergeCell ref="D25:S25"/>
    <mergeCell ref="D26:S26"/>
    <mergeCell ref="F35:J35"/>
  </mergeCells>
  <pageMargins left="0.74803149606299202" right="0.74803149606299202" top="0.98425196850393704" bottom="0.98425196850393704" header="0.511811023622047" footer="0.511811023622047"/>
  <pageSetup paperSize="9" scale="6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D61"/>
  <sheetViews>
    <sheetView showGridLines="0" view="pageBreakPreview" zoomScaleNormal="100" zoomScaleSheetLayoutView="100" workbookViewId="0">
      <selection activeCell="D33" sqref="D33:AC33"/>
    </sheetView>
  </sheetViews>
  <sheetFormatPr defaultColWidth="9.1796875" defaultRowHeight="14.5" x14ac:dyDescent="0.35"/>
  <cols>
    <col min="1" max="1" width="3.81640625" style="86" customWidth="1"/>
    <col min="2" max="2" width="12.81640625" style="83" customWidth="1"/>
    <col min="3" max="3" width="3.81640625" style="84" customWidth="1"/>
    <col min="4" max="4" width="8.81640625" style="4" customWidth="1"/>
    <col min="5" max="5" width="4.1796875" style="4" customWidth="1"/>
    <col min="6" max="22" width="8.1796875" style="4" customWidth="1"/>
    <col min="23" max="23" width="7.1796875" style="4" customWidth="1"/>
    <col min="24" max="24" width="6.90625" style="4" customWidth="1"/>
    <col min="25" max="25" width="6.6328125" style="4" customWidth="1"/>
    <col min="26" max="26" width="7.26953125" style="4" customWidth="1"/>
    <col min="27" max="28" width="7.81640625" style="4" customWidth="1"/>
    <col min="29" max="29" width="6.7265625" style="4" customWidth="1"/>
    <col min="30" max="30" width="7.26953125" style="4" customWidth="1"/>
    <col min="31" max="16384" width="9.1796875" style="4"/>
  </cols>
  <sheetData>
    <row r="1" spans="1:30" x14ac:dyDescent="0.35">
      <c r="A1" s="82"/>
      <c r="D1" s="85"/>
      <c r="E1" s="85"/>
      <c r="F1" s="85"/>
      <c r="G1" s="85"/>
      <c r="H1" s="85"/>
      <c r="I1" s="85"/>
      <c r="J1" s="85"/>
      <c r="K1" s="85"/>
      <c r="L1" s="85"/>
      <c r="M1" s="85"/>
      <c r="N1" s="85"/>
      <c r="O1" s="85"/>
      <c r="P1" s="85"/>
      <c r="Q1" s="85"/>
      <c r="R1" s="85"/>
      <c r="S1" s="85"/>
      <c r="T1" s="85"/>
      <c r="U1" s="85"/>
      <c r="V1" s="85"/>
      <c r="W1" s="85"/>
    </row>
    <row r="2" spans="1:30" ht="12.75" customHeight="1" x14ac:dyDescent="0.35">
      <c r="A2" s="86">
        <v>1</v>
      </c>
      <c r="B2" s="87" t="s">
        <v>0</v>
      </c>
      <c r="C2" s="86">
        <f>[1]GFCF!C2+1</f>
        <v>5</v>
      </c>
      <c r="D2" s="4648" t="s">
        <v>378</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50"/>
    </row>
    <row r="3" spans="1:30" ht="12.75" customHeight="1" x14ac:dyDescent="0.35">
      <c r="A3" s="86">
        <v>2</v>
      </c>
      <c r="B3" s="87" t="s">
        <v>2</v>
      </c>
      <c r="C3" s="86"/>
      <c r="D3" s="4651" t="s">
        <v>98</v>
      </c>
      <c r="E3" s="4652"/>
      <c r="F3" s="4652"/>
      <c r="G3" s="4652"/>
      <c r="H3" s="4652"/>
      <c r="I3" s="4652"/>
      <c r="J3" s="4652"/>
      <c r="K3" s="4652"/>
      <c r="L3" s="4652"/>
      <c r="M3" s="4652"/>
      <c r="N3" s="4652"/>
      <c r="O3" s="4652"/>
      <c r="P3" s="4652"/>
      <c r="Q3" s="4652"/>
      <c r="R3" s="4652"/>
      <c r="S3" s="4652"/>
      <c r="T3" s="4652"/>
      <c r="U3" s="4652"/>
      <c r="V3" s="4652"/>
      <c r="W3" s="4652"/>
      <c r="X3" s="4652"/>
      <c r="Y3" s="4652"/>
      <c r="Z3" s="4652"/>
      <c r="AA3" s="4652"/>
      <c r="AB3" s="4652"/>
      <c r="AC3" s="4653"/>
    </row>
    <row r="4" spans="1:30" ht="12.75" customHeight="1" x14ac:dyDescent="0.35">
      <c r="A4" s="86">
        <v>3</v>
      </c>
      <c r="B4" s="87" t="s">
        <v>4</v>
      </c>
      <c r="C4" s="86"/>
      <c r="D4" s="4651" t="s">
        <v>99</v>
      </c>
      <c r="E4" s="4652"/>
      <c r="F4" s="4652"/>
      <c r="G4" s="4652"/>
      <c r="H4" s="4652"/>
      <c r="I4" s="4652"/>
      <c r="J4" s="4652"/>
      <c r="K4" s="4652"/>
      <c r="L4" s="4652"/>
      <c r="M4" s="4652"/>
      <c r="N4" s="4652"/>
      <c r="O4" s="4652"/>
      <c r="P4" s="4652"/>
      <c r="Q4" s="4652"/>
      <c r="R4" s="4652"/>
      <c r="S4" s="4652"/>
      <c r="T4" s="4652"/>
      <c r="U4" s="4652"/>
      <c r="V4" s="4652"/>
      <c r="W4" s="4652"/>
      <c r="X4" s="4652"/>
      <c r="Y4" s="4652"/>
      <c r="Z4" s="4652"/>
      <c r="AA4" s="4652"/>
      <c r="AB4" s="4652"/>
      <c r="AC4" s="4653"/>
    </row>
    <row r="5" spans="1:30" ht="21" customHeight="1" x14ac:dyDescent="0.35">
      <c r="B5" s="87"/>
      <c r="C5" s="86"/>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row>
    <row r="6" spans="1:30" x14ac:dyDescent="0.35">
      <c r="A6" s="86">
        <v>4</v>
      </c>
      <c r="B6" s="87" t="s">
        <v>6</v>
      </c>
      <c r="D6" s="90" t="s">
        <v>85</v>
      </c>
      <c r="E6" s="90" t="s">
        <v>100</v>
      </c>
      <c r="F6" s="90"/>
      <c r="G6" s="90"/>
      <c r="H6" s="90"/>
      <c r="I6" s="90"/>
      <c r="J6" s="90"/>
      <c r="K6" s="90"/>
      <c r="L6" s="90"/>
      <c r="M6" s="120"/>
      <c r="N6" s="120"/>
      <c r="O6" s="120"/>
      <c r="P6" s="120"/>
      <c r="Q6" s="120"/>
      <c r="R6" s="91"/>
      <c r="S6" s="91"/>
      <c r="T6" s="91"/>
      <c r="U6" s="91"/>
      <c r="V6" s="91"/>
      <c r="W6" s="177"/>
      <c r="X6" s="177"/>
      <c r="Y6" s="177"/>
    </row>
    <row r="7" spans="1:30" s="200" customFormat="1" ht="13" x14ac:dyDescent="0.3">
      <c r="A7" s="86"/>
      <c r="B7" s="193"/>
      <c r="C7" s="194"/>
      <c r="D7" s="195" t="s">
        <v>97</v>
      </c>
      <c r="E7" s="196" t="s">
        <v>101</v>
      </c>
      <c r="F7" s="196" t="s">
        <v>102</v>
      </c>
      <c r="G7" s="196" t="s">
        <v>103</v>
      </c>
      <c r="H7" s="196" t="s">
        <v>104</v>
      </c>
      <c r="I7" s="196" t="s">
        <v>105</v>
      </c>
      <c r="J7" s="196" t="s">
        <v>106</v>
      </c>
      <c r="K7" s="196" t="s">
        <v>107</v>
      </c>
      <c r="L7" s="196" t="s">
        <v>108</v>
      </c>
      <c r="M7" s="196" t="s">
        <v>109</v>
      </c>
      <c r="N7" s="196" t="s">
        <v>110</v>
      </c>
      <c r="O7" s="196" t="s">
        <v>111</v>
      </c>
      <c r="P7" s="197" t="s">
        <v>112</v>
      </c>
      <c r="Q7" s="197" t="s">
        <v>113</v>
      </c>
      <c r="R7" s="197" t="s">
        <v>114</v>
      </c>
      <c r="S7" s="197" t="s">
        <v>115</v>
      </c>
      <c r="T7" s="197" t="s">
        <v>116</v>
      </c>
      <c r="U7" s="198" t="s">
        <v>117</v>
      </c>
      <c r="V7" s="198" t="s">
        <v>118</v>
      </c>
      <c r="W7" s="198" t="s">
        <v>119</v>
      </c>
      <c r="X7" s="198" t="s">
        <v>120</v>
      </c>
      <c r="Y7" s="198" t="s">
        <v>121</v>
      </c>
      <c r="Z7" s="198" t="s">
        <v>122</v>
      </c>
      <c r="AA7" s="198" t="s">
        <v>123</v>
      </c>
      <c r="AB7" s="198" t="s">
        <v>124</v>
      </c>
      <c r="AC7" s="198" t="s">
        <v>125</v>
      </c>
      <c r="AD7" s="199" t="s">
        <v>126</v>
      </c>
    </row>
    <row r="8" spans="1:30" ht="21.5" x14ac:dyDescent="0.35">
      <c r="D8" s="102" t="s">
        <v>127</v>
      </c>
      <c r="E8" s="201">
        <v>-5.4</v>
      </c>
      <c r="F8" s="201">
        <v>-4.5</v>
      </c>
      <c r="G8" s="201">
        <v>-5</v>
      </c>
      <c r="H8" s="201">
        <v>-4.8</v>
      </c>
      <c r="I8" s="201">
        <v>-3.6</v>
      </c>
      <c r="J8" s="201">
        <v>-2.7</v>
      </c>
      <c r="K8" s="201">
        <v>-2.1</v>
      </c>
      <c r="L8" s="201">
        <v>-1.9</v>
      </c>
      <c r="M8" s="201">
        <v>-1.2</v>
      </c>
      <c r="N8" s="201">
        <v>-1.1000000000000001</v>
      </c>
      <c r="O8" s="201">
        <v>-2.7</v>
      </c>
      <c r="P8" s="201">
        <v>-1.9</v>
      </c>
      <c r="Q8" s="202">
        <v>-0.2</v>
      </c>
      <c r="R8" s="202">
        <v>0.6</v>
      </c>
      <c r="S8" s="203">
        <v>1</v>
      </c>
      <c r="T8" s="203">
        <v>-1</v>
      </c>
      <c r="U8" s="202">
        <v>-6.3</v>
      </c>
      <c r="V8" s="202">
        <v>-4.7</v>
      </c>
      <c r="W8" s="202">
        <v>-4.7</v>
      </c>
      <c r="X8" s="203">
        <v>-5</v>
      </c>
      <c r="Y8" s="204">
        <v>-4.4000000000000004</v>
      </c>
      <c r="Z8" s="204">
        <v>-4.3</v>
      </c>
      <c r="AA8" s="204">
        <v>-4.0999999999999996</v>
      </c>
      <c r="AB8" s="204">
        <v>-3.8</v>
      </c>
      <c r="AC8" s="204">
        <v>-4.4000000000000004</v>
      </c>
      <c r="AD8" s="205">
        <v>-4.7</v>
      </c>
    </row>
    <row r="9" spans="1:30" x14ac:dyDescent="0.35">
      <c r="D9" s="107"/>
      <c r="E9" s="168"/>
      <c r="F9" s="206"/>
      <c r="G9" s="206"/>
      <c r="H9" s="206"/>
      <c r="I9" s="206"/>
      <c r="J9" s="206"/>
      <c r="K9" s="206"/>
      <c r="L9" s="206"/>
      <c r="M9" s="206"/>
      <c r="N9" s="206"/>
      <c r="O9" s="206"/>
      <c r="P9" s="206"/>
      <c r="Q9" s="206"/>
      <c r="R9" s="206"/>
      <c r="S9" s="206"/>
      <c r="T9" s="206"/>
      <c r="U9" s="206"/>
      <c r="V9" s="206"/>
      <c r="W9" s="206"/>
      <c r="X9" s="206"/>
      <c r="Y9" s="206"/>
      <c r="Z9" s="207"/>
    </row>
    <row r="10" spans="1:30" x14ac:dyDescent="0.35">
      <c r="D10" s="107"/>
      <c r="E10" s="168"/>
      <c r="F10" s="206"/>
      <c r="G10" s="206"/>
      <c r="H10" s="206"/>
      <c r="I10" s="206"/>
      <c r="J10" s="206"/>
      <c r="K10" s="206"/>
      <c r="L10" s="206"/>
      <c r="M10" s="206"/>
      <c r="N10" s="206"/>
      <c r="O10" s="206"/>
      <c r="P10" s="206"/>
      <c r="Q10" s="206"/>
      <c r="R10" s="206"/>
      <c r="S10" s="206"/>
      <c r="T10" s="206"/>
      <c r="U10" s="206"/>
      <c r="V10" s="206"/>
      <c r="W10" s="206"/>
      <c r="X10" s="206"/>
      <c r="Y10" s="206"/>
      <c r="Z10" s="207"/>
    </row>
    <row r="11" spans="1:30" x14ac:dyDescent="0.35">
      <c r="D11" s="85"/>
      <c r="E11" s="85"/>
      <c r="F11" s="109"/>
      <c r="G11" s="109"/>
      <c r="H11" s="109"/>
      <c r="I11" s="109"/>
      <c r="J11" s="109"/>
      <c r="K11" s="109"/>
      <c r="L11" s="109"/>
      <c r="M11" s="109"/>
      <c r="N11" s="109"/>
      <c r="O11" s="109"/>
      <c r="P11" s="109"/>
      <c r="Q11" s="109"/>
      <c r="R11" s="109"/>
      <c r="S11" s="85"/>
      <c r="T11" s="85"/>
      <c r="U11" s="85"/>
      <c r="V11" s="85"/>
      <c r="W11" s="85"/>
    </row>
    <row r="12" spans="1:30" x14ac:dyDescent="0.35">
      <c r="A12" s="86">
        <v>5</v>
      </c>
      <c r="B12" s="87" t="s">
        <v>56</v>
      </c>
      <c r="C12" s="86"/>
      <c r="D12" s="85"/>
      <c r="E12" s="85"/>
      <c r="F12" s="109"/>
      <c r="G12" s="109"/>
      <c r="H12" s="109"/>
      <c r="I12" s="109"/>
      <c r="J12" s="109"/>
      <c r="K12" s="109"/>
      <c r="L12" s="109"/>
      <c r="M12" s="109"/>
      <c r="N12" s="109"/>
      <c r="O12" s="109"/>
      <c r="P12" s="109"/>
      <c r="Q12" s="109"/>
      <c r="R12" s="109"/>
      <c r="S12" s="85"/>
      <c r="T12" s="85"/>
      <c r="U12" s="85"/>
      <c r="V12" s="85"/>
      <c r="W12" s="85"/>
      <c r="AC12" s="137"/>
    </row>
    <row r="13" spans="1:30" x14ac:dyDescent="0.35">
      <c r="D13" s="85"/>
      <c r="E13" s="85"/>
      <c r="F13" s="109"/>
      <c r="G13" s="109"/>
      <c r="H13" s="109"/>
      <c r="I13" s="109"/>
      <c r="J13" s="109"/>
      <c r="K13" s="109"/>
      <c r="L13" s="109"/>
      <c r="M13" s="109"/>
      <c r="N13" s="109"/>
      <c r="O13" s="109"/>
      <c r="P13" s="109"/>
      <c r="Q13" s="109"/>
      <c r="R13" s="109"/>
      <c r="S13" s="85"/>
      <c r="T13" s="85"/>
      <c r="U13" s="85"/>
      <c r="V13" s="85"/>
      <c r="W13" s="85"/>
      <c r="AC13" s="137"/>
    </row>
    <row r="14" spans="1:30" x14ac:dyDescent="0.35">
      <c r="D14" s="85"/>
      <c r="E14" s="85"/>
      <c r="F14" s="109"/>
      <c r="G14" s="109"/>
      <c r="H14" s="109"/>
      <c r="I14" s="109"/>
      <c r="J14" s="109"/>
      <c r="K14" s="109"/>
      <c r="L14" s="109"/>
      <c r="M14" s="109"/>
      <c r="N14" s="109"/>
      <c r="O14" s="109"/>
      <c r="P14" s="109"/>
      <c r="Q14" s="109"/>
      <c r="R14" s="109"/>
      <c r="S14" s="85"/>
      <c r="T14" s="85"/>
      <c r="U14" s="85"/>
      <c r="V14" s="85"/>
      <c r="W14" s="85"/>
      <c r="AC14" s="137"/>
    </row>
    <row r="15" spans="1:30" x14ac:dyDescent="0.35">
      <c r="D15" s="85"/>
      <c r="E15" s="85"/>
      <c r="F15" s="109"/>
      <c r="G15" s="109"/>
      <c r="H15" s="109"/>
      <c r="I15" s="109"/>
      <c r="J15" s="109"/>
      <c r="K15" s="109"/>
      <c r="L15" s="109"/>
      <c r="M15" s="109"/>
      <c r="N15" s="109"/>
      <c r="O15" s="109"/>
      <c r="P15" s="109"/>
      <c r="Q15" s="109"/>
      <c r="R15" s="109"/>
      <c r="S15" s="85"/>
      <c r="T15" s="85"/>
      <c r="U15" s="85"/>
      <c r="V15" s="85"/>
      <c r="W15" s="85"/>
      <c r="AC15" s="137"/>
    </row>
    <row r="16" spans="1:30" x14ac:dyDescent="0.35">
      <c r="D16" s="85"/>
      <c r="E16" s="85"/>
      <c r="F16" s="109"/>
      <c r="G16" s="109"/>
      <c r="H16" s="109"/>
      <c r="I16" s="109"/>
      <c r="J16" s="109"/>
      <c r="K16" s="109"/>
      <c r="L16" s="109"/>
      <c r="M16" s="109"/>
      <c r="N16" s="109"/>
      <c r="O16" s="109"/>
      <c r="P16" s="109"/>
      <c r="Q16" s="109"/>
      <c r="R16" s="109"/>
      <c r="S16" s="85"/>
      <c r="T16" s="85"/>
      <c r="U16" s="85"/>
      <c r="V16" s="85"/>
      <c r="W16" s="85"/>
      <c r="AC16" s="137"/>
    </row>
    <row r="17" spans="1:29" x14ac:dyDescent="0.35">
      <c r="D17" s="85"/>
      <c r="E17" s="85"/>
      <c r="F17" s="109"/>
      <c r="G17" s="109"/>
      <c r="H17" s="109"/>
      <c r="I17" s="109"/>
      <c r="J17" s="109"/>
      <c r="K17" s="109"/>
      <c r="L17" s="109"/>
      <c r="M17" s="109"/>
      <c r="N17" s="109"/>
      <c r="O17" s="109"/>
      <c r="P17" s="109"/>
      <c r="Q17" s="109"/>
      <c r="R17" s="109"/>
      <c r="S17" s="85"/>
      <c r="T17" s="85"/>
      <c r="U17" s="85"/>
      <c r="V17" s="85"/>
      <c r="W17" s="85"/>
      <c r="AC17" s="137"/>
    </row>
    <row r="18" spans="1:29" x14ac:dyDescent="0.35">
      <c r="D18" s="85"/>
      <c r="E18" s="85"/>
      <c r="F18" s="109"/>
      <c r="G18" s="109"/>
      <c r="H18" s="109"/>
      <c r="I18" s="109"/>
      <c r="J18" s="109"/>
      <c r="K18" s="109"/>
      <c r="L18" s="109"/>
      <c r="M18" s="109"/>
      <c r="N18" s="109"/>
      <c r="O18" s="109"/>
      <c r="P18" s="109"/>
      <c r="Q18" s="109"/>
      <c r="R18" s="109"/>
      <c r="S18" s="85"/>
      <c r="T18" s="85"/>
      <c r="U18" s="85"/>
      <c r="V18" s="85"/>
      <c r="W18" s="85"/>
      <c r="AC18" s="137"/>
    </row>
    <row r="19" spans="1:29" x14ac:dyDescent="0.35">
      <c r="D19" s="85"/>
      <c r="E19" s="85"/>
      <c r="F19" s="109"/>
      <c r="G19" s="109"/>
      <c r="H19" s="109"/>
      <c r="I19" s="109"/>
      <c r="J19" s="109"/>
      <c r="K19" s="109"/>
      <c r="L19" s="109"/>
      <c r="M19" s="109"/>
      <c r="N19" s="109"/>
      <c r="O19" s="109"/>
      <c r="P19" s="109"/>
      <c r="Q19" s="109"/>
      <c r="R19" s="109"/>
      <c r="S19" s="85"/>
      <c r="T19" s="85"/>
      <c r="U19" s="85"/>
      <c r="V19" s="85"/>
      <c r="W19" s="85"/>
      <c r="AC19" s="137"/>
    </row>
    <row r="20" spans="1:29" x14ac:dyDescent="0.35">
      <c r="D20" s="85"/>
      <c r="E20" s="85"/>
      <c r="F20" s="109"/>
      <c r="G20" s="109"/>
      <c r="H20" s="109"/>
      <c r="I20" s="109"/>
      <c r="J20" s="109"/>
      <c r="K20" s="109"/>
      <c r="L20" s="109"/>
      <c r="M20" s="109"/>
      <c r="N20" s="109"/>
      <c r="O20" s="109"/>
      <c r="P20" s="109"/>
      <c r="Q20" s="109"/>
      <c r="R20" s="109"/>
      <c r="S20" s="85"/>
      <c r="T20" s="85"/>
      <c r="U20" s="85"/>
      <c r="V20" s="85"/>
      <c r="W20" s="85"/>
      <c r="AC20" s="137"/>
    </row>
    <row r="21" spans="1:29" x14ac:dyDescent="0.35">
      <c r="D21" s="85"/>
      <c r="E21" s="85"/>
      <c r="F21" s="109"/>
      <c r="G21" s="109"/>
      <c r="H21" s="109"/>
      <c r="I21" s="109"/>
      <c r="J21" s="109"/>
      <c r="K21" s="109"/>
      <c r="L21" s="109"/>
      <c r="M21" s="109"/>
      <c r="N21" s="109"/>
      <c r="O21" s="109"/>
      <c r="P21" s="109"/>
      <c r="Q21" s="109"/>
      <c r="R21" s="109"/>
      <c r="S21" s="85"/>
      <c r="T21" s="85"/>
      <c r="U21" s="85"/>
      <c r="V21" s="85"/>
      <c r="W21" s="85"/>
      <c r="AC21" s="137"/>
    </row>
    <row r="22" spans="1:29" x14ac:dyDescent="0.35">
      <c r="D22" s="85"/>
      <c r="E22" s="85"/>
      <c r="F22" s="85"/>
      <c r="G22" s="85"/>
      <c r="H22" s="85"/>
      <c r="I22" s="85"/>
      <c r="J22" s="85"/>
      <c r="K22" s="85"/>
      <c r="L22" s="85"/>
      <c r="M22" s="85"/>
      <c r="N22" s="85"/>
      <c r="O22" s="85"/>
      <c r="P22" s="85"/>
      <c r="Q22" s="85"/>
      <c r="R22" s="85"/>
      <c r="S22" s="85"/>
      <c r="T22" s="85"/>
      <c r="U22" s="85"/>
      <c r="V22" s="85"/>
      <c r="W22" s="85"/>
      <c r="AC22" s="137"/>
    </row>
    <row r="23" spans="1:29" x14ac:dyDescent="0.35">
      <c r="D23" s="85"/>
      <c r="E23" s="85"/>
      <c r="F23" s="85"/>
      <c r="G23" s="85"/>
      <c r="H23" s="85"/>
      <c r="I23" s="85"/>
      <c r="J23" s="85"/>
      <c r="K23" s="85"/>
      <c r="L23" s="85"/>
      <c r="M23" s="85"/>
      <c r="N23" s="85"/>
      <c r="O23" s="85"/>
      <c r="P23" s="85"/>
      <c r="Q23" s="85"/>
      <c r="R23" s="85"/>
      <c r="S23" s="85"/>
      <c r="T23" s="85"/>
      <c r="U23" s="85"/>
      <c r="V23" s="85"/>
      <c r="W23" s="85"/>
      <c r="AC23" s="137"/>
    </row>
    <row r="24" spans="1:29" x14ac:dyDescent="0.35">
      <c r="D24" s="85"/>
      <c r="E24" s="85"/>
      <c r="F24" s="85"/>
      <c r="G24" s="85"/>
      <c r="H24" s="85"/>
      <c r="I24" s="85"/>
      <c r="J24" s="85"/>
      <c r="K24" s="85"/>
      <c r="L24" s="85"/>
      <c r="M24" s="85"/>
      <c r="N24" s="85"/>
      <c r="O24" s="85"/>
      <c r="P24" s="85"/>
      <c r="Q24" s="85"/>
      <c r="R24" s="85"/>
      <c r="S24" s="85"/>
      <c r="T24" s="85"/>
      <c r="U24" s="85"/>
      <c r="V24" s="85"/>
      <c r="W24" s="85"/>
      <c r="AC24" s="137"/>
    </row>
    <row r="25" spans="1:29" x14ac:dyDescent="0.35">
      <c r="D25" s="85"/>
      <c r="E25" s="85"/>
      <c r="F25" s="85"/>
      <c r="G25" s="85"/>
      <c r="H25" s="85"/>
      <c r="I25" s="85"/>
      <c r="J25" s="85"/>
      <c r="K25" s="85"/>
      <c r="L25" s="85"/>
      <c r="M25" s="85"/>
      <c r="N25" s="85"/>
      <c r="O25" s="85"/>
      <c r="P25" s="85"/>
      <c r="Q25" s="85"/>
      <c r="R25" s="85"/>
      <c r="S25" s="85"/>
      <c r="T25" s="85"/>
      <c r="U25" s="85"/>
      <c r="V25" s="85"/>
      <c r="W25" s="85"/>
      <c r="AC25" s="137"/>
    </row>
    <row r="26" spans="1:29" x14ac:dyDescent="0.35">
      <c r="D26" s="85"/>
      <c r="E26" s="85"/>
      <c r="F26" s="85"/>
      <c r="G26" s="85"/>
      <c r="H26" s="85"/>
      <c r="I26" s="85"/>
      <c r="J26" s="85"/>
      <c r="K26" s="85"/>
      <c r="L26" s="85"/>
      <c r="M26" s="85"/>
      <c r="N26" s="85"/>
      <c r="O26" s="85"/>
      <c r="P26" s="85"/>
      <c r="Q26" s="85"/>
      <c r="R26" s="85"/>
      <c r="S26" s="85"/>
      <c r="T26" s="85"/>
      <c r="U26" s="85"/>
      <c r="V26" s="85"/>
      <c r="W26" s="85"/>
      <c r="AC26" s="137"/>
    </row>
    <row r="27" spans="1:29" x14ac:dyDescent="0.35">
      <c r="D27" s="85"/>
      <c r="E27" s="85"/>
      <c r="F27" s="85"/>
      <c r="G27" s="85"/>
      <c r="H27" s="85"/>
      <c r="I27" s="85"/>
      <c r="J27" s="85"/>
      <c r="K27" s="85"/>
      <c r="L27" s="85"/>
      <c r="M27" s="85"/>
      <c r="N27" s="85"/>
      <c r="O27" s="85"/>
      <c r="P27" s="85"/>
      <c r="Q27" s="85"/>
      <c r="R27" s="85"/>
      <c r="S27" s="85"/>
      <c r="T27" s="85"/>
      <c r="U27" s="85"/>
      <c r="V27" s="85"/>
      <c r="W27" s="85"/>
      <c r="AC27" s="137"/>
    </row>
    <row r="28" spans="1:29" x14ac:dyDescent="0.35">
      <c r="D28" s="85"/>
      <c r="E28" s="85"/>
      <c r="F28" s="85"/>
      <c r="G28" s="85"/>
      <c r="H28" s="85"/>
      <c r="I28" s="85"/>
      <c r="J28" s="85"/>
      <c r="K28" s="85"/>
      <c r="L28" s="85"/>
      <c r="M28" s="85"/>
      <c r="N28" s="85"/>
      <c r="O28" s="85"/>
      <c r="P28" s="85"/>
      <c r="Q28" s="85"/>
      <c r="R28" s="85"/>
      <c r="S28" s="85"/>
      <c r="T28" s="85"/>
      <c r="U28" s="85"/>
      <c r="V28" s="85"/>
      <c r="W28" s="85"/>
      <c r="AC28" s="137"/>
    </row>
    <row r="29" spans="1:29" x14ac:dyDescent="0.35">
      <c r="D29" s="85"/>
      <c r="E29" s="85"/>
      <c r="F29" s="85"/>
      <c r="G29" s="85"/>
      <c r="H29" s="85"/>
      <c r="I29" s="85"/>
      <c r="J29" s="85"/>
      <c r="K29" s="85"/>
      <c r="L29" s="85"/>
      <c r="M29" s="85"/>
      <c r="N29" s="85"/>
      <c r="O29" s="85"/>
      <c r="P29" s="85"/>
      <c r="Q29" s="85"/>
      <c r="R29" s="85"/>
      <c r="S29" s="85"/>
      <c r="T29" s="85"/>
      <c r="U29" s="85"/>
      <c r="V29" s="85"/>
      <c r="W29" s="85"/>
      <c r="AC29" s="137"/>
    </row>
    <row r="30" spans="1:29" x14ac:dyDescent="0.35">
      <c r="D30" s="85"/>
      <c r="E30" s="85"/>
      <c r="F30" s="85"/>
      <c r="G30" s="85"/>
      <c r="H30" s="85"/>
      <c r="I30" s="85"/>
      <c r="J30" s="85"/>
      <c r="K30" s="85"/>
      <c r="L30" s="85"/>
      <c r="M30" s="85"/>
      <c r="N30" s="85"/>
      <c r="O30" s="85"/>
      <c r="P30" s="85"/>
      <c r="Q30" s="85"/>
      <c r="R30" s="85"/>
      <c r="S30" s="85"/>
      <c r="T30" s="85"/>
      <c r="U30" s="85"/>
      <c r="V30" s="85"/>
      <c r="W30" s="85"/>
      <c r="AC30" s="137"/>
    </row>
    <row r="31" spans="1:29" ht="12.75" customHeight="1" x14ac:dyDescent="0.35">
      <c r="A31" s="86">
        <v>6</v>
      </c>
      <c r="B31" s="87" t="s">
        <v>58</v>
      </c>
      <c r="C31" s="86"/>
      <c r="D31" s="4648" t="s">
        <v>376</v>
      </c>
      <c r="E31" s="4649"/>
      <c r="F31" s="4649"/>
      <c r="G31" s="4649"/>
      <c r="H31" s="4649"/>
      <c r="I31" s="4649"/>
      <c r="J31" s="4649"/>
      <c r="K31" s="4649"/>
      <c r="L31" s="4649"/>
      <c r="M31" s="4649"/>
      <c r="N31" s="4649"/>
      <c r="O31" s="4649"/>
      <c r="P31" s="4649"/>
      <c r="Q31" s="4649"/>
      <c r="R31" s="4649"/>
      <c r="S31" s="4649"/>
      <c r="T31" s="4649"/>
      <c r="U31" s="4649"/>
      <c r="V31" s="4649"/>
      <c r="W31" s="4649"/>
      <c r="X31" s="4649"/>
      <c r="Y31" s="4649"/>
      <c r="Z31" s="4649"/>
      <c r="AA31" s="4649"/>
      <c r="AB31" s="4649"/>
      <c r="AC31" s="4650"/>
    </row>
    <row r="32" spans="1:29" ht="14.25" customHeight="1" x14ac:dyDescent="0.35">
      <c r="A32" s="113">
        <v>7</v>
      </c>
      <c r="B32" s="114" t="s">
        <v>60</v>
      </c>
      <c r="C32" s="113"/>
      <c r="D32" s="4648" t="s">
        <v>377</v>
      </c>
      <c r="E32" s="4649"/>
      <c r="F32" s="4649"/>
      <c r="G32" s="4649"/>
      <c r="H32" s="4649"/>
      <c r="I32" s="4649"/>
      <c r="J32" s="4649"/>
      <c r="K32" s="4649"/>
      <c r="L32" s="4649"/>
      <c r="M32" s="4649"/>
      <c r="N32" s="4649"/>
      <c r="O32" s="4649"/>
      <c r="P32" s="4649"/>
      <c r="Q32" s="4649"/>
      <c r="R32" s="4649"/>
      <c r="S32" s="4649"/>
      <c r="T32" s="4649"/>
      <c r="U32" s="4649"/>
      <c r="V32" s="4649"/>
      <c r="W32" s="4649"/>
      <c r="X32" s="4649"/>
      <c r="Y32" s="4649"/>
      <c r="Z32" s="4649"/>
      <c r="AA32" s="4649"/>
      <c r="AB32" s="4649"/>
      <c r="AC32" s="4650"/>
    </row>
    <row r="33" spans="1:30" ht="12.75" customHeight="1" x14ac:dyDescent="0.35">
      <c r="A33" s="86">
        <v>8</v>
      </c>
      <c r="B33" s="87" t="s">
        <v>62</v>
      </c>
      <c r="C33" s="86"/>
      <c r="D33" s="4648" t="s">
        <v>1981</v>
      </c>
      <c r="E33" s="4649"/>
      <c r="F33" s="4649"/>
      <c r="G33" s="4649"/>
      <c r="H33" s="4649"/>
      <c r="I33" s="4649"/>
      <c r="J33" s="4649"/>
      <c r="K33" s="4649"/>
      <c r="L33" s="4649"/>
      <c r="M33" s="4649"/>
      <c r="N33" s="4649"/>
      <c r="O33" s="4649"/>
      <c r="P33" s="4649"/>
      <c r="Q33" s="4649"/>
      <c r="R33" s="4649"/>
      <c r="S33" s="4649"/>
      <c r="T33" s="4649"/>
      <c r="U33" s="4649"/>
      <c r="V33" s="4649"/>
      <c r="W33" s="4649"/>
      <c r="X33" s="4649"/>
      <c r="Y33" s="4649"/>
      <c r="Z33" s="4649"/>
      <c r="AA33" s="4649"/>
      <c r="AB33" s="4649"/>
      <c r="AC33" s="4650"/>
    </row>
    <row r="34" spans="1:30" ht="12.75" customHeight="1" x14ac:dyDescent="0.35">
      <c r="A34" s="86">
        <v>9</v>
      </c>
      <c r="B34" s="87" t="s">
        <v>64</v>
      </c>
      <c r="C34" s="86"/>
      <c r="D34" s="4648" t="s">
        <v>128</v>
      </c>
      <c r="E34" s="4649"/>
      <c r="F34" s="4649"/>
      <c r="G34" s="4649"/>
      <c r="H34" s="4649"/>
      <c r="I34" s="4649"/>
      <c r="J34" s="4649"/>
      <c r="K34" s="4649"/>
      <c r="L34" s="4649"/>
      <c r="M34" s="4649"/>
      <c r="N34" s="4649"/>
      <c r="O34" s="4649"/>
      <c r="P34" s="4649"/>
      <c r="Q34" s="4649"/>
      <c r="R34" s="4649"/>
      <c r="S34" s="4649"/>
      <c r="T34" s="4649"/>
      <c r="U34" s="4649"/>
      <c r="V34" s="4649"/>
      <c r="W34" s="4649"/>
      <c r="X34" s="4649"/>
      <c r="Y34" s="4649"/>
      <c r="Z34" s="4649"/>
      <c r="AA34" s="4649"/>
      <c r="AB34" s="4649"/>
      <c r="AC34" s="4650"/>
    </row>
    <row r="35" spans="1:30" x14ac:dyDescent="0.35">
      <c r="AB35" s="116"/>
    </row>
    <row r="36" spans="1:30" x14ac:dyDescent="0.35">
      <c r="F36" s="208"/>
      <c r="G36" s="208"/>
      <c r="H36" s="208"/>
      <c r="I36" s="209"/>
      <c r="J36" s="209"/>
      <c r="K36" s="209"/>
      <c r="L36" s="209"/>
      <c r="M36" s="209"/>
      <c r="N36" s="209"/>
      <c r="O36" s="209"/>
      <c r="P36" s="210"/>
      <c r="Q36" s="210"/>
      <c r="R36" s="210"/>
      <c r="S36" s="210"/>
      <c r="T36" s="211"/>
      <c r="U36" s="211"/>
      <c r="V36" s="211"/>
      <c r="W36" s="211"/>
      <c r="X36" s="211"/>
      <c r="Y36" s="212"/>
      <c r="Z36" s="212"/>
      <c r="AA36" s="212"/>
      <c r="AB36" s="212"/>
      <c r="AC36" s="212"/>
    </row>
    <row r="37" spans="1:30" x14ac:dyDescent="0.35">
      <c r="F37" s="213"/>
      <c r="G37" s="213"/>
      <c r="H37" s="213"/>
      <c r="I37" s="213"/>
      <c r="J37" s="213"/>
      <c r="K37" s="213"/>
      <c r="L37" s="213"/>
      <c r="M37" s="213"/>
      <c r="N37" s="213"/>
      <c r="O37" s="213"/>
      <c r="P37" s="137"/>
      <c r="Q37" s="137"/>
      <c r="R37" s="137"/>
      <c r="S37" s="213"/>
      <c r="T37" s="213"/>
      <c r="U37" s="213"/>
      <c r="V37" s="137"/>
      <c r="W37" s="137"/>
      <c r="X37" s="213"/>
      <c r="Y37" s="213"/>
      <c r="Z37" s="213"/>
      <c r="AA37" s="213"/>
      <c r="AB37" s="213"/>
      <c r="AC37" s="213"/>
      <c r="AD37" s="213"/>
    </row>
    <row r="38" spans="1:30" x14ac:dyDescent="0.35">
      <c r="D38" s="11"/>
      <c r="E38" s="11"/>
      <c r="F38" s="214"/>
      <c r="G38" s="214"/>
      <c r="H38" s="214">
        <v>-4.5999999999999996</v>
      </c>
      <c r="I38" s="214">
        <v>-4.7</v>
      </c>
      <c r="J38" s="214">
        <v>-4.8</v>
      </c>
      <c r="K38" s="214">
        <v>-4.5</v>
      </c>
      <c r="L38" s="214">
        <v>-3.2</v>
      </c>
      <c r="M38" s="215">
        <v>-2.1</v>
      </c>
      <c r="N38" s="215">
        <v>-1.9</v>
      </c>
      <c r="O38" s="215">
        <v>-0.7</v>
      </c>
      <c r="P38" s="215">
        <v>-0.7</v>
      </c>
      <c r="Q38" s="216">
        <v>-2.4</v>
      </c>
      <c r="R38" s="216">
        <v>-1.9</v>
      </c>
      <c r="S38" s="216">
        <v>-0.5</v>
      </c>
      <c r="T38" s="216">
        <v>0.3</v>
      </c>
      <c r="U38" s="216">
        <v>0.7</v>
      </c>
      <c r="V38" s="216">
        <v>-0.4</v>
      </c>
      <c r="W38" s="216">
        <v>-4.5999999999999996</v>
      </c>
      <c r="X38" s="4">
        <v>-4.5999999999999996</v>
      </c>
      <c r="Y38" s="4">
        <v>-4</v>
      </c>
      <c r="Z38" s="4">
        <v>-5.0999999999999996</v>
      </c>
      <c r="AA38" s="4">
        <v>-4.5999999999999996</v>
      </c>
      <c r="AB38" s="4">
        <v>-4.5999999999999996</v>
      </c>
    </row>
    <row r="39" spans="1:30" x14ac:dyDescent="0.35">
      <c r="D39" s="217"/>
      <c r="E39" s="217"/>
      <c r="F39" s="24"/>
      <c r="G39" s="24"/>
      <c r="H39" s="24"/>
      <c r="I39" s="24"/>
      <c r="J39" s="24"/>
      <c r="K39" s="24"/>
      <c r="L39" s="24"/>
      <c r="M39" s="24"/>
      <c r="N39" s="24"/>
      <c r="O39" s="24"/>
      <c r="P39" s="24"/>
      <c r="Q39" s="24"/>
      <c r="R39" s="24"/>
      <c r="S39" s="218"/>
      <c r="T39" s="218"/>
      <c r="U39" s="218"/>
      <c r="V39" s="218"/>
      <c r="W39" s="218"/>
    </row>
    <row r="40" spans="1:30" x14ac:dyDescent="0.35">
      <c r="F40" s="219"/>
    </row>
    <row r="61" spans="29:29" x14ac:dyDescent="0.35">
      <c r="AC61" s="4" t="s">
        <v>67</v>
      </c>
    </row>
  </sheetData>
  <mergeCells count="7">
    <mergeCell ref="D34:AC34"/>
    <mergeCell ref="D2:AC2"/>
    <mergeCell ref="D3:AC3"/>
    <mergeCell ref="D4:AC4"/>
    <mergeCell ref="D31:AC31"/>
    <mergeCell ref="D32:AC32"/>
    <mergeCell ref="D33:AC33"/>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A2D2-565C-4209-A951-A9A1A584BBB4}">
  <sheetPr>
    <tabColor theme="8" tint="-0.249977111117893"/>
    <pageSetUpPr fitToPage="1"/>
  </sheetPr>
  <dimension ref="A1:AD45"/>
  <sheetViews>
    <sheetView showGridLines="0" view="pageBreakPreview" zoomScaleNormal="100" zoomScaleSheetLayoutView="100" workbookViewId="0">
      <selection activeCell="X9" sqref="X9"/>
    </sheetView>
  </sheetViews>
  <sheetFormatPr defaultColWidth="9.1796875" defaultRowHeight="14.5" x14ac:dyDescent="0.35"/>
  <cols>
    <col min="1" max="1" width="3.7265625" style="2893" customWidth="1"/>
    <col min="2" max="2" width="14.453125" style="2894" customWidth="1"/>
    <col min="3" max="3" width="3.7265625" style="2894" customWidth="1"/>
    <col min="4" max="4" width="20.1796875" style="140" customWidth="1"/>
    <col min="5" max="5" width="11.54296875" style="2951" customWidth="1"/>
    <col min="6" max="9" width="11.54296875" style="140" customWidth="1"/>
    <col min="10" max="10" width="9.453125" style="140" customWidth="1"/>
    <col min="11" max="17" width="11.54296875" style="140" customWidth="1"/>
    <col min="18" max="18" width="8.81640625" style="140" customWidth="1"/>
    <col min="19" max="19" width="10.453125" style="140" customWidth="1"/>
    <col min="20" max="26" width="7.7265625" style="140" customWidth="1"/>
    <col min="27" max="27" width="10.453125" style="140" bestFit="1" customWidth="1"/>
    <col min="28" max="263" width="9.1796875" style="140"/>
    <col min="264" max="264" width="3.7265625" style="140" customWidth="1"/>
    <col min="265" max="265" width="14.453125" style="140" customWidth="1"/>
    <col min="266" max="266" width="3.7265625" style="140" customWidth="1"/>
    <col min="267" max="267" width="20.1796875" style="140" customWidth="1"/>
    <col min="268" max="268" width="6.26953125" style="140" customWidth="1"/>
    <col min="269" max="274" width="11.54296875" style="140" customWidth="1"/>
    <col min="275" max="276" width="8.81640625" style="140" customWidth="1"/>
    <col min="277" max="282" width="7.7265625" style="140" customWidth="1"/>
    <col min="283" max="283" width="10.453125" style="140" bestFit="1" customWidth="1"/>
    <col min="284" max="519" width="9.1796875" style="140"/>
    <col min="520" max="520" width="3.7265625" style="140" customWidth="1"/>
    <col min="521" max="521" width="14.453125" style="140" customWidth="1"/>
    <col min="522" max="522" width="3.7265625" style="140" customWidth="1"/>
    <col min="523" max="523" width="20.1796875" style="140" customWidth="1"/>
    <col min="524" max="524" width="6.26953125" style="140" customWidth="1"/>
    <col min="525" max="530" width="11.54296875" style="140" customWidth="1"/>
    <col min="531" max="532" width="8.81640625" style="140" customWidth="1"/>
    <col min="533" max="538" width="7.7265625" style="140" customWidth="1"/>
    <col min="539" max="539" width="10.453125" style="140" bestFit="1" customWidth="1"/>
    <col min="540" max="775" width="9.1796875" style="140"/>
    <col min="776" max="776" width="3.7265625" style="140" customWidth="1"/>
    <col min="777" max="777" width="14.453125" style="140" customWidth="1"/>
    <col min="778" max="778" width="3.7265625" style="140" customWidth="1"/>
    <col min="779" max="779" width="20.1796875" style="140" customWidth="1"/>
    <col min="780" max="780" width="6.26953125" style="140" customWidth="1"/>
    <col min="781" max="786" width="11.54296875" style="140" customWidth="1"/>
    <col min="787" max="788" width="8.81640625" style="140" customWidth="1"/>
    <col min="789" max="794" width="7.7265625" style="140" customWidth="1"/>
    <col min="795" max="795" width="10.453125" style="140" bestFit="1" customWidth="1"/>
    <col min="796" max="1031" width="9.1796875" style="140"/>
    <col min="1032" max="1032" width="3.7265625" style="140" customWidth="1"/>
    <col min="1033" max="1033" width="14.453125" style="140" customWidth="1"/>
    <col min="1034" max="1034" width="3.7265625" style="140" customWidth="1"/>
    <col min="1035" max="1035" width="20.1796875" style="140" customWidth="1"/>
    <col min="1036" max="1036" width="6.26953125" style="140" customWidth="1"/>
    <col min="1037" max="1042" width="11.54296875" style="140" customWidth="1"/>
    <col min="1043" max="1044" width="8.81640625" style="140" customWidth="1"/>
    <col min="1045" max="1050" width="7.7265625" style="140" customWidth="1"/>
    <col min="1051" max="1051" width="10.453125" style="140" bestFit="1" customWidth="1"/>
    <col min="1052" max="1287" width="9.1796875" style="140"/>
    <col min="1288" max="1288" width="3.7265625" style="140" customWidth="1"/>
    <col min="1289" max="1289" width="14.453125" style="140" customWidth="1"/>
    <col min="1290" max="1290" width="3.7265625" style="140" customWidth="1"/>
    <col min="1291" max="1291" width="20.1796875" style="140" customWidth="1"/>
    <col min="1292" max="1292" width="6.26953125" style="140" customWidth="1"/>
    <col min="1293" max="1298" width="11.54296875" style="140" customWidth="1"/>
    <col min="1299" max="1300" width="8.81640625" style="140" customWidth="1"/>
    <col min="1301" max="1306" width="7.7265625" style="140" customWidth="1"/>
    <col min="1307" max="1307" width="10.453125" style="140" bestFit="1" customWidth="1"/>
    <col min="1308" max="1543" width="9.1796875" style="140"/>
    <col min="1544" max="1544" width="3.7265625" style="140" customWidth="1"/>
    <col min="1545" max="1545" width="14.453125" style="140" customWidth="1"/>
    <col min="1546" max="1546" width="3.7265625" style="140" customWidth="1"/>
    <col min="1547" max="1547" width="20.1796875" style="140" customWidth="1"/>
    <col min="1548" max="1548" width="6.26953125" style="140" customWidth="1"/>
    <col min="1549" max="1554" width="11.54296875" style="140" customWidth="1"/>
    <col min="1555" max="1556" width="8.81640625" style="140" customWidth="1"/>
    <col min="1557" max="1562" width="7.7265625" style="140" customWidth="1"/>
    <col min="1563" max="1563" width="10.453125" style="140" bestFit="1" customWidth="1"/>
    <col min="1564" max="1799" width="9.1796875" style="140"/>
    <col min="1800" max="1800" width="3.7265625" style="140" customWidth="1"/>
    <col min="1801" max="1801" width="14.453125" style="140" customWidth="1"/>
    <col min="1802" max="1802" width="3.7265625" style="140" customWidth="1"/>
    <col min="1803" max="1803" width="20.1796875" style="140" customWidth="1"/>
    <col min="1804" max="1804" width="6.26953125" style="140" customWidth="1"/>
    <col min="1805" max="1810" width="11.54296875" style="140" customWidth="1"/>
    <col min="1811" max="1812" width="8.81640625" style="140" customWidth="1"/>
    <col min="1813" max="1818" width="7.7265625" style="140" customWidth="1"/>
    <col min="1819" max="1819" width="10.453125" style="140" bestFit="1" customWidth="1"/>
    <col min="1820" max="2055" width="9.1796875" style="140"/>
    <col min="2056" max="2056" width="3.7265625" style="140" customWidth="1"/>
    <col min="2057" max="2057" width="14.453125" style="140" customWidth="1"/>
    <col min="2058" max="2058" width="3.7265625" style="140" customWidth="1"/>
    <col min="2059" max="2059" width="20.1796875" style="140" customWidth="1"/>
    <col min="2060" max="2060" width="6.26953125" style="140" customWidth="1"/>
    <col min="2061" max="2066" width="11.54296875" style="140" customWidth="1"/>
    <col min="2067" max="2068" width="8.81640625" style="140" customWidth="1"/>
    <col min="2069" max="2074" width="7.7265625" style="140" customWidth="1"/>
    <col min="2075" max="2075" width="10.453125" style="140" bestFit="1" customWidth="1"/>
    <col min="2076" max="2311" width="9.1796875" style="140"/>
    <col min="2312" max="2312" width="3.7265625" style="140" customWidth="1"/>
    <col min="2313" max="2313" width="14.453125" style="140" customWidth="1"/>
    <col min="2314" max="2314" width="3.7265625" style="140" customWidth="1"/>
    <col min="2315" max="2315" width="20.1796875" style="140" customWidth="1"/>
    <col min="2316" max="2316" width="6.26953125" style="140" customWidth="1"/>
    <col min="2317" max="2322" width="11.54296875" style="140" customWidth="1"/>
    <col min="2323" max="2324" width="8.81640625" style="140" customWidth="1"/>
    <col min="2325" max="2330" width="7.7265625" style="140" customWidth="1"/>
    <col min="2331" max="2331" width="10.453125" style="140" bestFit="1" customWidth="1"/>
    <col min="2332" max="2567" width="9.1796875" style="140"/>
    <col min="2568" max="2568" width="3.7265625" style="140" customWidth="1"/>
    <col min="2569" max="2569" width="14.453125" style="140" customWidth="1"/>
    <col min="2570" max="2570" width="3.7265625" style="140" customWidth="1"/>
    <col min="2571" max="2571" width="20.1796875" style="140" customWidth="1"/>
    <col min="2572" max="2572" width="6.26953125" style="140" customWidth="1"/>
    <col min="2573" max="2578" width="11.54296875" style="140" customWidth="1"/>
    <col min="2579" max="2580" width="8.81640625" style="140" customWidth="1"/>
    <col min="2581" max="2586" width="7.7265625" style="140" customWidth="1"/>
    <col min="2587" max="2587" width="10.453125" style="140" bestFit="1" customWidth="1"/>
    <col min="2588" max="2823" width="9.1796875" style="140"/>
    <col min="2824" max="2824" width="3.7265625" style="140" customWidth="1"/>
    <col min="2825" max="2825" width="14.453125" style="140" customWidth="1"/>
    <col min="2826" max="2826" width="3.7265625" style="140" customWidth="1"/>
    <col min="2827" max="2827" width="20.1796875" style="140" customWidth="1"/>
    <col min="2828" max="2828" width="6.26953125" style="140" customWidth="1"/>
    <col min="2829" max="2834" width="11.54296875" style="140" customWidth="1"/>
    <col min="2835" max="2836" width="8.81640625" style="140" customWidth="1"/>
    <col min="2837" max="2842" width="7.7265625" style="140" customWidth="1"/>
    <col min="2843" max="2843" width="10.453125" style="140" bestFit="1" customWidth="1"/>
    <col min="2844" max="3079" width="9.1796875" style="140"/>
    <col min="3080" max="3080" width="3.7265625" style="140" customWidth="1"/>
    <col min="3081" max="3081" width="14.453125" style="140" customWidth="1"/>
    <col min="3082" max="3082" width="3.7265625" style="140" customWidth="1"/>
    <col min="3083" max="3083" width="20.1796875" style="140" customWidth="1"/>
    <col min="3084" max="3084" width="6.26953125" style="140" customWidth="1"/>
    <col min="3085" max="3090" width="11.54296875" style="140" customWidth="1"/>
    <col min="3091" max="3092" width="8.81640625" style="140" customWidth="1"/>
    <col min="3093" max="3098" width="7.7265625" style="140" customWidth="1"/>
    <col min="3099" max="3099" width="10.453125" style="140" bestFit="1" customWidth="1"/>
    <col min="3100" max="3335" width="9.1796875" style="140"/>
    <col min="3336" max="3336" width="3.7265625" style="140" customWidth="1"/>
    <col min="3337" max="3337" width="14.453125" style="140" customWidth="1"/>
    <col min="3338" max="3338" width="3.7265625" style="140" customWidth="1"/>
    <col min="3339" max="3339" width="20.1796875" style="140" customWidth="1"/>
    <col min="3340" max="3340" width="6.26953125" style="140" customWidth="1"/>
    <col min="3341" max="3346" width="11.54296875" style="140" customWidth="1"/>
    <col min="3347" max="3348" width="8.81640625" style="140" customWidth="1"/>
    <col min="3349" max="3354" width="7.7265625" style="140" customWidth="1"/>
    <col min="3355" max="3355" width="10.453125" style="140" bestFit="1" customWidth="1"/>
    <col min="3356" max="3591" width="9.1796875" style="140"/>
    <col min="3592" max="3592" width="3.7265625" style="140" customWidth="1"/>
    <col min="3593" max="3593" width="14.453125" style="140" customWidth="1"/>
    <col min="3594" max="3594" width="3.7265625" style="140" customWidth="1"/>
    <col min="3595" max="3595" width="20.1796875" style="140" customWidth="1"/>
    <col min="3596" max="3596" width="6.26953125" style="140" customWidth="1"/>
    <col min="3597" max="3602" width="11.54296875" style="140" customWidth="1"/>
    <col min="3603" max="3604" width="8.81640625" style="140" customWidth="1"/>
    <col min="3605" max="3610" width="7.7265625" style="140" customWidth="1"/>
    <col min="3611" max="3611" width="10.453125" style="140" bestFit="1" customWidth="1"/>
    <col min="3612" max="3847" width="9.1796875" style="140"/>
    <col min="3848" max="3848" width="3.7265625" style="140" customWidth="1"/>
    <col min="3849" max="3849" width="14.453125" style="140" customWidth="1"/>
    <col min="3850" max="3850" width="3.7265625" style="140" customWidth="1"/>
    <col min="3851" max="3851" width="20.1796875" style="140" customWidth="1"/>
    <col min="3852" max="3852" width="6.26953125" style="140" customWidth="1"/>
    <col min="3853" max="3858" width="11.54296875" style="140" customWidth="1"/>
    <col min="3859" max="3860" width="8.81640625" style="140" customWidth="1"/>
    <col min="3861" max="3866" width="7.7265625" style="140" customWidth="1"/>
    <col min="3867" max="3867" width="10.453125" style="140" bestFit="1" customWidth="1"/>
    <col min="3868" max="4103" width="9.1796875" style="140"/>
    <col min="4104" max="4104" width="3.7265625" style="140" customWidth="1"/>
    <col min="4105" max="4105" width="14.453125" style="140" customWidth="1"/>
    <col min="4106" max="4106" width="3.7265625" style="140" customWidth="1"/>
    <col min="4107" max="4107" width="20.1796875" style="140" customWidth="1"/>
    <col min="4108" max="4108" width="6.26953125" style="140" customWidth="1"/>
    <col min="4109" max="4114" width="11.54296875" style="140" customWidth="1"/>
    <col min="4115" max="4116" width="8.81640625" style="140" customWidth="1"/>
    <col min="4117" max="4122" width="7.7265625" style="140" customWidth="1"/>
    <col min="4123" max="4123" width="10.453125" style="140" bestFit="1" customWidth="1"/>
    <col min="4124" max="4359" width="9.1796875" style="140"/>
    <col min="4360" max="4360" width="3.7265625" style="140" customWidth="1"/>
    <col min="4361" max="4361" width="14.453125" style="140" customWidth="1"/>
    <col min="4362" max="4362" width="3.7265625" style="140" customWidth="1"/>
    <col min="4363" max="4363" width="20.1796875" style="140" customWidth="1"/>
    <col min="4364" max="4364" width="6.26953125" style="140" customWidth="1"/>
    <col min="4365" max="4370" width="11.54296875" style="140" customWidth="1"/>
    <col min="4371" max="4372" width="8.81640625" style="140" customWidth="1"/>
    <col min="4373" max="4378" width="7.7265625" style="140" customWidth="1"/>
    <col min="4379" max="4379" width="10.453125" style="140" bestFit="1" customWidth="1"/>
    <col min="4380" max="4615" width="9.1796875" style="140"/>
    <col min="4616" max="4616" width="3.7265625" style="140" customWidth="1"/>
    <col min="4617" max="4617" width="14.453125" style="140" customWidth="1"/>
    <col min="4618" max="4618" width="3.7265625" style="140" customWidth="1"/>
    <col min="4619" max="4619" width="20.1796875" style="140" customWidth="1"/>
    <col min="4620" max="4620" width="6.26953125" style="140" customWidth="1"/>
    <col min="4621" max="4626" width="11.54296875" style="140" customWidth="1"/>
    <col min="4627" max="4628" width="8.81640625" style="140" customWidth="1"/>
    <col min="4629" max="4634" width="7.7265625" style="140" customWidth="1"/>
    <col min="4635" max="4635" width="10.453125" style="140" bestFit="1" customWidth="1"/>
    <col min="4636" max="4871" width="9.1796875" style="140"/>
    <col min="4872" max="4872" width="3.7265625" style="140" customWidth="1"/>
    <col min="4873" max="4873" width="14.453125" style="140" customWidth="1"/>
    <col min="4874" max="4874" width="3.7265625" style="140" customWidth="1"/>
    <col min="4875" max="4875" width="20.1796875" style="140" customWidth="1"/>
    <col min="4876" max="4876" width="6.26953125" style="140" customWidth="1"/>
    <col min="4877" max="4882" width="11.54296875" style="140" customWidth="1"/>
    <col min="4883" max="4884" width="8.81640625" style="140" customWidth="1"/>
    <col min="4885" max="4890" width="7.7265625" style="140" customWidth="1"/>
    <col min="4891" max="4891" width="10.453125" style="140" bestFit="1" customWidth="1"/>
    <col min="4892" max="5127" width="9.1796875" style="140"/>
    <col min="5128" max="5128" width="3.7265625" style="140" customWidth="1"/>
    <col min="5129" max="5129" width="14.453125" style="140" customWidth="1"/>
    <col min="5130" max="5130" width="3.7265625" style="140" customWidth="1"/>
    <col min="5131" max="5131" width="20.1796875" style="140" customWidth="1"/>
    <col min="5132" max="5132" width="6.26953125" style="140" customWidth="1"/>
    <col min="5133" max="5138" width="11.54296875" style="140" customWidth="1"/>
    <col min="5139" max="5140" width="8.81640625" style="140" customWidth="1"/>
    <col min="5141" max="5146" width="7.7265625" style="140" customWidth="1"/>
    <col min="5147" max="5147" width="10.453125" style="140" bestFit="1" customWidth="1"/>
    <col min="5148" max="5383" width="9.1796875" style="140"/>
    <col min="5384" max="5384" width="3.7265625" style="140" customWidth="1"/>
    <col min="5385" max="5385" width="14.453125" style="140" customWidth="1"/>
    <col min="5386" max="5386" width="3.7265625" style="140" customWidth="1"/>
    <col min="5387" max="5387" width="20.1796875" style="140" customWidth="1"/>
    <col min="5388" max="5388" width="6.26953125" style="140" customWidth="1"/>
    <col min="5389" max="5394" width="11.54296875" style="140" customWidth="1"/>
    <col min="5395" max="5396" width="8.81640625" style="140" customWidth="1"/>
    <col min="5397" max="5402" width="7.7265625" style="140" customWidth="1"/>
    <col min="5403" max="5403" width="10.453125" style="140" bestFit="1" customWidth="1"/>
    <col min="5404" max="5639" width="9.1796875" style="140"/>
    <col min="5640" max="5640" width="3.7265625" style="140" customWidth="1"/>
    <col min="5641" max="5641" width="14.453125" style="140" customWidth="1"/>
    <col min="5642" max="5642" width="3.7265625" style="140" customWidth="1"/>
    <col min="5643" max="5643" width="20.1796875" style="140" customWidth="1"/>
    <col min="5644" max="5644" width="6.26953125" style="140" customWidth="1"/>
    <col min="5645" max="5650" width="11.54296875" style="140" customWidth="1"/>
    <col min="5651" max="5652" width="8.81640625" style="140" customWidth="1"/>
    <col min="5653" max="5658" width="7.7265625" style="140" customWidth="1"/>
    <col min="5659" max="5659" width="10.453125" style="140" bestFit="1" customWidth="1"/>
    <col min="5660" max="5895" width="9.1796875" style="140"/>
    <col min="5896" max="5896" width="3.7265625" style="140" customWidth="1"/>
    <col min="5897" max="5897" width="14.453125" style="140" customWidth="1"/>
    <col min="5898" max="5898" width="3.7265625" style="140" customWidth="1"/>
    <col min="5899" max="5899" width="20.1796875" style="140" customWidth="1"/>
    <col min="5900" max="5900" width="6.26953125" style="140" customWidth="1"/>
    <col min="5901" max="5906" width="11.54296875" style="140" customWidth="1"/>
    <col min="5907" max="5908" width="8.81640625" style="140" customWidth="1"/>
    <col min="5909" max="5914" width="7.7265625" style="140" customWidth="1"/>
    <col min="5915" max="5915" width="10.453125" style="140" bestFit="1" customWidth="1"/>
    <col min="5916" max="6151" width="9.1796875" style="140"/>
    <col min="6152" max="6152" width="3.7265625" style="140" customWidth="1"/>
    <col min="6153" max="6153" width="14.453125" style="140" customWidth="1"/>
    <col min="6154" max="6154" width="3.7265625" style="140" customWidth="1"/>
    <col min="6155" max="6155" width="20.1796875" style="140" customWidth="1"/>
    <col min="6156" max="6156" width="6.26953125" style="140" customWidth="1"/>
    <col min="6157" max="6162" width="11.54296875" style="140" customWidth="1"/>
    <col min="6163" max="6164" width="8.81640625" style="140" customWidth="1"/>
    <col min="6165" max="6170" width="7.7265625" style="140" customWidth="1"/>
    <col min="6171" max="6171" width="10.453125" style="140" bestFit="1" customWidth="1"/>
    <col min="6172" max="6407" width="9.1796875" style="140"/>
    <col min="6408" max="6408" width="3.7265625" style="140" customWidth="1"/>
    <col min="6409" max="6409" width="14.453125" style="140" customWidth="1"/>
    <col min="6410" max="6410" width="3.7265625" style="140" customWidth="1"/>
    <col min="6411" max="6411" width="20.1796875" style="140" customWidth="1"/>
    <col min="6412" max="6412" width="6.26953125" style="140" customWidth="1"/>
    <col min="6413" max="6418" width="11.54296875" style="140" customWidth="1"/>
    <col min="6419" max="6420" width="8.81640625" style="140" customWidth="1"/>
    <col min="6421" max="6426" width="7.7265625" style="140" customWidth="1"/>
    <col min="6427" max="6427" width="10.453125" style="140" bestFit="1" customWidth="1"/>
    <col min="6428" max="6663" width="9.1796875" style="140"/>
    <col min="6664" max="6664" width="3.7265625" style="140" customWidth="1"/>
    <col min="6665" max="6665" width="14.453125" style="140" customWidth="1"/>
    <col min="6666" max="6666" width="3.7265625" style="140" customWidth="1"/>
    <col min="6667" max="6667" width="20.1796875" style="140" customWidth="1"/>
    <col min="6668" max="6668" width="6.26953125" style="140" customWidth="1"/>
    <col min="6669" max="6674" width="11.54296875" style="140" customWidth="1"/>
    <col min="6675" max="6676" width="8.81640625" style="140" customWidth="1"/>
    <col min="6677" max="6682" width="7.7265625" style="140" customWidth="1"/>
    <col min="6683" max="6683" width="10.453125" style="140" bestFit="1" customWidth="1"/>
    <col min="6684" max="6919" width="9.1796875" style="140"/>
    <col min="6920" max="6920" width="3.7265625" style="140" customWidth="1"/>
    <col min="6921" max="6921" width="14.453125" style="140" customWidth="1"/>
    <col min="6922" max="6922" width="3.7265625" style="140" customWidth="1"/>
    <col min="6923" max="6923" width="20.1796875" style="140" customWidth="1"/>
    <col min="6924" max="6924" width="6.26953125" style="140" customWidth="1"/>
    <col min="6925" max="6930" width="11.54296875" style="140" customWidth="1"/>
    <col min="6931" max="6932" width="8.81640625" style="140" customWidth="1"/>
    <col min="6933" max="6938" width="7.7265625" style="140" customWidth="1"/>
    <col min="6939" max="6939" width="10.453125" style="140" bestFit="1" customWidth="1"/>
    <col min="6940" max="7175" width="9.1796875" style="140"/>
    <col min="7176" max="7176" width="3.7265625" style="140" customWidth="1"/>
    <col min="7177" max="7177" width="14.453125" style="140" customWidth="1"/>
    <col min="7178" max="7178" width="3.7265625" style="140" customWidth="1"/>
    <col min="7179" max="7179" width="20.1796875" style="140" customWidth="1"/>
    <col min="7180" max="7180" width="6.26953125" style="140" customWidth="1"/>
    <col min="7181" max="7186" width="11.54296875" style="140" customWidth="1"/>
    <col min="7187" max="7188" width="8.81640625" style="140" customWidth="1"/>
    <col min="7189" max="7194" width="7.7265625" style="140" customWidth="1"/>
    <col min="7195" max="7195" width="10.453125" style="140" bestFit="1" customWidth="1"/>
    <col min="7196" max="7431" width="9.1796875" style="140"/>
    <col min="7432" max="7432" width="3.7265625" style="140" customWidth="1"/>
    <col min="7433" max="7433" width="14.453125" style="140" customWidth="1"/>
    <col min="7434" max="7434" width="3.7265625" style="140" customWidth="1"/>
    <col min="7435" max="7435" width="20.1796875" style="140" customWidth="1"/>
    <col min="7436" max="7436" width="6.26953125" style="140" customWidth="1"/>
    <col min="7437" max="7442" width="11.54296875" style="140" customWidth="1"/>
    <col min="7443" max="7444" width="8.81640625" style="140" customWidth="1"/>
    <col min="7445" max="7450" width="7.7265625" style="140" customWidth="1"/>
    <col min="7451" max="7451" width="10.453125" style="140" bestFit="1" customWidth="1"/>
    <col min="7452" max="7687" width="9.1796875" style="140"/>
    <col min="7688" max="7688" width="3.7265625" style="140" customWidth="1"/>
    <col min="7689" max="7689" width="14.453125" style="140" customWidth="1"/>
    <col min="7690" max="7690" width="3.7265625" style="140" customWidth="1"/>
    <col min="7691" max="7691" width="20.1796875" style="140" customWidth="1"/>
    <col min="7692" max="7692" width="6.26953125" style="140" customWidth="1"/>
    <col min="7693" max="7698" width="11.54296875" style="140" customWidth="1"/>
    <col min="7699" max="7700" width="8.81640625" style="140" customWidth="1"/>
    <col min="7701" max="7706" width="7.7265625" style="140" customWidth="1"/>
    <col min="7707" max="7707" width="10.453125" style="140" bestFit="1" customWidth="1"/>
    <col min="7708" max="7943" width="9.1796875" style="140"/>
    <col min="7944" max="7944" width="3.7265625" style="140" customWidth="1"/>
    <col min="7945" max="7945" width="14.453125" style="140" customWidth="1"/>
    <col min="7946" max="7946" width="3.7265625" style="140" customWidth="1"/>
    <col min="7947" max="7947" width="20.1796875" style="140" customWidth="1"/>
    <col min="7948" max="7948" width="6.26953125" style="140" customWidth="1"/>
    <col min="7949" max="7954" width="11.54296875" style="140" customWidth="1"/>
    <col min="7955" max="7956" width="8.81640625" style="140" customWidth="1"/>
    <col min="7957" max="7962" width="7.7265625" style="140" customWidth="1"/>
    <col min="7963" max="7963" width="10.453125" style="140" bestFit="1" customWidth="1"/>
    <col min="7964" max="8199" width="9.1796875" style="140"/>
    <col min="8200" max="8200" width="3.7265625" style="140" customWidth="1"/>
    <col min="8201" max="8201" width="14.453125" style="140" customWidth="1"/>
    <col min="8202" max="8202" width="3.7265625" style="140" customWidth="1"/>
    <col min="8203" max="8203" width="20.1796875" style="140" customWidth="1"/>
    <col min="8204" max="8204" width="6.26953125" style="140" customWidth="1"/>
    <col min="8205" max="8210" width="11.54296875" style="140" customWidth="1"/>
    <col min="8211" max="8212" width="8.81640625" style="140" customWidth="1"/>
    <col min="8213" max="8218" width="7.7265625" style="140" customWidth="1"/>
    <col min="8219" max="8219" width="10.453125" style="140" bestFit="1" customWidth="1"/>
    <col min="8220" max="8455" width="9.1796875" style="140"/>
    <col min="8456" max="8456" width="3.7265625" style="140" customWidth="1"/>
    <col min="8457" max="8457" width="14.453125" style="140" customWidth="1"/>
    <col min="8458" max="8458" width="3.7265625" style="140" customWidth="1"/>
    <col min="8459" max="8459" width="20.1796875" style="140" customWidth="1"/>
    <col min="8460" max="8460" width="6.26953125" style="140" customWidth="1"/>
    <col min="8461" max="8466" width="11.54296875" style="140" customWidth="1"/>
    <col min="8467" max="8468" width="8.81640625" style="140" customWidth="1"/>
    <col min="8469" max="8474" width="7.7265625" style="140" customWidth="1"/>
    <col min="8475" max="8475" width="10.453125" style="140" bestFit="1" customWidth="1"/>
    <col min="8476" max="8711" width="9.1796875" style="140"/>
    <col min="8712" max="8712" width="3.7265625" style="140" customWidth="1"/>
    <col min="8713" max="8713" width="14.453125" style="140" customWidth="1"/>
    <col min="8714" max="8714" width="3.7265625" style="140" customWidth="1"/>
    <col min="8715" max="8715" width="20.1796875" style="140" customWidth="1"/>
    <col min="8716" max="8716" width="6.26953125" style="140" customWidth="1"/>
    <col min="8717" max="8722" width="11.54296875" style="140" customWidth="1"/>
    <col min="8723" max="8724" width="8.81640625" style="140" customWidth="1"/>
    <col min="8725" max="8730" width="7.7265625" style="140" customWidth="1"/>
    <col min="8731" max="8731" width="10.453125" style="140" bestFit="1" customWidth="1"/>
    <col min="8732" max="8967" width="9.1796875" style="140"/>
    <col min="8968" max="8968" width="3.7265625" style="140" customWidth="1"/>
    <col min="8969" max="8969" width="14.453125" style="140" customWidth="1"/>
    <col min="8970" max="8970" width="3.7265625" style="140" customWidth="1"/>
    <col min="8971" max="8971" width="20.1796875" style="140" customWidth="1"/>
    <col min="8972" max="8972" width="6.26953125" style="140" customWidth="1"/>
    <col min="8973" max="8978" width="11.54296875" style="140" customWidth="1"/>
    <col min="8979" max="8980" width="8.81640625" style="140" customWidth="1"/>
    <col min="8981" max="8986" width="7.7265625" style="140" customWidth="1"/>
    <col min="8987" max="8987" width="10.453125" style="140" bestFit="1" customWidth="1"/>
    <col min="8988" max="9223" width="9.1796875" style="140"/>
    <col min="9224" max="9224" width="3.7265625" style="140" customWidth="1"/>
    <col min="9225" max="9225" width="14.453125" style="140" customWidth="1"/>
    <col min="9226" max="9226" width="3.7265625" style="140" customWidth="1"/>
    <col min="9227" max="9227" width="20.1796875" style="140" customWidth="1"/>
    <col min="9228" max="9228" width="6.26953125" style="140" customWidth="1"/>
    <col min="9229" max="9234" width="11.54296875" style="140" customWidth="1"/>
    <col min="9235" max="9236" width="8.81640625" style="140" customWidth="1"/>
    <col min="9237" max="9242" width="7.7265625" style="140" customWidth="1"/>
    <col min="9243" max="9243" width="10.453125" style="140" bestFit="1" customWidth="1"/>
    <col min="9244" max="9479" width="9.1796875" style="140"/>
    <col min="9480" max="9480" width="3.7265625" style="140" customWidth="1"/>
    <col min="9481" max="9481" width="14.453125" style="140" customWidth="1"/>
    <col min="9482" max="9482" width="3.7265625" style="140" customWidth="1"/>
    <col min="9483" max="9483" width="20.1796875" style="140" customWidth="1"/>
    <col min="9484" max="9484" width="6.26953125" style="140" customWidth="1"/>
    <col min="9485" max="9490" width="11.54296875" style="140" customWidth="1"/>
    <col min="9491" max="9492" width="8.81640625" style="140" customWidth="1"/>
    <col min="9493" max="9498" width="7.7265625" style="140" customWidth="1"/>
    <col min="9499" max="9499" width="10.453125" style="140" bestFit="1" customWidth="1"/>
    <col min="9500" max="9735" width="9.1796875" style="140"/>
    <col min="9736" max="9736" width="3.7265625" style="140" customWidth="1"/>
    <col min="9737" max="9737" width="14.453125" style="140" customWidth="1"/>
    <col min="9738" max="9738" width="3.7265625" style="140" customWidth="1"/>
    <col min="9739" max="9739" width="20.1796875" style="140" customWidth="1"/>
    <col min="9740" max="9740" width="6.26953125" style="140" customWidth="1"/>
    <col min="9741" max="9746" width="11.54296875" style="140" customWidth="1"/>
    <col min="9747" max="9748" width="8.81640625" style="140" customWidth="1"/>
    <col min="9749" max="9754" width="7.7265625" style="140" customWidth="1"/>
    <col min="9755" max="9755" width="10.453125" style="140" bestFit="1" customWidth="1"/>
    <col min="9756" max="9991" width="9.1796875" style="140"/>
    <col min="9992" max="9992" width="3.7265625" style="140" customWidth="1"/>
    <col min="9993" max="9993" width="14.453125" style="140" customWidth="1"/>
    <col min="9994" max="9994" width="3.7265625" style="140" customWidth="1"/>
    <col min="9995" max="9995" width="20.1796875" style="140" customWidth="1"/>
    <col min="9996" max="9996" width="6.26953125" style="140" customWidth="1"/>
    <col min="9997" max="10002" width="11.54296875" style="140" customWidth="1"/>
    <col min="10003" max="10004" width="8.81640625" style="140" customWidth="1"/>
    <col min="10005" max="10010" width="7.7265625" style="140" customWidth="1"/>
    <col min="10011" max="10011" width="10.453125" style="140" bestFit="1" customWidth="1"/>
    <col min="10012" max="10247" width="9.1796875" style="140"/>
    <col min="10248" max="10248" width="3.7265625" style="140" customWidth="1"/>
    <col min="10249" max="10249" width="14.453125" style="140" customWidth="1"/>
    <col min="10250" max="10250" width="3.7265625" style="140" customWidth="1"/>
    <col min="10251" max="10251" width="20.1796875" style="140" customWidth="1"/>
    <col min="10252" max="10252" width="6.26953125" style="140" customWidth="1"/>
    <col min="10253" max="10258" width="11.54296875" style="140" customWidth="1"/>
    <col min="10259" max="10260" width="8.81640625" style="140" customWidth="1"/>
    <col min="10261" max="10266" width="7.7265625" style="140" customWidth="1"/>
    <col min="10267" max="10267" width="10.453125" style="140" bestFit="1" customWidth="1"/>
    <col min="10268" max="10503" width="9.1796875" style="140"/>
    <col min="10504" max="10504" width="3.7265625" style="140" customWidth="1"/>
    <col min="10505" max="10505" width="14.453125" style="140" customWidth="1"/>
    <col min="10506" max="10506" width="3.7265625" style="140" customWidth="1"/>
    <col min="10507" max="10507" width="20.1796875" style="140" customWidth="1"/>
    <col min="10508" max="10508" width="6.26953125" style="140" customWidth="1"/>
    <col min="10509" max="10514" width="11.54296875" style="140" customWidth="1"/>
    <col min="10515" max="10516" width="8.81640625" style="140" customWidth="1"/>
    <col min="10517" max="10522" width="7.7265625" style="140" customWidth="1"/>
    <col min="10523" max="10523" width="10.453125" style="140" bestFit="1" customWidth="1"/>
    <col min="10524" max="10759" width="9.1796875" style="140"/>
    <col min="10760" max="10760" width="3.7265625" style="140" customWidth="1"/>
    <col min="10761" max="10761" width="14.453125" style="140" customWidth="1"/>
    <col min="10762" max="10762" width="3.7265625" style="140" customWidth="1"/>
    <col min="10763" max="10763" width="20.1796875" style="140" customWidth="1"/>
    <col min="10764" max="10764" width="6.26953125" style="140" customWidth="1"/>
    <col min="10765" max="10770" width="11.54296875" style="140" customWidth="1"/>
    <col min="10771" max="10772" width="8.81640625" style="140" customWidth="1"/>
    <col min="10773" max="10778" width="7.7265625" style="140" customWidth="1"/>
    <col min="10779" max="10779" width="10.453125" style="140" bestFit="1" customWidth="1"/>
    <col min="10780" max="11015" width="9.1796875" style="140"/>
    <col min="11016" max="11016" width="3.7265625" style="140" customWidth="1"/>
    <col min="11017" max="11017" width="14.453125" style="140" customWidth="1"/>
    <col min="11018" max="11018" width="3.7265625" style="140" customWidth="1"/>
    <col min="11019" max="11019" width="20.1796875" style="140" customWidth="1"/>
    <col min="11020" max="11020" width="6.26953125" style="140" customWidth="1"/>
    <col min="11021" max="11026" width="11.54296875" style="140" customWidth="1"/>
    <col min="11027" max="11028" width="8.81640625" style="140" customWidth="1"/>
    <col min="11029" max="11034" width="7.7265625" style="140" customWidth="1"/>
    <col min="11035" max="11035" width="10.453125" style="140" bestFit="1" customWidth="1"/>
    <col min="11036" max="11271" width="9.1796875" style="140"/>
    <col min="11272" max="11272" width="3.7265625" style="140" customWidth="1"/>
    <col min="11273" max="11273" width="14.453125" style="140" customWidth="1"/>
    <col min="11274" max="11274" width="3.7265625" style="140" customWidth="1"/>
    <col min="11275" max="11275" width="20.1796875" style="140" customWidth="1"/>
    <col min="11276" max="11276" width="6.26953125" style="140" customWidth="1"/>
    <col min="11277" max="11282" width="11.54296875" style="140" customWidth="1"/>
    <col min="11283" max="11284" width="8.81640625" style="140" customWidth="1"/>
    <col min="11285" max="11290" width="7.7265625" style="140" customWidth="1"/>
    <col min="11291" max="11291" width="10.453125" style="140" bestFit="1" customWidth="1"/>
    <col min="11292" max="11527" width="9.1796875" style="140"/>
    <col min="11528" max="11528" width="3.7265625" style="140" customWidth="1"/>
    <col min="11529" max="11529" width="14.453125" style="140" customWidth="1"/>
    <col min="11530" max="11530" width="3.7265625" style="140" customWidth="1"/>
    <col min="11531" max="11531" width="20.1796875" style="140" customWidth="1"/>
    <col min="11532" max="11532" width="6.26953125" style="140" customWidth="1"/>
    <col min="11533" max="11538" width="11.54296875" style="140" customWidth="1"/>
    <col min="11539" max="11540" width="8.81640625" style="140" customWidth="1"/>
    <col min="11541" max="11546" width="7.7265625" style="140" customWidth="1"/>
    <col min="11547" max="11547" width="10.453125" style="140" bestFit="1" customWidth="1"/>
    <col min="11548" max="11783" width="9.1796875" style="140"/>
    <col min="11784" max="11784" width="3.7265625" style="140" customWidth="1"/>
    <col min="11785" max="11785" width="14.453125" style="140" customWidth="1"/>
    <col min="11786" max="11786" width="3.7265625" style="140" customWidth="1"/>
    <col min="11787" max="11787" width="20.1796875" style="140" customWidth="1"/>
    <col min="11788" max="11788" width="6.26953125" style="140" customWidth="1"/>
    <col min="11789" max="11794" width="11.54296875" style="140" customWidth="1"/>
    <col min="11795" max="11796" width="8.81640625" style="140" customWidth="1"/>
    <col min="11797" max="11802" width="7.7265625" style="140" customWidth="1"/>
    <col min="11803" max="11803" width="10.453125" style="140" bestFit="1" customWidth="1"/>
    <col min="11804" max="12039" width="9.1796875" style="140"/>
    <col min="12040" max="12040" width="3.7265625" style="140" customWidth="1"/>
    <col min="12041" max="12041" width="14.453125" style="140" customWidth="1"/>
    <col min="12042" max="12042" width="3.7265625" style="140" customWidth="1"/>
    <col min="12043" max="12043" width="20.1796875" style="140" customWidth="1"/>
    <col min="12044" max="12044" width="6.26953125" style="140" customWidth="1"/>
    <col min="12045" max="12050" width="11.54296875" style="140" customWidth="1"/>
    <col min="12051" max="12052" width="8.81640625" style="140" customWidth="1"/>
    <col min="12053" max="12058" width="7.7265625" style="140" customWidth="1"/>
    <col min="12059" max="12059" width="10.453125" style="140" bestFit="1" customWidth="1"/>
    <col min="12060" max="12295" width="9.1796875" style="140"/>
    <col min="12296" max="12296" width="3.7265625" style="140" customWidth="1"/>
    <col min="12297" max="12297" width="14.453125" style="140" customWidth="1"/>
    <col min="12298" max="12298" width="3.7265625" style="140" customWidth="1"/>
    <col min="12299" max="12299" width="20.1796875" style="140" customWidth="1"/>
    <col min="12300" max="12300" width="6.26953125" style="140" customWidth="1"/>
    <col min="12301" max="12306" width="11.54296875" style="140" customWidth="1"/>
    <col min="12307" max="12308" width="8.81640625" style="140" customWidth="1"/>
    <col min="12309" max="12314" width="7.7265625" style="140" customWidth="1"/>
    <col min="12315" max="12315" width="10.453125" style="140" bestFit="1" customWidth="1"/>
    <col min="12316" max="12551" width="9.1796875" style="140"/>
    <col min="12552" max="12552" width="3.7265625" style="140" customWidth="1"/>
    <col min="12553" max="12553" width="14.453125" style="140" customWidth="1"/>
    <col min="12554" max="12554" width="3.7265625" style="140" customWidth="1"/>
    <col min="12555" max="12555" width="20.1796875" style="140" customWidth="1"/>
    <col min="12556" max="12556" width="6.26953125" style="140" customWidth="1"/>
    <col min="12557" max="12562" width="11.54296875" style="140" customWidth="1"/>
    <col min="12563" max="12564" width="8.81640625" style="140" customWidth="1"/>
    <col min="12565" max="12570" width="7.7265625" style="140" customWidth="1"/>
    <col min="12571" max="12571" width="10.453125" style="140" bestFit="1" customWidth="1"/>
    <col min="12572" max="12807" width="9.1796875" style="140"/>
    <col min="12808" max="12808" width="3.7265625" style="140" customWidth="1"/>
    <col min="12809" max="12809" width="14.453125" style="140" customWidth="1"/>
    <col min="12810" max="12810" width="3.7265625" style="140" customWidth="1"/>
    <col min="12811" max="12811" width="20.1796875" style="140" customWidth="1"/>
    <col min="12812" max="12812" width="6.26953125" style="140" customWidth="1"/>
    <col min="12813" max="12818" width="11.54296875" style="140" customWidth="1"/>
    <col min="12819" max="12820" width="8.81640625" style="140" customWidth="1"/>
    <col min="12821" max="12826" width="7.7265625" style="140" customWidth="1"/>
    <col min="12827" max="12827" width="10.453125" style="140" bestFit="1" customWidth="1"/>
    <col min="12828" max="13063" width="9.1796875" style="140"/>
    <col min="13064" max="13064" width="3.7265625" style="140" customWidth="1"/>
    <col min="13065" max="13065" width="14.453125" style="140" customWidth="1"/>
    <col min="13066" max="13066" width="3.7265625" style="140" customWidth="1"/>
    <col min="13067" max="13067" width="20.1796875" style="140" customWidth="1"/>
    <col min="13068" max="13068" width="6.26953125" style="140" customWidth="1"/>
    <col min="13069" max="13074" width="11.54296875" style="140" customWidth="1"/>
    <col min="13075" max="13076" width="8.81640625" style="140" customWidth="1"/>
    <col min="13077" max="13082" width="7.7265625" style="140" customWidth="1"/>
    <col min="13083" max="13083" width="10.453125" style="140" bestFit="1" customWidth="1"/>
    <col min="13084" max="13319" width="9.1796875" style="140"/>
    <col min="13320" max="13320" width="3.7265625" style="140" customWidth="1"/>
    <col min="13321" max="13321" width="14.453125" style="140" customWidth="1"/>
    <col min="13322" max="13322" width="3.7265625" style="140" customWidth="1"/>
    <col min="13323" max="13323" width="20.1796875" style="140" customWidth="1"/>
    <col min="13324" max="13324" width="6.26953125" style="140" customWidth="1"/>
    <col min="13325" max="13330" width="11.54296875" style="140" customWidth="1"/>
    <col min="13331" max="13332" width="8.81640625" style="140" customWidth="1"/>
    <col min="13333" max="13338" width="7.7265625" style="140" customWidth="1"/>
    <col min="13339" max="13339" width="10.453125" style="140" bestFit="1" customWidth="1"/>
    <col min="13340" max="13575" width="9.1796875" style="140"/>
    <col min="13576" max="13576" width="3.7265625" style="140" customWidth="1"/>
    <col min="13577" max="13577" width="14.453125" style="140" customWidth="1"/>
    <col min="13578" max="13578" width="3.7265625" style="140" customWidth="1"/>
    <col min="13579" max="13579" width="20.1796875" style="140" customWidth="1"/>
    <col min="13580" max="13580" width="6.26953125" style="140" customWidth="1"/>
    <col min="13581" max="13586" width="11.54296875" style="140" customWidth="1"/>
    <col min="13587" max="13588" width="8.81640625" style="140" customWidth="1"/>
    <col min="13589" max="13594" width="7.7265625" style="140" customWidth="1"/>
    <col min="13595" max="13595" width="10.453125" style="140" bestFit="1" customWidth="1"/>
    <col min="13596" max="13831" width="9.1796875" style="140"/>
    <col min="13832" max="13832" width="3.7265625" style="140" customWidth="1"/>
    <col min="13833" max="13833" width="14.453125" style="140" customWidth="1"/>
    <col min="13834" max="13834" width="3.7265625" style="140" customWidth="1"/>
    <col min="13835" max="13835" width="20.1796875" style="140" customWidth="1"/>
    <col min="13836" max="13836" width="6.26953125" style="140" customWidth="1"/>
    <col min="13837" max="13842" width="11.54296875" style="140" customWidth="1"/>
    <col min="13843" max="13844" width="8.81640625" style="140" customWidth="1"/>
    <col min="13845" max="13850" width="7.7265625" style="140" customWidth="1"/>
    <col min="13851" max="13851" width="10.453125" style="140" bestFit="1" customWidth="1"/>
    <col min="13852" max="14087" width="9.1796875" style="140"/>
    <col min="14088" max="14088" width="3.7265625" style="140" customWidth="1"/>
    <col min="14089" max="14089" width="14.453125" style="140" customWidth="1"/>
    <col min="14090" max="14090" width="3.7265625" style="140" customWidth="1"/>
    <col min="14091" max="14091" width="20.1796875" style="140" customWidth="1"/>
    <col min="14092" max="14092" width="6.26953125" style="140" customWidth="1"/>
    <col min="14093" max="14098" width="11.54296875" style="140" customWidth="1"/>
    <col min="14099" max="14100" width="8.81640625" style="140" customWidth="1"/>
    <col min="14101" max="14106" width="7.7265625" style="140" customWidth="1"/>
    <col min="14107" max="14107" width="10.453125" style="140" bestFit="1" customWidth="1"/>
    <col min="14108" max="14343" width="9.1796875" style="140"/>
    <col min="14344" max="14344" width="3.7265625" style="140" customWidth="1"/>
    <col min="14345" max="14345" width="14.453125" style="140" customWidth="1"/>
    <col min="14346" max="14346" width="3.7265625" style="140" customWidth="1"/>
    <col min="14347" max="14347" width="20.1796875" style="140" customWidth="1"/>
    <col min="14348" max="14348" width="6.26953125" style="140" customWidth="1"/>
    <col min="14349" max="14354" width="11.54296875" style="140" customWidth="1"/>
    <col min="14355" max="14356" width="8.81640625" style="140" customWidth="1"/>
    <col min="14357" max="14362" width="7.7265625" style="140" customWidth="1"/>
    <col min="14363" max="14363" width="10.453125" style="140" bestFit="1" customWidth="1"/>
    <col min="14364" max="14599" width="9.1796875" style="140"/>
    <col min="14600" max="14600" width="3.7265625" style="140" customWidth="1"/>
    <col min="14601" max="14601" width="14.453125" style="140" customWidth="1"/>
    <col min="14602" max="14602" width="3.7265625" style="140" customWidth="1"/>
    <col min="14603" max="14603" width="20.1796875" style="140" customWidth="1"/>
    <col min="14604" max="14604" width="6.26953125" style="140" customWidth="1"/>
    <col min="14605" max="14610" width="11.54296875" style="140" customWidth="1"/>
    <col min="14611" max="14612" width="8.81640625" style="140" customWidth="1"/>
    <col min="14613" max="14618" width="7.7265625" style="140" customWidth="1"/>
    <col min="14619" max="14619" width="10.453125" style="140" bestFit="1" customWidth="1"/>
    <col min="14620" max="14855" width="9.1796875" style="140"/>
    <col min="14856" max="14856" width="3.7265625" style="140" customWidth="1"/>
    <col min="14857" max="14857" width="14.453125" style="140" customWidth="1"/>
    <col min="14858" max="14858" width="3.7265625" style="140" customWidth="1"/>
    <col min="14859" max="14859" width="20.1796875" style="140" customWidth="1"/>
    <col min="14860" max="14860" width="6.26953125" style="140" customWidth="1"/>
    <col min="14861" max="14866" width="11.54296875" style="140" customWidth="1"/>
    <col min="14867" max="14868" width="8.81640625" style="140" customWidth="1"/>
    <col min="14869" max="14874" width="7.7265625" style="140" customWidth="1"/>
    <col min="14875" max="14875" width="10.453125" style="140" bestFit="1" customWidth="1"/>
    <col min="14876" max="15111" width="9.1796875" style="140"/>
    <col min="15112" max="15112" width="3.7265625" style="140" customWidth="1"/>
    <col min="15113" max="15113" width="14.453125" style="140" customWidth="1"/>
    <col min="15114" max="15114" width="3.7265625" style="140" customWidth="1"/>
    <col min="15115" max="15115" width="20.1796875" style="140" customWidth="1"/>
    <col min="15116" max="15116" width="6.26953125" style="140" customWidth="1"/>
    <col min="15117" max="15122" width="11.54296875" style="140" customWidth="1"/>
    <col min="15123" max="15124" width="8.81640625" style="140" customWidth="1"/>
    <col min="15125" max="15130" width="7.7265625" style="140" customWidth="1"/>
    <col min="15131" max="15131" width="10.453125" style="140" bestFit="1" customWidth="1"/>
    <col min="15132" max="15367" width="9.1796875" style="140"/>
    <col min="15368" max="15368" width="3.7265625" style="140" customWidth="1"/>
    <col min="15369" max="15369" width="14.453125" style="140" customWidth="1"/>
    <col min="15370" max="15370" width="3.7265625" style="140" customWidth="1"/>
    <col min="15371" max="15371" width="20.1796875" style="140" customWidth="1"/>
    <col min="15372" max="15372" width="6.26953125" style="140" customWidth="1"/>
    <col min="15373" max="15378" width="11.54296875" style="140" customWidth="1"/>
    <col min="15379" max="15380" width="8.81640625" style="140" customWidth="1"/>
    <col min="15381" max="15386" width="7.7265625" style="140" customWidth="1"/>
    <col min="15387" max="15387" width="10.453125" style="140" bestFit="1" customWidth="1"/>
    <col min="15388" max="15623" width="9.1796875" style="140"/>
    <col min="15624" max="15624" width="3.7265625" style="140" customWidth="1"/>
    <col min="15625" max="15625" width="14.453125" style="140" customWidth="1"/>
    <col min="15626" max="15626" width="3.7265625" style="140" customWidth="1"/>
    <col min="15627" max="15627" width="20.1796875" style="140" customWidth="1"/>
    <col min="15628" max="15628" width="6.26953125" style="140" customWidth="1"/>
    <col min="15629" max="15634" width="11.54296875" style="140" customWidth="1"/>
    <col min="15635" max="15636" width="8.81640625" style="140" customWidth="1"/>
    <col min="15637" max="15642" width="7.7265625" style="140" customWidth="1"/>
    <col min="15643" max="15643" width="10.453125" style="140" bestFit="1" customWidth="1"/>
    <col min="15644" max="15879" width="9.1796875" style="140"/>
    <col min="15880" max="15880" width="3.7265625" style="140" customWidth="1"/>
    <col min="15881" max="15881" width="14.453125" style="140" customWidth="1"/>
    <col min="15882" max="15882" width="3.7265625" style="140" customWidth="1"/>
    <col min="15883" max="15883" width="20.1796875" style="140" customWidth="1"/>
    <col min="15884" max="15884" width="6.26953125" style="140" customWidth="1"/>
    <col min="15885" max="15890" width="11.54296875" style="140" customWidth="1"/>
    <col min="15891" max="15892" width="8.81640625" style="140" customWidth="1"/>
    <col min="15893" max="15898" width="7.7265625" style="140" customWidth="1"/>
    <col min="15899" max="15899" width="10.453125" style="140" bestFit="1" customWidth="1"/>
    <col min="15900" max="16135" width="9.1796875" style="140"/>
    <col min="16136" max="16136" width="3.7265625" style="140" customWidth="1"/>
    <col min="16137" max="16137" width="14.453125" style="140" customWidth="1"/>
    <col min="16138" max="16138" width="3.7265625" style="140" customWidth="1"/>
    <col min="16139" max="16139" width="20.1796875" style="140" customWidth="1"/>
    <col min="16140" max="16140" width="6.26953125" style="140" customWidth="1"/>
    <col min="16141" max="16146" width="11.54296875" style="140" customWidth="1"/>
    <col min="16147" max="16148" width="8.81640625" style="140" customWidth="1"/>
    <col min="16149" max="16154" width="7.7265625" style="140" customWidth="1"/>
    <col min="16155" max="16155" width="10.453125" style="140" bestFit="1" customWidth="1"/>
    <col min="16156" max="16384" width="9.1796875" style="140"/>
  </cols>
  <sheetData>
    <row r="1" spans="1:30" x14ac:dyDescent="0.35">
      <c r="A1" s="819"/>
      <c r="B1" s="2077"/>
      <c r="C1" s="2077"/>
      <c r="D1" s="2078"/>
      <c r="E1" s="2909"/>
      <c r="F1" s="2078"/>
      <c r="G1" s="2078"/>
      <c r="H1" s="2078"/>
      <c r="I1" s="2078"/>
      <c r="J1" s="2078"/>
      <c r="K1" s="2078"/>
      <c r="L1" s="2078"/>
      <c r="M1" s="2078"/>
      <c r="N1" s="2078"/>
      <c r="O1" s="2078"/>
      <c r="P1" s="2078"/>
      <c r="Q1" s="2078"/>
      <c r="R1" s="2078"/>
      <c r="S1" s="2078"/>
      <c r="T1" s="2078"/>
      <c r="U1" s="2078"/>
      <c r="V1" s="2078"/>
      <c r="W1" s="2078"/>
      <c r="X1" s="2078"/>
      <c r="Y1" s="2078"/>
      <c r="Z1" s="2078"/>
      <c r="AA1" s="2078"/>
    </row>
    <row r="2" spans="1:30" ht="14.5" customHeight="1" x14ac:dyDescent="0.35">
      <c r="A2" s="819">
        <v>1</v>
      </c>
      <c r="B2" s="819" t="s">
        <v>0</v>
      </c>
      <c r="C2" s="819">
        <f>1+'Educational Perfomance  '!C2</f>
        <v>50</v>
      </c>
      <c r="D2" s="4892" t="s">
        <v>1130</v>
      </c>
      <c r="E2" s="4893"/>
      <c r="F2" s="4893"/>
      <c r="G2" s="4893"/>
      <c r="H2" s="4893"/>
      <c r="I2" s="4893"/>
      <c r="J2" s="4893"/>
      <c r="K2" s="4893"/>
      <c r="L2" s="4893"/>
      <c r="M2" s="4893"/>
      <c r="N2" s="4893"/>
      <c r="O2" s="4893"/>
      <c r="P2" s="4893"/>
      <c r="Q2" s="4893"/>
      <c r="R2" s="4893"/>
      <c r="S2" s="4893"/>
      <c r="T2" s="4893"/>
      <c r="U2" s="4893"/>
      <c r="V2" s="4894"/>
      <c r="W2" s="109"/>
      <c r="X2" s="109"/>
      <c r="Y2" s="109"/>
      <c r="Z2" s="109"/>
      <c r="AA2" s="109"/>
    </row>
    <row r="3" spans="1:30" x14ac:dyDescent="0.35">
      <c r="A3" s="819">
        <v>2</v>
      </c>
      <c r="B3" s="819" t="s">
        <v>2</v>
      </c>
      <c r="C3" s="819"/>
      <c r="D3" s="4892" t="s">
        <v>952</v>
      </c>
      <c r="E3" s="4893"/>
      <c r="F3" s="4893"/>
      <c r="G3" s="4893"/>
      <c r="H3" s="4893"/>
      <c r="I3" s="4893"/>
      <c r="J3" s="4893"/>
      <c r="K3" s="4893"/>
      <c r="L3" s="4893"/>
      <c r="M3" s="4893"/>
      <c r="N3" s="4893"/>
      <c r="O3" s="4893"/>
      <c r="P3" s="4893"/>
      <c r="Q3" s="4893"/>
      <c r="R3" s="4893"/>
      <c r="S3" s="4893"/>
      <c r="T3" s="4893"/>
      <c r="U3" s="4893"/>
      <c r="V3" s="4894"/>
      <c r="W3" s="109"/>
      <c r="X3" s="109"/>
      <c r="Y3" s="109"/>
      <c r="Z3" s="109"/>
      <c r="AA3" s="109"/>
    </row>
    <row r="4" spans="1:30" ht="12.75" customHeight="1" x14ac:dyDescent="0.35">
      <c r="A4" s="819">
        <v>3</v>
      </c>
      <c r="B4" s="819" t="s">
        <v>4</v>
      </c>
      <c r="C4" s="819"/>
      <c r="D4" s="4892" t="s">
        <v>1131</v>
      </c>
      <c r="E4" s="4893"/>
      <c r="F4" s="4893"/>
      <c r="G4" s="4893"/>
      <c r="H4" s="4893"/>
      <c r="I4" s="4893"/>
      <c r="J4" s="4893"/>
      <c r="K4" s="4893"/>
      <c r="L4" s="4893"/>
      <c r="M4" s="4893"/>
      <c r="N4" s="4893"/>
      <c r="O4" s="4893"/>
      <c r="P4" s="4893"/>
      <c r="Q4" s="4893"/>
      <c r="R4" s="4893"/>
      <c r="S4" s="4893"/>
      <c r="T4" s="4893"/>
      <c r="U4" s="4893"/>
      <c r="V4" s="4894"/>
      <c r="W4" s="109"/>
      <c r="X4" s="109"/>
      <c r="Y4" s="109"/>
      <c r="Z4" s="109"/>
      <c r="AA4" s="109"/>
      <c r="AB4" s="4584"/>
      <c r="AC4" s="4584"/>
      <c r="AD4" s="4585"/>
    </row>
    <row r="5" spans="1:30" x14ac:dyDescent="0.35">
      <c r="B5" s="819"/>
      <c r="C5" s="819"/>
      <c r="D5" s="1427"/>
      <c r="E5" s="1427"/>
      <c r="F5" s="1427"/>
      <c r="G5" s="1427"/>
      <c r="H5" s="1427"/>
      <c r="I5" s="1427"/>
      <c r="J5" s="1427"/>
      <c r="K5" s="1427"/>
      <c r="L5" s="1427"/>
      <c r="M5" s="1427"/>
      <c r="N5" s="1427"/>
      <c r="O5" s="1427"/>
      <c r="P5" s="1427"/>
      <c r="Q5" s="1427"/>
      <c r="R5" s="1427"/>
      <c r="S5" s="1427"/>
      <c r="T5" s="1427"/>
      <c r="U5" s="1427"/>
      <c r="V5" s="1427"/>
      <c r="W5" s="109"/>
      <c r="X5" s="109"/>
      <c r="Y5" s="109"/>
      <c r="Z5" s="109"/>
      <c r="AA5" s="109"/>
    </row>
    <row r="6" spans="1:30" x14ac:dyDescent="0.35">
      <c r="A6" s="819">
        <v>4</v>
      </c>
      <c r="B6" s="819" t="s">
        <v>6</v>
      </c>
      <c r="C6" s="2077"/>
      <c r="D6" s="90" t="s">
        <v>85</v>
      </c>
      <c r="E6" s="2910" t="s">
        <v>1132</v>
      </c>
      <c r="F6" s="90"/>
      <c r="G6" s="90"/>
      <c r="H6" s="90"/>
      <c r="I6" s="90"/>
      <c r="J6" s="89"/>
      <c r="K6" s="89"/>
      <c r="L6" s="109"/>
      <c r="M6" s="109"/>
      <c r="N6" s="109"/>
      <c r="O6" s="109"/>
      <c r="P6" s="109"/>
      <c r="Q6" s="109"/>
      <c r="R6" s="109"/>
      <c r="S6" s="109"/>
      <c r="T6" s="109"/>
      <c r="U6" s="109"/>
      <c r="V6" s="109"/>
      <c r="W6" s="109"/>
      <c r="X6" s="109"/>
      <c r="Y6" s="109"/>
      <c r="Z6" s="109"/>
      <c r="AA6" s="109"/>
    </row>
    <row r="7" spans="1:30" x14ac:dyDescent="0.35">
      <c r="A7" s="819"/>
      <c r="B7" s="2077"/>
      <c r="C7" s="2077"/>
      <c r="D7" s="587"/>
      <c r="E7" s="4895" t="s">
        <v>1133</v>
      </c>
      <c r="F7" s="4896"/>
      <c r="G7" s="4896"/>
      <c r="H7" s="4896"/>
      <c r="I7" s="4897"/>
      <c r="J7" s="4898" t="s">
        <v>1134</v>
      </c>
      <c r="K7" s="4899"/>
      <c r="L7" s="4899"/>
      <c r="M7" s="4899"/>
      <c r="N7" s="4899"/>
      <c r="O7" s="4900"/>
      <c r="P7" s="109"/>
      <c r="Q7" s="109"/>
      <c r="R7" s="109"/>
      <c r="S7" s="109"/>
      <c r="T7" s="109"/>
      <c r="U7" s="109"/>
      <c r="V7" s="109"/>
      <c r="W7" s="109"/>
    </row>
    <row r="8" spans="1:30" x14ac:dyDescent="0.35">
      <c r="A8" s="819"/>
      <c r="B8" s="2077"/>
      <c r="C8" s="2077"/>
      <c r="D8" s="89" t="s">
        <v>1135</v>
      </c>
      <c r="E8" s="2911">
        <v>1999</v>
      </c>
      <c r="F8" s="2911">
        <v>2002</v>
      </c>
      <c r="G8" s="2911">
        <v>2011</v>
      </c>
      <c r="H8" s="2911">
        <v>2015</v>
      </c>
      <c r="I8" s="2911">
        <v>2019</v>
      </c>
      <c r="J8" s="2911">
        <v>1999</v>
      </c>
      <c r="K8" s="2911">
        <v>2002</v>
      </c>
      <c r="L8" s="2911">
        <v>2011</v>
      </c>
      <c r="M8" s="4603"/>
      <c r="N8" s="2912">
        <v>2015</v>
      </c>
      <c r="O8" s="2912">
        <v>2019</v>
      </c>
      <c r="P8" s="109"/>
      <c r="Q8" s="109"/>
      <c r="R8" s="109"/>
      <c r="S8" s="109"/>
      <c r="T8" s="109"/>
      <c r="U8" s="109"/>
      <c r="V8" s="109"/>
      <c r="W8" s="109"/>
      <c r="X8" s="2078"/>
    </row>
    <row r="9" spans="1:30" s="171" customFormat="1" ht="13" x14ac:dyDescent="0.25">
      <c r="A9" s="819"/>
      <c r="B9" s="1195"/>
      <c r="C9" s="1195"/>
      <c r="D9" s="108" t="s">
        <v>47</v>
      </c>
      <c r="E9" s="2735" t="s">
        <v>1136</v>
      </c>
      <c r="F9" s="2577" t="s">
        <v>1137</v>
      </c>
      <c r="G9" s="2577" t="s">
        <v>1138</v>
      </c>
      <c r="H9" s="2577"/>
      <c r="I9" s="2577"/>
      <c r="J9" s="2735" t="s">
        <v>1139</v>
      </c>
      <c r="K9" s="2735" t="s">
        <v>1140</v>
      </c>
      <c r="L9" s="2577" t="s">
        <v>1141</v>
      </c>
      <c r="M9" s="4604"/>
      <c r="N9" s="2588"/>
      <c r="O9" s="2913"/>
      <c r="P9" s="109"/>
      <c r="Q9" s="109"/>
      <c r="R9" s="109"/>
      <c r="S9" s="1190"/>
      <c r="T9" s="2914"/>
      <c r="U9" s="251"/>
      <c r="V9" s="251"/>
      <c r="W9" s="251"/>
      <c r="X9" s="1190"/>
    </row>
    <row r="10" spans="1:30" s="171" customFormat="1" ht="13" x14ac:dyDescent="0.25">
      <c r="A10" s="819"/>
      <c r="B10" s="1195"/>
      <c r="C10" s="1195"/>
      <c r="D10" s="2915" t="s">
        <v>1142</v>
      </c>
      <c r="E10" s="2916" t="s">
        <v>1143</v>
      </c>
      <c r="F10" s="2577" t="s">
        <v>1144</v>
      </c>
      <c r="G10" s="2577" t="s">
        <v>1145</v>
      </c>
      <c r="H10" s="2577"/>
      <c r="I10" s="2577"/>
      <c r="J10" s="2916" t="s">
        <v>1146</v>
      </c>
      <c r="K10" s="2735" t="s">
        <v>1147</v>
      </c>
      <c r="L10" s="2735" t="s">
        <v>1148</v>
      </c>
      <c r="M10" s="4605"/>
      <c r="N10" s="2588"/>
      <c r="O10" s="2913"/>
      <c r="P10" s="109"/>
      <c r="Q10" s="109"/>
      <c r="R10" s="109"/>
      <c r="S10" s="1190"/>
      <c r="T10" s="251"/>
      <c r="U10" s="251"/>
      <c r="V10" s="251"/>
      <c r="W10" s="251"/>
      <c r="X10" s="109"/>
    </row>
    <row r="11" spans="1:30" s="171" customFormat="1" ht="13" x14ac:dyDescent="0.25">
      <c r="A11" s="819"/>
      <c r="B11" s="1195"/>
      <c r="C11" s="1195"/>
      <c r="D11" s="1632" t="s">
        <v>42</v>
      </c>
      <c r="E11" s="2411" t="s">
        <v>1149</v>
      </c>
      <c r="F11" s="2577" t="s">
        <v>1150</v>
      </c>
      <c r="G11" s="2577" t="s">
        <v>1151</v>
      </c>
      <c r="H11" s="2577" t="s">
        <v>1152</v>
      </c>
      <c r="I11" s="2577"/>
      <c r="J11" s="2411" t="s">
        <v>1153</v>
      </c>
      <c r="K11" s="2735" t="s">
        <v>1154</v>
      </c>
      <c r="L11" s="2735" t="s">
        <v>1155</v>
      </c>
      <c r="M11" s="4605"/>
      <c r="N11" s="2917" t="s">
        <v>1156</v>
      </c>
      <c r="O11" s="2913"/>
      <c r="P11" s="109"/>
      <c r="Q11" s="109"/>
      <c r="R11" s="109"/>
      <c r="S11" s="251"/>
      <c r="T11" s="251"/>
      <c r="U11" s="251"/>
      <c r="V11" s="251"/>
      <c r="W11" s="251"/>
      <c r="X11" s="109"/>
    </row>
    <row r="12" spans="1:30" s="171" customFormat="1" ht="13" x14ac:dyDescent="0.25">
      <c r="A12" s="819"/>
      <c r="B12" s="1195"/>
      <c r="C12" s="1195"/>
      <c r="D12" s="1632" t="s">
        <v>1157</v>
      </c>
      <c r="E12" s="2411" t="s">
        <v>1158</v>
      </c>
      <c r="F12" s="2577" t="s">
        <v>1159</v>
      </c>
      <c r="G12" s="2577"/>
      <c r="H12" s="2577"/>
      <c r="I12" s="2577"/>
      <c r="J12" s="2411" t="s">
        <v>1160</v>
      </c>
      <c r="K12" s="2735" t="s">
        <v>1161</v>
      </c>
      <c r="L12" s="2735"/>
      <c r="M12" s="4605"/>
      <c r="N12" s="2588"/>
      <c r="O12" s="2913"/>
      <c r="P12" s="109"/>
      <c r="Q12" s="109"/>
      <c r="R12" s="109"/>
      <c r="S12" s="109"/>
      <c r="T12" s="109"/>
      <c r="U12" s="109"/>
      <c r="V12" s="109"/>
      <c r="W12" s="109"/>
      <c r="X12" s="109"/>
    </row>
    <row r="13" spans="1:30" s="171" customFormat="1" ht="13" x14ac:dyDescent="0.25">
      <c r="A13" s="819"/>
      <c r="B13" s="1195"/>
      <c r="C13" s="1195"/>
      <c r="D13" s="1770" t="s">
        <v>306</v>
      </c>
      <c r="E13" s="2918" t="s">
        <v>1162</v>
      </c>
      <c r="F13" s="2919" t="s">
        <v>1163</v>
      </c>
      <c r="G13" s="2919" t="s">
        <v>1164</v>
      </c>
      <c r="H13" s="2919" t="s">
        <v>1165</v>
      </c>
      <c r="I13" s="2919" t="s">
        <v>1977</v>
      </c>
      <c r="J13" s="2918" t="s">
        <v>1166</v>
      </c>
      <c r="K13" s="2919" t="s">
        <v>1167</v>
      </c>
      <c r="L13" s="2919" t="s">
        <v>1168</v>
      </c>
      <c r="M13" s="4606"/>
      <c r="N13" s="2920" t="s">
        <v>1169</v>
      </c>
      <c r="O13" s="2920" t="s">
        <v>1978</v>
      </c>
      <c r="P13" s="109"/>
      <c r="Q13" s="109"/>
      <c r="R13" s="109"/>
      <c r="S13" s="109"/>
      <c r="T13" s="109"/>
      <c r="U13" s="109"/>
      <c r="V13" s="109"/>
      <c r="W13" s="109"/>
      <c r="X13" s="109"/>
    </row>
    <row r="14" spans="1:30" x14ac:dyDescent="0.35">
      <c r="A14" s="819"/>
      <c r="B14" s="2077"/>
      <c r="C14" s="2077"/>
      <c r="D14" s="1632"/>
      <c r="E14" s="2922"/>
      <c r="F14" s="756"/>
      <c r="G14" s="1523"/>
      <c r="H14" s="1523"/>
      <c r="I14" s="1523"/>
      <c r="J14" s="1282"/>
      <c r="K14" s="1282"/>
      <c r="L14" s="2078"/>
      <c r="M14" s="2078"/>
      <c r="N14" s="2078"/>
      <c r="O14" s="2078"/>
      <c r="P14" s="2078"/>
      <c r="Q14" s="2078"/>
      <c r="R14" s="2078"/>
      <c r="S14" s="251"/>
      <c r="T14" s="251"/>
      <c r="U14" s="251"/>
      <c r="V14" s="251"/>
      <c r="W14" s="251"/>
      <c r="X14" s="251"/>
      <c r="Y14" s="2078"/>
      <c r="Z14" s="2078"/>
      <c r="AA14" s="2078"/>
    </row>
    <row r="15" spans="1:30" x14ac:dyDescent="0.35">
      <c r="A15" s="819"/>
      <c r="B15" s="2077"/>
      <c r="C15" s="2077"/>
      <c r="D15" s="89" t="s">
        <v>85</v>
      </c>
      <c r="E15" s="2923" t="s">
        <v>1170</v>
      </c>
      <c r="F15" s="89"/>
      <c r="G15" s="89"/>
      <c r="H15" s="89"/>
      <c r="I15" s="89"/>
      <c r="J15" s="89"/>
      <c r="K15" s="89"/>
      <c r="L15" s="109"/>
      <c r="M15" s="109"/>
      <c r="N15" s="109"/>
      <c r="O15" s="109"/>
      <c r="P15" s="109"/>
      <c r="Q15" s="109"/>
      <c r="R15" s="109"/>
      <c r="S15" s="251"/>
      <c r="T15" s="251"/>
      <c r="U15" s="251"/>
      <c r="V15" s="251"/>
      <c r="W15" s="251"/>
      <c r="X15" s="251"/>
      <c r="Y15" s="109"/>
      <c r="Z15" s="109"/>
      <c r="AA15" s="109"/>
    </row>
    <row r="16" spans="1:30" x14ac:dyDescent="0.35">
      <c r="A16" s="819"/>
      <c r="B16" s="2077"/>
      <c r="C16" s="2077"/>
      <c r="D16" s="4889" t="s">
        <v>1171</v>
      </c>
      <c r="E16" s="4889"/>
      <c r="F16" s="4889"/>
      <c r="G16" s="4889"/>
      <c r="H16" s="4889"/>
      <c r="I16" s="4889"/>
      <c r="J16" s="4890"/>
      <c r="K16" s="4891" t="s">
        <v>1172</v>
      </c>
      <c r="L16" s="4889"/>
      <c r="M16" s="4889"/>
      <c r="N16" s="4889"/>
      <c r="O16" s="4889"/>
      <c r="P16" s="4889"/>
      <c r="Q16" s="4889"/>
      <c r="R16" s="4890"/>
      <c r="S16" s="251"/>
      <c r="T16" s="251"/>
      <c r="U16" s="251"/>
      <c r="V16" s="251"/>
      <c r="W16" s="251"/>
      <c r="X16" s="251"/>
    </row>
    <row r="17" spans="1:28" s="2926" customFormat="1" x14ac:dyDescent="0.35">
      <c r="A17" s="1192"/>
      <c r="B17" s="2924"/>
      <c r="C17" s="2924"/>
      <c r="D17" s="4901" t="s">
        <v>1134</v>
      </c>
      <c r="E17" s="4901"/>
      <c r="F17" s="4901"/>
      <c r="G17" s="4901" t="s">
        <v>1133</v>
      </c>
      <c r="H17" s="4901"/>
      <c r="I17" s="4901"/>
      <c r="J17" s="4902"/>
      <c r="K17" s="4903" t="s">
        <v>1134</v>
      </c>
      <c r="L17" s="4901"/>
      <c r="M17" s="4901"/>
      <c r="N17" s="4901"/>
      <c r="O17" s="4901" t="s">
        <v>1133</v>
      </c>
      <c r="P17" s="4901"/>
      <c r="Q17" s="4901"/>
      <c r="R17" s="4902"/>
      <c r="S17" s="251"/>
      <c r="T17" s="251"/>
      <c r="U17" s="251"/>
      <c r="V17" s="251"/>
      <c r="W17" s="251"/>
      <c r="X17" s="251"/>
      <c r="Y17" s="2925"/>
    </row>
    <row r="18" spans="1:28" s="1427" customFormat="1" x14ac:dyDescent="0.35">
      <c r="A18" s="1192"/>
      <c r="B18" s="1420"/>
      <c r="C18" s="1420"/>
      <c r="D18" s="4904"/>
      <c r="E18" s="4904"/>
      <c r="F18" s="4905"/>
      <c r="G18" s="2927"/>
      <c r="H18" s="4906"/>
      <c r="I18" s="4906"/>
      <c r="J18" s="4907"/>
      <c r="K18" s="4908"/>
      <c r="L18" s="4906"/>
      <c r="M18" s="4906"/>
      <c r="N18" s="4907"/>
      <c r="O18" s="2928"/>
      <c r="P18" s="2928"/>
      <c r="Q18" s="2928"/>
      <c r="R18" s="4607"/>
      <c r="S18" s="251"/>
      <c r="T18" s="251"/>
      <c r="U18" s="251"/>
      <c r="V18" s="251"/>
      <c r="W18" s="251"/>
      <c r="X18" s="251"/>
      <c r="Y18" s="2929"/>
      <c r="Z18" s="2079"/>
    </row>
    <row r="19" spans="1:28" s="1427" customFormat="1" x14ac:dyDescent="0.35">
      <c r="A19" s="1192"/>
      <c r="B19" s="1420"/>
      <c r="C19" s="1420"/>
      <c r="D19" s="1252">
        <v>1995</v>
      </c>
      <c r="E19" s="1252">
        <v>1999</v>
      </c>
      <c r="F19" s="2930">
        <v>2002</v>
      </c>
      <c r="G19" s="1252">
        <v>1995</v>
      </c>
      <c r="H19" s="1252">
        <v>1999</v>
      </c>
      <c r="I19" s="1252"/>
      <c r="J19" s="2930">
        <v>2002</v>
      </c>
      <c r="K19" s="2931">
        <v>2002</v>
      </c>
      <c r="L19" s="1252">
        <v>2011</v>
      </c>
      <c r="M19" s="1252">
        <v>2015</v>
      </c>
      <c r="N19" s="2930">
        <v>2019</v>
      </c>
      <c r="O19" s="2932">
        <v>2002</v>
      </c>
      <c r="P19" s="1252">
        <v>2011</v>
      </c>
      <c r="Q19" s="1252">
        <v>2015</v>
      </c>
      <c r="R19" s="4608">
        <v>2019</v>
      </c>
      <c r="S19" s="108"/>
      <c r="T19" s="108"/>
      <c r="U19" s="108"/>
      <c r="V19" s="108"/>
      <c r="W19" s="2079"/>
      <c r="X19" s="2929"/>
      <c r="Y19" s="2929"/>
      <c r="Z19" s="2929"/>
      <c r="AA19" s="2929"/>
      <c r="AB19" s="108"/>
    </row>
    <row r="20" spans="1:28" s="1427" customFormat="1" x14ac:dyDescent="0.35">
      <c r="A20" s="1192"/>
      <c r="B20" s="1420"/>
      <c r="C20" s="1420"/>
      <c r="D20" s="803" t="s">
        <v>1173</v>
      </c>
      <c r="E20" s="2678" t="s">
        <v>1166</v>
      </c>
      <c r="F20" s="2933" t="s">
        <v>1167</v>
      </c>
      <c r="G20" s="1542" t="s">
        <v>1174</v>
      </c>
      <c r="H20" s="1542" t="s">
        <v>1162</v>
      </c>
      <c r="I20" s="1542"/>
      <c r="J20" s="2934" t="s">
        <v>1163</v>
      </c>
      <c r="K20" s="2935" t="s">
        <v>1175</v>
      </c>
      <c r="L20" s="1542" t="s">
        <v>1168</v>
      </c>
      <c r="M20" s="1542" t="s">
        <v>1169</v>
      </c>
      <c r="N20" s="2936" t="s">
        <v>1978</v>
      </c>
      <c r="O20" s="1291" t="s">
        <v>1176</v>
      </c>
      <c r="P20" s="1542" t="s">
        <v>1164</v>
      </c>
      <c r="Q20" s="1542" t="s">
        <v>1165</v>
      </c>
      <c r="R20" s="4609" t="s">
        <v>1979</v>
      </c>
      <c r="S20" s="108"/>
      <c r="T20" s="108"/>
      <c r="U20" s="108"/>
      <c r="V20" s="108"/>
      <c r="W20" s="2929"/>
      <c r="X20" s="2929"/>
      <c r="Y20" s="2929"/>
      <c r="Z20" s="2929"/>
      <c r="AA20" s="2929"/>
      <c r="AB20" s="108"/>
    </row>
    <row r="21" spans="1:28" s="1427" customFormat="1" x14ac:dyDescent="0.35">
      <c r="A21" s="1192"/>
      <c r="B21" s="1420"/>
      <c r="C21" s="1420"/>
      <c r="D21" s="1629"/>
      <c r="E21" s="2922"/>
      <c r="F21" s="756"/>
      <c r="G21" s="1523"/>
      <c r="H21" s="1523"/>
      <c r="I21" s="1523"/>
      <c r="J21" s="1282"/>
      <c r="K21" s="1282"/>
      <c r="L21" s="1523"/>
      <c r="M21" s="1523"/>
      <c r="N21" s="1523"/>
      <c r="O21" s="108"/>
      <c r="P21" s="108"/>
      <c r="Q21" s="108"/>
      <c r="R21" s="108"/>
      <c r="S21" s="108"/>
      <c r="T21" s="108"/>
      <c r="U21" s="108"/>
      <c r="V21" s="108"/>
      <c r="W21" s="108"/>
      <c r="X21" s="108"/>
      <c r="Y21" s="108"/>
      <c r="Z21" s="108"/>
      <c r="AA21" s="108"/>
    </row>
    <row r="23" spans="1:28" x14ac:dyDescent="0.35">
      <c r="A23" s="140"/>
      <c r="B23" s="140"/>
      <c r="C23" s="2077"/>
      <c r="D23" s="89" t="s">
        <v>85</v>
      </c>
      <c r="E23" s="2923" t="s">
        <v>1177</v>
      </c>
      <c r="F23" s="89"/>
      <c r="G23" s="89"/>
      <c r="H23" s="89"/>
      <c r="I23" s="89"/>
      <c r="J23" s="89"/>
      <c r="K23" s="89"/>
      <c r="L23" s="89"/>
      <c r="M23" s="89"/>
      <c r="N23" s="89"/>
      <c r="O23" s="89"/>
      <c r="P23" s="89"/>
      <c r="Q23" s="89"/>
      <c r="R23" s="89"/>
      <c r="S23" s="89"/>
      <c r="T23" s="2079"/>
      <c r="U23" s="2079"/>
      <c r="V23" s="2079"/>
      <c r="W23" s="2079"/>
      <c r="X23" s="2079"/>
      <c r="Y23" s="2079"/>
      <c r="Z23" s="2079"/>
      <c r="AA23" s="2079"/>
      <c r="AB23" s="1427"/>
    </row>
    <row r="24" spans="1:28" ht="15" customHeight="1" x14ac:dyDescent="0.35">
      <c r="A24" s="819"/>
      <c r="B24" s="2077"/>
      <c r="C24" s="2077"/>
      <c r="D24" s="2937"/>
      <c r="E24" s="4909" t="s">
        <v>1134</v>
      </c>
      <c r="F24" s="4909"/>
      <c r="G24" s="4909"/>
      <c r="H24" s="4610"/>
      <c r="I24" s="4910" t="s">
        <v>1133</v>
      </c>
      <c r="J24" s="4909"/>
      <c r="K24" s="4909"/>
      <c r="L24" s="4911"/>
      <c r="M24" s="4912" t="s">
        <v>1133</v>
      </c>
      <c r="N24" s="4589" t="s">
        <v>1134</v>
      </c>
      <c r="Q24" s="2079"/>
      <c r="R24" s="2079"/>
      <c r="S24" s="2079"/>
      <c r="T24" s="2079"/>
      <c r="U24" s="2079"/>
      <c r="V24" s="2079"/>
      <c r="W24" s="2079"/>
      <c r="X24" s="1427"/>
    </row>
    <row r="25" spans="1:28" ht="21.65" customHeight="1" x14ac:dyDescent="0.35">
      <c r="A25" s="819"/>
      <c r="B25" s="2077"/>
      <c r="C25" s="2077"/>
      <c r="D25" s="2938" t="s">
        <v>424</v>
      </c>
      <c r="E25" s="2939">
        <v>2011</v>
      </c>
      <c r="F25" s="2939">
        <v>2015</v>
      </c>
      <c r="G25" s="2939">
        <v>2019</v>
      </c>
      <c r="H25" s="2940" t="s">
        <v>1178</v>
      </c>
      <c r="I25" s="2941">
        <v>2011</v>
      </c>
      <c r="J25" s="2942">
        <v>2015</v>
      </c>
      <c r="K25" s="2942">
        <v>2019</v>
      </c>
      <c r="L25" s="2940" t="s">
        <v>1178</v>
      </c>
      <c r="M25" s="4913"/>
      <c r="N25" s="4590"/>
      <c r="Q25" s="415"/>
      <c r="R25" s="415"/>
      <c r="S25" s="415"/>
      <c r="T25" s="415"/>
      <c r="U25" s="415"/>
      <c r="V25" s="415"/>
      <c r="W25" s="1427"/>
    </row>
    <row r="26" spans="1:28" x14ac:dyDescent="0.35">
      <c r="A26" s="819"/>
      <c r="B26" s="2077"/>
      <c r="C26" s="2077"/>
      <c r="D26" s="2915" t="s">
        <v>402</v>
      </c>
      <c r="E26" s="2943">
        <v>316</v>
      </c>
      <c r="F26" s="2943">
        <v>346</v>
      </c>
      <c r="G26" s="756">
        <v>366</v>
      </c>
      <c r="H26" s="2944" t="s">
        <v>1179</v>
      </c>
      <c r="I26" s="2945">
        <v>282</v>
      </c>
      <c r="J26" s="1282">
        <v>328</v>
      </c>
      <c r="K26" s="1282">
        <v>334</v>
      </c>
      <c r="L26" s="4611" t="s">
        <v>1179</v>
      </c>
      <c r="M26" s="2905">
        <f>K26-J26</f>
        <v>6</v>
      </c>
      <c r="N26" s="2946">
        <f t="shared" ref="N26:N34" si="0">G26-F26</f>
        <v>20</v>
      </c>
      <c r="Q26" s="2905"/>
      <c r="R26" s="2905"/>
      <c r="S26" s="2905"/>
      <c r="T26" s="2905"/>
      <c r="U26" s="2905"/>
      <c r="V26" s="2905"/>
      <c r="W26" s="1427"/>
    </row>
    <row r="27" spans="1:28" x14ac:dyDescent="0.35">
      <c r="A27" s="819"/>
      <c r="B27" s="2077"/>
      <c r="C27" s="2077"/>
      <c r="D27" s="1632" t="s">
        <v>404</v>
      </c>
      <c r="E27" s="756">
        <v>359</v>
      </c>
      <c r="F27" s="756">
        <v>367</v>
      </c>
      <c r="G27" s="756">
        <v>396</v>
      </c>
      <c r="H27" s="2944" t="s">
        <v>1179</v>
      </c>
      <c r="I27" s="1523">
        <v>341</v>
      </c>
      <c r="J27" s="1282">
        <v>351</v>
      </c>
      <c r="K27" s="1282">
        <v>380</v>
      </c>
      <c r="L27" s="2944" t="s">
        <v>1179</v>
      </c>
      <c r="M27" s="2905">
        <f t="shared" ref="M27:M34" si="1">K27-J27</f>
        <v>29</v>
      </c>
      <c r="N27" s="2946">
        <f t="shared" si="0"/>
        <v>29</v>
      </c>
      <c r="Q27" s="1264"/>
      <c r="R27" s="1264"/>
      <c r="S27" s="1264"/>
      <c r="T27" s="1264"/>
      <c r="U27" s="1264"/>
      <c r="V27" s="1264"/>
      <c r="W27" s="1427"/>
    </row>
    <row r="28" spans="1:28" x14ac:dyDescent="0.35">
      <c r="A28" s="819"/>
      <c r="B28" s="2077"/>
      <c r="C28" s="2077"/>
      <c r="D28" s="1632" t="s">
        <v>407</v>
      </c>
      <c r="E28" s="756">
        <v>389</v>
      </c>
      <c r="F28" s="756">
        <v>408</v>
      </c>
      <c r="G28" s="756">
        <v>421</v>
      </c>
      <c r="H28" s="2944" t="s">
        <v>1179</v>
      </c>
      <c r="I28" s="1523">
        <v>387</v>
      </c>
      <c r="J28" s="1282">
        <v>405</v>
      </c>
      <c r="K28" s="1282">
        <v>422</v>
      </c>
      <c r="L28" s="2944" t="s">
        <v>1179</v>
      </c>
      <c r="M28" s="2905">
        <f t="shared" si="1"/>
        <v>17</v>
      </c>
      <c r="N28" s="2946">
        <f t="shared" si="0"/>
        <v>13</v>
      </c>
      <c r="Q28" s="1264"/>
      <c r="R28" s="1264"/>
      <c r="S28" s="1264"/>
      <c r="T28" s="1264"/>
      <c r="U28" s="1264"/>
      <c r="V28" s="1264"/>
      <c r="W28" s="1427"/>
    </row>
    <row r="29" spans="1:28" x14ac:dyDescent="0.35">
      <c r="A29" s="819"/>
      <c r="B29" s="2077"/>
      <c r="C29" s="1420"/>
      <c r="D29" s="1632" t="s">
        <v>1180</v>
      </c>
      <c r="E29" s="756">
        <v>337</v>
      </c>
      <c r="F29" s="756">
        <v>369</v>
      </c>
      <c r="G29" s="756">
        <v>378</v>
      </c>
      <c r="H29" s="2944" t="s">
        <v>1179</v>
      </c>
      <c r="I29" s="1523">
        <v>308</v>
      </c>
      <c r="J29" s="1282">
        <v>352</v>
      </c>
      <c r="K29" s="1282">
        <v>352</v>
      </c>
      <c r="L29" s="2944" t="s">
        <v>1179</v>
      </c>
      <c r="M29" s="2905">
        <f t="shared" si="1"/>
        <v>0</v>
      </c>
      <c r="N29" s="2946">
        <f t="shared" si="0"/>
        <v>9</v>
      </c>
      <c r="Q29" s="1264"/>
      <c r="R29" s="1264"/>
      <c r="S29" s="1264"/>
      <c r="T29" s="1264"/>
      <c r="U29" s="1264"/>
      <c r="V29" s="1264"/>
      <c r="W29" s="1427"/>
    </row>
    <row r="30" spans="1:28" x14ac:dyDescent="0.35">
      <c r="A30" s="819"/>
      <c r="B30" s="2077"/>
      <c r="C30" s="2077"/>
      <c r="D30" s="1632" t="s">
        <v>409</v>
      </c>
      <c r="E30" s="756">
        <v>322</v>
      </c>
      <c r="F30" s="756">
        <v>361</v>
      </c>
      <c r="G30" s="756">
        <v>364</v>
      </c>
      <c r="H30" s="2944" t="s">
        <v>1179</v>
      </c>
      <c r="I30" s="1523">
        <v>284</v>
      </c>
      <c r="J30" s="1282">
        <v>339</v>
      </c>
      <c r="K30" s="1282">
        <v>331</v>
      </c>
      <c r="L30" s="2944" t="s">
        <v>831</v>
      </c>
      <c r="M30" s="2905">
        <f t="shared" si="1"/>
        <v>-8</v>
      </c>
      <c r="N30" s="2946">
        <f t="shared" si="0"/>
        <v>3</v>
      </c>
      <c r="Q30" s="2905"/>
      <c r="R30" s="2905"/>
      <c r="S30" s="2905"/>
      <c r="T30" s="2905"/>
      <c r="U30" s="2905"/>
      <c r="V30" s="2905"/>
      <c r="W30" s="2947"/>
    </row>
    <row r="31" spans="1:28" x14ac:dyDescent="0.35">
      <c r="A31" s="819"/>
      <c r="B31" s="2077"/>
      <c r="C31" s="2077"/>
      <c r="D31" s="1632" t="s">
        <v>408</v>
      </c>
      <c r="E31" s="756">
        <v>344</v>
      </c>
      <c r="F31" s="756">
        <v>370</v>
      </c>
      <c r="G31" s="756">
        <v>375</v>
      </c>
      <c r="H31" s="2944" t="s">
        <v>1179</v>
      </c>
      <c r="I31" s="1523">
        <v>326</v>
      </c>
      <c r="J31" s="1282">
        <v>348</v>
      </c>
      <c r="K31" s="1282">
        <v>350</v>
      </c>
      <c r="L31" s="2944" t="s">
        <v>1179</v>
      </c>
      <c r="M31" s="2905">
        <f t="shared" si="1"/>
        <v>2</v>
      </c>
      <c r="N31" s="2946">
        <f t="shared" si="0"/>
        <v>5</v>
      </c>
      <c r="Q31" s="1264"/>
      <c r="R31" s="1264"/>
      <c r="S31" s="1264"/>
      <c r="T31" s="1264"/>
      <c r="U31" s="1264"/>
      <c r="V31" s="1264"/>
      <c r="W31" s="2948"/>
    </row>
    <row r="32" spans="1:28" x14ac:dyDescent="0.35">
      <c r="A32" s="819"/>
      <c r="B32" s="2077"/>
      <c r="C32" s="2077"/>
      <c r="D32" s="1632" t="s">
        <v>406</v>
      </c>
      <c r="E32" s="756">
        <v>350</v>
      </c>
      <c r="F32" s="756">
        <v>354</v>
      </c>
      <c r="G32" s="756">
        <v>383</v>
      </c>
      <c r="H32" s="2944" t="s">
        <v>1179</v>
      </c>
      <c r="I32" s="1523">
        <v>334</v>
      </c>
      <c r="J32" s="1282">
        <v>335</v>
      </c>
      <c r="K32" s="1282">
        <v>358</v>
      </c>
      <c r="L32" s="2944" t="s">
        <v>1179</v>
      </c>
      <c r="M32" s="2905">
        <f t="shared" si="1"/>
        <v>23</v>
      </c>
      <c r="N32" s="2946">
        <f t="shared" si="0"/>
        <v>29</v>
      </c>
      <c r="Q32" s="1264"/>
      <c r="R32" s="1264"/>
      <c r="S32" s="1264"/>
      <c r="T32" s="1264"/>
      <c r="U32" s="1264"/>
      <c r="V32" s="1264"/>
      <c r="W32" s="1427"/>
    </row>
    <row r="33" spans="1:27" x14ac:dyDescent="0.35">
      <c r="A33" s="819"/>
      <c r="B33" s="2077"/>
      <c r="C33" s="1420"/>
      <c r="D33" s="1632" t="s">
        <v>403</v>
      </c>
      <c r="E33" s="756">
        <v>366</v>
      </c>
      <c r="F33" s="756">
        <v>364</v>
      </c>
      <c r="G33" s="756">
        <v>377</v>
      </c>
      <c r="H33" s="2944" t="s">
        <v>1179</v>
      </c>
      <c r="I33" s="1523">
        <v>368</v>
      </c>
      <c r="J33" s="1282">
        <v>356</v>
      </c>
      <c r="K33" s="1282">
        <v>358</v>
      </c>
      <c r="L33" s="2944" t="s">
        <v>1179</v>
      </c>
      <c r="M33" s="2905">
        <f t="shared" si="1"/>
        <v>2</v>
      </c>
      <c r="N33" s="2946">
        <f t="shared" si="0"/>
        <v>13</v>
      </c>
      <c r="Q33" s="1264"/>
      <c r="R33" s="1264"/>
      <c r="S33" s="1264"/>
      <c r="T33" s="1264"/>
      <c r="U33" s="1264"/>
      <c r="V33" s="1264"/>
      <c r="W33" s="1427"/>
    </row>
    <row r="34" spans="1:27" x14ac:dyDescent="0.35">
      <c r="A34" s="819"/>
      <c r="B34" s="2077"/>
      <c r="C34" s="2077"/>
      <c r="D34" s="1773" t="s">
        <v>401</v>
      </c>
      <c r="E34" s="803">
        <v>404</v>
      </c>
      <c r="F34" s="803">
        <v>391</v>
      </c>
      <c r="G34" s="803">
        <v>441</v>
      </c>
      <c r="H34" s="2949" t="s">
        <v>1179</v>
      </c>
      <c r="I34" s="1542">
        <v>409</v>
      </c>
      <c r="J34" s="1291">
        <v>388</v>
      </c>
      <c r="K34" s="1291">
        <v>439</v>
      </c>
      <c r="L34" s="2949" t="s">
        <v>1179</v>
      </c>
      <c r="M34" s="4612">
        <f t="shared" si="1"/>
        <v>51</v>
      </c>
      <c r="N34" s="2946">
        <f t="shared" si="0"/>
        <v>50</v>
      </c>
      <c r="Q34" s="2908"/>
      <c r="R34" s="2908"/>
      <c r="S34" s="2908"/>
      <c r="T34" s="2908"/>
      <c r="U34" s="2908"/>
      <c r="V34" s="2908"/>
      <c r="W34" s="2908"/>
      <c r="X34" s="2908"/>
      <c r="Y34" s="108"/>
      <c r="Z34" s="1427"/>
    </row>
    <row r="35" spans="1:27" x14ac:dyDescent="0.35">
      <c r="A35" s="819"/>
      <c r="B35" s="2077"/>
      <c r="C35" s="2077"/>
      <c r="D35" s="1632"/>
      <c r="E35" s="756"/>
      <c r="F35" s="756"/>
      <c r="G35" s="2950"/>
      <c r="H35" s="1523"/>
      <c r="I35" s="1523"/>
      <c r="J35" s="1282"/>
      <c r="K35" s="2950"/>
      <c r="M35" s="2908"/>
      <c r="N35" s="2908"/>
      <c r="O35" s="2908"/>
      <c r="P35" s="2908"/>
      <c r="Q35" s="2908"/>
      <c r="R35" s="2908"/>
      <c r="S35" s="2908"/>
      <c r="T35" s="2908"/>
      <c r="U35" s="2908"/>
      <c r="V35" s="2908"/>
      <c r="W35" s="2908"/>
      <c r="X35" s="2908"/>
      <c r="Y35" s="108"/>
      <c r="Z35" s="1427"/>
    </row>
    <row r="36" spans="1:27" x14ac:dyDescent="0.35">
      <c r="A36" s="819"/>
      <c r="B36" s="2077"/>
      <c r="C36" s="2077"/>
      <c r="D36" s="2078"/>
      <c r="E36" s="2909"/>
      <c r="F36" s="2078"/>
      <c r="G36" s="2078"/>
      <c r="H36" s="2078"/>
      <c r="I36" s="2078"/>
      <c r="J36" s="2078"/>
      <c r="K36" s="2078"/>
      <c r="L36" s="2078"/>
      <c r="M36" s="2078"/>
      <c r="N36" s="2078"/>
      <c r="O36" s="2078"/>
      <c r="P36" s="2078"/>
      <c r="Q36" s="2078"/>
      <c r="R36" s="2078"/>
      <c r="S36" s="2078"/>
      <c r="T36" s="2078"/>
      <c r="U36" s="2078"/>
      <c r="V36" s="2078"/>
      <c r="W36" s="2908"/>
      <c r="X36" s="2908"/>
      <c r="Y36" s="2908"/>
      <c r="Z36" s="2908"/>
      <c r="AA36" s="2908"/>
    </row>
    <row r="37" spans="1:27" x14ac:dyDescent="0.35">
      <c r="A37" s="819">
        <v>5</v>
      </c>
      <c r="B37" s="819" t="s">
        <v>58</v>
      </c>
      <c r="C37" s="819"/>
      <c r="D37" s="4642" t="s">
        <v>1181</v>
      </c>
      <c r="E37" s="4643"/>
      <c r="F37" s="4643"/>
      <c r="G37" s="4643"/>
      <c r="H37" s="4643"/>
      <c r="I37" s="4643"/>
      <c r="J37" s="4643"/>
      <c r="K37" s="4643"/>
      <c r="L37" s="4643"/>
      <c r="M37" s="4643"/>
      <c r="N37" s="4643"/>
      <c r="O37" s="4643"/>
      <c r="P37" s="4643"/>
      <c r="Q37" s="4643"/>
      <c r="R37" s="4643"/>
      <c r="S37" s="4643"/>
      <c r="T37" s="4644"/>
      <c r="U37" s="4593"/>
      <c r="V37" s="4593"/>
      <c r="W37" s="2908"/>
      <c r="X37" s="2908"/>
      <c r="Y37" s="2908"/>
      <c r="Z37" s="2908"/>
      <c r="AA37" s="2908"/>
    </row>
    <row r="38" spans="1:27" ht="67.5" customHeight="1" x14ac:dyDescent="0.35">
      <c r="A38" s="819">
        <v>6</v>
      </c>
      <c r="B38" s="819" t="s">
        <v>64</v>
      </c>
      <c r="C38" s="819"/>
      <c r="D38" s="4642" t="s">
        <v>1980</v>
      </c>
      <c r="E38" s="4643"/>
      <c r="F38" s="4643"/>
      <c r="G38" s="4643"/>
      <c r="H38" s="4643"/>
      <c r="I38" s="4643"/>
      <c r="J38" s="4643"/>
      <c r="K38" s="4643"/>
      <c r="L38" s="4643"/>
      <c r="M38" s="4643"/>
      <c r="N38" s="4643"/>
      <c r="O38" s="4643"/>
      <c r="P38" s="4643"/>
      <c r="Q38" s="4643"/>
      <c r="R38" s="4643"/>
      <c r="S38" s="4643"/>
      <c r="T38" s="4644"/>
      <c r="U38" s="4593"/>
      <c r="V38" s="4593"/>
      <c r="W38" s="2908"/>
      <c r="X38" s="2908"/>
      <c r="Y38" s="2908"/>
      <c r="Z38" s="2908"/>
      <c r="AA38" s="2908"/>
    </row>
    <row r="39" spans="1:27" ht="17.5" customHeight="1" x14ac:dyDescent="0.35">
      <c r="A39" s="870">
        <v>7</v>
      </c>
      <c r="B39" s="870" t="s">
        <v>60</v>
      </c>
      <c r="C39" s="870"/>
      <c r="D39" s="4694" t="s">
        <v>1182</v>
      </c>
      <c r="E39" s="4695"/>
      <c r="F39" s="4695"/>
      <c r="G39" s="4695"/>
      <c r="H39" s="4695"/>
      <c r="I39" s="4695"/>
      <c r="J39" s="4695"/>
      <c r="K39" s="4695"/>
      <c r="L39" s="4695"/>
      <c r="M39" s="4695"/>
      <c r="N39" s="4695"/>
      <c r="O39" s="4695"/>
      <c r="P39" s="4695"/>
      <c r="Q39" s="4695"/>
      <c r="R39" s="4695"/>
      <c r="S39" s="4695"/>
      <c r="T39" s="4696"/>
      <c r="U39" s="4593"/>
      <c r="V39" s="4593"/>
      <c r="W39" s="2908"/>
      <c r="X39" s="2908"/>
      <c r="Y39" s="2908"/>
      <c r="Z39" s="2908"/>
      <c r="AA39" s="2908"/>
    </row>
    <row r="40" spans="1:27" ht="15" customHeight="1" x14ac:dyDescent="0.35">
      <c r="A40" s="819">
        <v>8</v>
      </c>
      <c r="B40" s="819" t="s">
        <v>62</v>
      </c>
      <c r="C40" s="819"/>
      <c r="D40" s="4642" t="s">
        <v>1183</v>
      </c>
      <c r="E40" s="4643"/>
      <c r="F40" s="4643"/>
      <c r="G40" s="4643"/>
      <c r="H40" s="4643"/>
      <c r="I40" s="4643"/>
      <c r="J40" s="4643"/>
      <c r="K40" s="4643"/>
      <c r="L40" s="4643"/>
      <c r="M40" s="4643"/>
      <c r="N40" s="4643"/>
      <c r="O40" s="4643"/>
      <c r="P40" s="4643"/>
      <c r="Q40" s="4643"/>
      <c r="R40" s="4643"/>
      <c r="S40" s="4643"/>
      <c r="T40" s="4644"/>
      <c r="U40" s="4593"/>
      <c r="V40" s="4593"/>
      <c r="W40" s="2908"/>
      <c r="X40" s="2908"/>
      <c r="Y40" s="2908"/>
      <c r="Z40" s="2908"/>
      <c r="AA40" s="2908"/>
    </row>
    <row r="41" spans="1:27" x14ac:dyDescent="0.35">
      <c r="W41" s="2908"/>
      <c r="X41" s="2908"/>
      <c r="Y41" s="2908"/>
      <c r="Z41" s="2908"/>
      <c r="AA41" s="2908"/>
    </row>
    <row r="45" spans="1:27" x14ac:dyDescent="0.35">
      <c r="D45" s="171"/>
    </row>
  </sheetData>
  <mergeCells count="21">
    <mergeCell ref="D40:T40"/>
    <mergeCell ref="E24:G24"/>
    <mergeCell ref="I24:L24"/>
    <mergeCell ref="M24:M25"/>
    <mergeCell ref="D37:T37"/>
    <mergeCell ref="D38:T38"/>
    <mergeCell ref="D39:T39"/>
    <mergeCell ref="D17:F17"/>
    <mergeCell ref="G17:J17"/>
    <mergeCell ref="K17:N17"/>
    <mergeCell ref="O17:R17"/>
    <mergeCell ref="D18:F18"/>
    <mergeCell ref="H18:J18"/>
    <mergeCell ref="K18:N18"/>
    <mergeCell ref="D16:J16"/>
    <mergeCell ref="K16:R16"/>
    <mergeCell ref="D2:V2"/>
    <mergeCell ref="D3:V3"/>
    <mergeCell ref="D4:V4"/>
    <mergeCell ref="E7:I7"/>
    <mergeCell ref="J7:O7"/>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F57A-C6C7-4EA7-BF12-E51DD901DE71}">
  <sheetPr>
    <tabColor theme="8" tint="-0.249977111117893"/>
    <pageSetUpPr fitToPage="1"/>
  </sheetPr>
  <dimension ref="A1:AI51"/>
  <sheetViews>
    <sheetView showGridLines="0" view="pageBreakPreview" topLeftCell="C1" zoomScaleNormal="100" zoomScaleSheetLayoutView="100" workbookViewId="0">
      <selection activeCell="U27" sqref="U27"/>
    </sheetView>
  </sheetViews>
  <sheetFormatPr defaultRowHeight="12.5" x14ac:dyDescent="0.25"/>
  <cols>
    <col min="1" max="1" width="3" style="2955" bestFit="1" customWidth="1"/>
    <col min="2" max="2" width="14.26953125" style="2955" bestFit="1" customWidth="1"/>
    <col min="3" max="3" width="3" style="2955" bestFit="1" customWidth="1"/>
    <col min="4" max="4" width="27.26953125" style="2955" customWidth="1"/>
    <col min="5" max="11" width="8.26953125" style="2955" customWidth="1"/>
    <col min="12" max="15" width="9.7265625" style="2955" customWidth="1"/>
    <col min="16" max="16" width="9.1796875" style="2955" customWidth="1"/>
    <col min="17" max="27" width="9.7265625" style="2955" customWidth="1"/>
    <col min="28" max="262" width="8.7265625" style="2955"/>
    <col min="263" max="263" width="3" style="2955" bestFit="1" customWidth="1"/>
    <col min="264" max="264" width="14.26953125" style="2955" bestFit="1" customWidth="1"/>
    <col min="265" max="265" width="3" style="2955" bestFit="1" customWidth="1"/>
    <col min="266" max="266" width="12.1796875" style="2955" customWidth="1"/>
    <col min="267" max="274" width="7.26953125" style="2955" customWidth="1"/>
    <col min="275" max="276" width="12.1796875" style="2955" customWidth="1"/>
    <col min="277" max="277" width="7.26953125" style="2955" customWidth="1"/>
    <col min="278" max="278" width="9.7265625" style="2955" customWidth="1"/>
    <col min="279" max="518" width="8.7265625" style="2955"/>
    <col min="519" max="519" width="3" style="2955" bestFit="1" customWidth="1"/>
    <col min="520" max="520" width="14.26953125" style="2955" bestFit="1" customWidth="1"/>
    <col min="521" max="521" width="3" style="2955" bestFit="1" customWidth="1"/>
    <col min="522" max="522" width="12.1796875" style="2955" customWidth="1"/>
    <col min="523" max="530" width="7.26953125" style="2955" customWidth="1"/>
    <col min="531" max="532" width="12.1796875" style="2955" customWidth="1"/>
    <col min="533" max="533" width="7.26953125" style="2955" customWidth="1"/>
    <col min="534" max="534" width="9.7265625" style="2955" customWidth="1"/>
    <col min="535" max="774" width="8.7265625" style="2955"/>
    <col min="775" max="775" width="3" style="2955" bestFit="1" customWidth="1"/>
    <col min="776" max="776" width="14.26953125" style="2955" bestFit="1" customWidth="1"/>
    <col min="777" max="777" width="3" style="2955" bestFit="1" customWidth="1"/>
    <col min="778" max="778" width="12.1796875" style="2955" customWidth="1"/>
    <col min="779" max="786" width="7.26953125" style="2955" customWidth="1"/>
    <col min="787" max="788" width="12.1796875" style="2955" customWidth="1"/>
    <col min="789" max="789" width="7.26953125" style="2955" customWidth="1"/>
    <col min="790" max="790" width="9.7265625" style="2955" customWidth="1"/>
    <col min="791" max="1030" width="8.7265625" style="2955"/>
    <col min="1031" max="1031" width="3" style="2955" bestFit="1" customWidth="1"/>
    <col min="1032" max="1032" width="14.26953125" style="2955" bestFit="1" customWidth="1"/>
    <col min="1033" max="1033" width="3" style="2955" bestFit="1" customWidth="1"/>
    <col min="1034" max="1034" width="12.1796875" style="2955" customWidth="1"/>
    <col min="1035" max="1042" width="7.26953125" style="2955" customWidth="1"/>
    <col min="1043" max="1044" width="12.1796875" style="2955" customWidth="1"/>
    <col min="1045" max="1045" width="7.26953125" style="2955" customWidth="1"/>
    <col min="1046" max="1046" width="9.7265625" style="2955" customWidth="1"/>
    <col min="1047" max="1286" width="8.7265625" style="2955"/>
    <col min="1287" max="1287" width="3" style="2955" bestFit="1" customWidth="1"/>
    <col min="1288" max="1288" width="14.26953125" style="2955" bestFit="1" customWidth="1"/>
    <col min="1289" max="1289" width="3" style="2955" bestFit="1" customWidth="1"/>
    <col min="1290" max="1290" width="12.1796875" style="2955" customWidth="1"/>
    <col min="1291" max="1298" width="7.26953125" style="2955" customWidth="1"/>
    <col min="1299" max="1300" width="12.1796875" style="2955" customWidth="1"/>
    <col min="1301" max="1301" width="7.26953125" style="2955" customWidth="1"/>
    <col min="1302" max="1302" width="9.7265625" style="2955" customWidth="1"/>
    <col min="1303" max="1542" width="8.7265625" style="2955"/>
    <col min="1543" max="1543" width="3" style="2955" bestFit="1" customWidth="1"/>
    <col min="1544" max="1544" width="14.26953125" style="2955" bestFit="1" customWidth="1"/>
    <col min="1545" max="1545" width="3" style="2955" bestFit="1" customWidth="1"/>
    <col min="1546" max="1546" width="12.1796875" style="2955" customWidth="1"/>
    <col min="1547" max="1554" width="7.26953125" style="2955" customWidth="1"/>
    <col min="1555" max="1556" width="12.1796875" style="2955" customWidth="1"/>
    <col min="1557" max="1557" width="7.26953125" style="2955" customWidth="1"/>
    <col min="1558" max="1558" width="9.7265625" style="2955" customWidth="1"/>
    <col min="1559" max="1798" width="8.7265625" style="2955"/>
    <col min="1799" max="1799" width="3" style="2955" bestFit="1" customWidth="1"/>
    <col min="1800" max="1800" width="14.26953125" style="2955" bestFit="1" customWidth="1"/>
    <col min="1801" max="1801" width="3" style="2955" bestFit="1" customWidth="1"/>
    <col min="1802" max="1802" width="12.1796875" style="2955" customWidth="1"/>
    <col min="1803" max="1810" width="7.26953125" style="2955" customWidth="1"/>
    <col min="1811" max="1812" width="12.1796875" style="2955" customWidth="1"/>
    <col min="1813" max="1813" width="7.26953125" style="2955" customWidth="1"/>
    <col min="1814" max="1814" width="9.7265625" style="2955" customWidth="1"/>
    <col min="1815" max="2054" width="8.7265625" style="2955"/>
    <col min="2055" max="2055" width="3" style="2955" bestFit="1" customWidth="1"/>
    <col min="2056" max="2056" width="14.26953125" style="2955" bestFit="1" customWidth="1"/>
    <col min="2057" max="2057" width="3" style="2955" bestFit="1" customWidth="1"/>
    <col min="2058" max="2058" width="12.1796875" style="2955" customWidth="1"/>
    <col min="2059" max="2066" width="7.26953125" style="2955" customWidth="1"/>
    <col min="2067" max="2068" width="12.1796875" style="2955" customWidth="1"/>
    <col min="2069" max="2069" width="7.26953125" style="2955" customWidth="1"/>
    <col min="2070" max="2070" width="9.7265625" style="2955" customWidth="1"/>
    <col min="2071" max="2310" width="8.7265625" style="2955"/>
    <col min="2311" max="2311" width="3" style="2955" bestFit="1" customWidth="1"/>
    <col min="2312" max="2312" width="14.26953125" style="2955" bestFit="1" customWidth="1"/>
    <col min="2313" max="2313" width="3" style="2955" bestFit="1" customWidth="1"/>
    <col min="2314" max="2314" width="12.1796875" style="2955" customWidth="1"/>
    <col min="2315" max="2322" width="7.26953125" style="2955" customWidth="1"/>
    <col min="2323" max="2324" width="12.1796875" style="2955" customWidth="1"/>
    <col min="2325" max="2325" width="7.26953125" style="2955" customWidth="1"/>
    <col min="2326" max="2326" width="9.7265625" style="2955" customWidth="1"/>
    <col min="2327" max="2566" width="8.7265625" style="2955"/>
    <col min="2567" max="2567" width="3" style="2955" bestFit="1" customWidth="1"/>
    <col min="2568" max="2568" width="14.26953125" style="2955" bestFit="1" customWidth="1"/>
    <col min="2569" max="2569" width="3" style="2955" bestFit="1" customWidth="1"/>
    <col min="2570" max="2570" width="12.1796875" style="2955" customWidth="1"/>
    <col min="2571" max="2578" width="7.26953125" style="2955" customWidth="1"/>
    <col min="2579" max="2580" width="12.1796875" style="2955" customWidth="1"/>
    <col min="2581" max="2581" width="7.26953125" style="2955" customWidth="1"/>
    <col min="2582" max="2582" width="9.7265625" style="2955" customWidth="1"/>
    <col min="2583" max="2822" width="8.7265625" style="2955"/>
    <col min="2823" max="2823" width="3" style="2955" bestFit="1" customWidth="1"/>
    <col min="2824" max="2824" width="14.26953125" style="2955" bestFit="1" customWidth="1"/>
    <col min="2825" max="2825" width="3" style="2955" bestFit="1" customWidth="1"/>
    <col min="2826" max="2826" width="12.1796875" style="2955" customWidth="1"/>
    <col min="2827" max="2834" width="7.26953125" style="2955" customWidth="1"/>
    <col min="2835" max="2836" width="12.1796875" style="2955" customWidth="1"/>
    <col min="2837" max="2837" width="7.26953125" style="2955" customWidth="1"/>
    <col min="2838" max="2838" width="9.7265625" style="2955" customWidth="1"/>
    <col min="2839" max="3078" width="8.7265625" style="2955"/>
    <col min="3079" max="3079" width="3" style="2955" bestFit="1" customWidth="1"/>
    <col min="3080" max="3080" width="14.26953125" style="2955" bestFit="1" customWidth="1"/>
    <col min="3081" max="3081" width="3" style="2955" bestFit="1" customWidth="1"/>
    <col min="3082" max="3082" width="12.1796875" style="2955" customWidth="1"/>
    <col min="3083" max="3090" width="7.26953125" style="2955" customWidth="1"/>
    <col min="3091" max="3092" width="12.1796875" style="2955" customWidth="1"/>
    <col min="3093" max="3093" width="7.26953125" style="2955" customWidth="1"/>
    <col min="3094" max="3094" width="9.7265625" style="2955" customWidth="1"/>
    <col min="3095" max="3334" width="8.7265625" style="2955"/>
    <col min="3335" max="3335" width="3" style="2955" bestFit="1" customWidth="1"/>
    <col min="3336" max="3336" width="14.26953125" style="2955" bestFit="1" customWidth="1"/>
    <col min="3337" max="3337" width="3" style="2955" bestFit="1" customWidth="1"/>
    <col min="3338" max="3338" width="12.1796875" style="2955" customWidth="1"/>
    <col min="3339" max="3346" width="7.26953125" style="2955" customWidth="1"/>
    <col min="3347" max="3348" width="12.1796875" style="2955" customWidth="1"/>
    <col min="3349" max="3349" width="7.26953125" style="2955" customWidth="1"/>
    <col min="3350" max="3350" width="9.7265625" style="2955" customWidth="1"/>
    <col min="3351" max="3590" width="8.7265625" style="2955"/>
    <col min="3591" max="3591" width="3" style="2955" bestFit="1" customWidth="1"/>
    <col min="3592" max="3592" width="14.26953125" style="2955" bestFit="1" customWidth="1"/>
    <col min="3593" max="3593" width="3" style="2955" bestFit="1" customWidth="1"/>
    <col min="3594" max="3594" width="12.1796875" style="2955" customWidth="1"/>
    <col min="3595" max="3602" width="7.26953125" style="2955" customWidth="1"/>
    <col min="3603" max="3604" width="12.1796875" style="2955" customWidth="1"/>
    <col min="3605" max="3605" width="7.26953125" style="2955" customWidth="1"/>
    <col min="3606" max="3606" width="9.7265625" style="2955" customWidth="1"/>
    <col min="3607" max="3846" width="8.7265625" style="2955"/>
    <col min="3847" max="3847" width="3" style="2955" bestFit="1" customWidth="1"/>
    <col min="3848" max="3848" width="14.26953125" style="2955" bestFit="1" customWidth="1"/>
    <col min="3849" max="3849" width="3" style="2955" bestFit="1" customWidth="1"/>
    <col min="3850" max="3850" width="12.1796875" style="2955" customWidth="1"/>
    <col min="3851" max="3858" width="7.26953125" style="2955" customWidth="1"/>
    <col min="3859" max="3860" width="12.1796875" style="2955" customWidth="1"/>
    <col min="3861" max="3861" width="7.26953125" style="2955" customWidth="1"/>
    <col min="3862" max="3862" width="9.7265625" style="2955" customWidth="1"/>
    <col min="3863" max="4102" width="8.7265625" style="2955"/>
    <col min="4103" max="4103" width="3" style="2955" bestFit="1" customWidth="1"/>
    <col min="4104" max="4104" width="14.26953125" style="2955" bestFit="1" customWidth="1"/>
    <col min="4105" max="4105" width="3" style="2955" bestFit="1" customWidth="1"/>
    <col min="4106" max="4106" width="12.1796875" style="2955" customWidth="1"/>
    <col min="4107" max="4114" width="7.26953125" style="2955" customWidth="1"/>
    <col min="4115" max="4116" width="12.1796875" style="2955" customWidth="1"/>
    <col min="4117" max="4117" width="7.26953125" style="2955" customWidth="1"/>
    <col min="4118" max="4118" width="9.7265625" style="2955" customWidth="1"/>
    <col min="4119" max="4358" width="8.7265625" style="2955"/>
    <col min="4359" max="4359" width="3" style="2955" bestFit="1" customWidth="1"/>
    <col min="4360" max="4360" width="14.26953125" style="2955" bestFit="1" customWidth="1"/>
    <col min="4361" max="4361" width="3" style="2955" bestFit="1" customWidth="1"/>
    <col min="4362" max="4362" width="12.1796875" style="2955" customWidth="1"/>
    <col min="4363" max="4370" width="7.26953125" style="2955" customWidth="1"/>
    <col min="4371" max="4372" width="12.1796875" style="2955" customWidth="1"/>
    <col min="4373" max="4373" width="7.26953125" style="2955" customWidth="1"/>
    <col min="4374" max="4374" width="9.7265625" style="2955" customWidth="1"/>
    <col min="4375" max="4614" width="8.7265625" style="2955"/>
    <col min="4615" max="4615" width="3" style="2955" bestFit="1" customWidth="1"/>
    <col min="4616" max="4616" width="14.26953125" style="2955" bestFit="1" customWidth="1"/>
    <col min="4617" max="4617" width="3" style="2955" bestFit="1" customWidth="1"/>
    <col min="4618" max="4618" width="12.1796875" style="2955" customWidth="1"/>
    <col min="4619" max="4626" width="7.26953125" style="2955" customWidth="1"/>
    <col min="4627" max="4628" width="12.1796875" style="2955" customWidth="1"/>
    <col min="4629" max="4629" width="7.26953125" style="2955" customWidth="1"/>
    <col min="4630" max="4630" width="9.7265625" style="2955" customWidth="1"/>
    <col min="4631" max="4870" width="8.7265625" style="2955"/>
    <col min="4871" max="4871" width="3" style="2955" bestFit="1" customWidth="1"/>
    <col min="4872" max="4872" width="14.26953125" style="2955" bestFit="1" customWidth="1"/>
    <col min="4873" max="4873" width="3" style="2955" bestFit="1" customWidth="1"/>
    <col min="4874" max="4874" width="12.1796875" style="2955" customWidth="1"/>
    <col min="4875" max="4882" width="7.26953125" style="2955" customWidth="1"/>
    <col min="4883" max="4884" width="12.1796875" style="2955" customWidth="1"/>
    <col min="4885" max="4885" width="7.26953125" style="2955" customWidth="1"/>
    <col min="4886" max="4886" width="9.7265625" style="2955" customWidth="1"/>
    <col min="4887" max="5126" width="8.7265625" style="2955"/>
    <col min="5127" max="5127" width="3" style="2955" bestFit="1" customWidth="1"/>
    <col min="5128" max="5128" width="14.26953125" style="2955" bestFit="1" customWidth="1"/>
    <col min="5129" max="5129" width="3" style="2955" bestFit="1" customWidth="1"/>
    <col min="5130" max="5130" width="12.1796875" style="2955" customWidth="1"/>
    <col min="5131" max="5138" width="7.26953125" style="2955" customWidth="1"/>
    <col min="5139" max="5140" width="12.1796875" style="2955" customWidth="1"/>
    <col min="5141" max="5141" width="7.26953125" style="2955" customWidth="1"/>
    <col min="5142" max="5142" width="9.7265625" style="2955" customWidth="1"/>
    <col min="5143" max="5382" width="8.7265625" style="2955"/>
    <col min="5383" max="5383" width="3" style="2955" bestFit="1" customWidth="1"/>
    <col min="5384" max="5384" width="14.26953125" style="2955" bestFit="1" customWidth="1"/>
    <col min="5385" max="5385" width="3" style="2955" bestFit="1" customWidth="1"/>
    <col min="5386" max="5386" width="12.1796875" style="2955" customWidth="1"/>
    <col min="5387" max="5394" width="7.26953125" style="2955" customWidth="1"/>
    <col min="5395" max="5396" width="12.1796875" style="2955" customWidth="1"/>
    <col min="5397" max="5397" width="7.26953125" style="2955" customWidth="1"/>
    <col min="5398" max="5398" width="9.7265625" style="2955" customWidth="1"/>
    <col min="5399" max="5638" width="8.7265625" style="2955"/>
    <col min="5639" max="5639" width="3" style="2955" bestFit="1" customWidth="1"/>
    <col min="5640" max="5640" width="14.26953125" style="2955" bestFit="1" customWidth="1"/>
    <col min="5641" max="5641" width="3" style="2955" bestFit="1" customWidth="1"/>
    <col min="5642" max="5642" width="12.1796875" style="2955" customWidth="1"/>
    <col min="5643" max="5650" width="7.26953125" style="2955" customWidth="1"/>
    <col min="5651" max="5652" width="12.1796875" style="2955" customWidth="1"/>
    <col min="5653" max="5653" width="7.26953125" style="2955" customWidth="1"/>
    <col min="5654" max="5654" width="9.7265625" style="2955" customWidth="1"/>
    <col min="5655" max="5894" width="8.7265625" style="2955"/>
    <col min="5895" max="5895" width="3" style="2955" bestFit="1" customWidth="1"/>
    <col min="5896" max="5896" width="14.26953125" style="2955" bestFit="1" customWidth="1"/>
    <col min="5897" max="5897" width="3" style="2955" bestFit="1" customWidth="1"/>
    <col min="5898" max="5898" width="12.1796875" style="2955" customWidth="1"/>
    <col min="5899" max="5906" width="7.26953125" style="2955" customWidth="1"/>
    <col min="5907" max="5908" width="12.1796875" style="2955" customWidth="1"/>
    <col min="5909" max="5909" width="7.26953125" style="2955" customWidth="1"/>
    <col min="5910" max="5910" width="9.7265625" style="2955" customWidth="1"/>
    <col min="5911" max="6150" width="8.7265625" style="2955"/>
    <col min="6151" max="6151" width="3" style="2955" bestFit="1" customWidth="1"/>
    <col min="6152" max="6152" width="14.26953125" style="2955" bestFit="1" customWidth="1"/>
    <col min="6153" max="6153" width="3" style="2955" bestFit="1" customWidth="1"/>
    <col min="6154" max="6154" width="12.1796875" style="2955" customWidth="1"/>
    <col min="6155" max="6162" width="7.26953125" style="2955" customWidth="1"/>
    <col min="6163" max="6164" width="12.1796875" style="2955" customWidth="1"/>
    <col min="6165" max="6165" width="7.26953125" style="2955" customWidth="1"/>
    <col min="6166" max="6166" width="9.7265625" style="2955" customWidth="1"/>
    <col min="6167" max="6406" width="8.7265625" style="2955"/>
    <col min="6407" max="6407" width="3" style="2955" bestFit="1" customWidth="1"/>
    <col min="6408" max="6408" width="14.26953125" style="2955" bestFit="1" customWidth="1"/>
    <col min="6409" max="6409" width="3" style="2955" bestFit="1" customWidth="1"/>
    <col min="6410" max="6410" width="12.1796875" style="2955" customWidth="1"/>
    <col min="6411" max="6418" width="7.26953125" style="2955" customWidth="1"/>
    <col min="6419" max="6420" width="12.1796875" style="2955" customWidth="1"/>
    <col min="6421" max="6421" width="7.26953125" style="2955" customWidth="1"/>
    <col min="6422" max="6422" width="9.7265625" style="2955" customWidth="1"/>
    <col min="6423" max="6662" width="8.7265625" style="2955"/>
    <col min="6663" max="6663" width="3" style="2955" bestFit="1" customWidth="1"/>
    <col min="6664" max="6664" width="14.26953125" style="2955" bestFit="1" customWidth="1"/>
    <col min="6665" max="6665" width="3" style="2955" bestFit="1" customWidth="1"/>
    <col min="6666" max="6666" width="12.1796875" style="2955" customWidth="1"/>
    <col min="6667" max="6674" width="7.26953125" style="2955" customWidth="1"/>
    <col min="6675" max="6676" width="12.1796875" style="2955" customWidth="1"/>
    <col min="6677" max="6677" width="7.26953125" style="2955" customWidth="1"/>
    <col min="6678" max="6678" width="9.7265625" style="2955" customWidth="1"/>
    <col min="6679" max="6918" width="8.7265625" style="2955"/>
    <col min="6919" max="6919" width="3" style="2955" bestFit="1" customWidth="1"/>
    <col min="6920" max="6920" width="14.26953125" style="2955" bestFit="1" customWidth="1"/>
    <col min="6921" max="6921" width="3" style="2955" bestFit="1" customWidth="1"/>
    <col min="6922" max="6922" width="12.1796875" style="2955" customWidth="1"/>
    <col min="6923" max="6930" width="7.26953125" style="2955" customWidth="1"/>
    <col min="6931" max="6932" width="12.1796875" style="2955" customWidth="1"/>
    <col min="6933" max="6933" width="7.26953125" style="2955" customWidth="1"/>
    <col min="6934" max="6934" width="9.7265625" style="2955" customWidth="1"/>
    <col min="6935" max="7174" width="8.7265625" style="2955"/>
    <col min="7175" max="7175" width="3" style="2955" bestFit="1" customWidth="1"/>
    <col min="7176" max="7176" width="14.26953125" style="2955" bestFit="1" customWidth="1"/>
    <col min="7177" max="7177" width="3" style="2955" bestFit="1" customWidth="1"/>
    <col min="7178" max="7178" width="12.1796875" style="2955" customWidth="1"/>
    <col min="7179" max="7186" width="7.26953125" style="2955" customWidth="1"/>
    <col min="7187" max="7188" width="12.1796875" style="2955" customWidth="1"/>
    <col min="7189" max="7189" width="7.26953125" style="2955" customWidth="1"/>
    <col min="7190" max="7190" width="9.7265625" style="2955" customWidth="1"/>
    <col min="7191" max="7430" width="8.7265625" style="2955"/>
    <col min="7431" max="7431" width="3" style="2955" bestFit="1" customWidth="1"/>
    <col min="7432" max="7432" width="14.26953125" style="2955" bestFit="1" customWidth="1"/>
    <col min="7433" max="7433" width="3" style="2955" bestFit="1" customWidth="1"/>
    <col min="7434" max="7434" width="12.1796875" style="2955" customWidth="1"/>
    <col min="7435" max="7442" width="7.26953125" style="2955" customWidth="1"/>
    <col min="7443" max="7444" width="12.1796875" style="2955" customWidth="1"/>
    <col min="7445" max="7445" width="7.26953125" style="2955" customWidth="1"/>
    <col min="7446" max="7446" width="9.7265625" style="2955" customWidth="1"/>
    <col min="7447" max="7686" width="8.7265625" style="2955"/>
    <col min="7687" max="7687" width="3" style="2955" bestFit="1" customWidth="1"/>
    <col min="7688" max="7688" width="14.26953125" style="2955" bestFit="1" customWidth="1"/>
    <col min="7689" max="7689" width="3" style="2955" bestFit="1" customWidth="1"/>
    <col min="7690" max="7690" width="12.1796875" style="2955" customWidth="1"/>
    <col min="7691" max="7698" width="7.26953125" style="2955" customWidth="1"/>
    <col min="7699" max="7700" width="12.1796875" style="2955" customWidth="1"/>
    <col min="7701" max="7701" width="7.26953125" style="2955" customWidth="1"/>
    <col min="7702" max="7702" width="9.7265625" style="2955" customWidth="1"/>
    <col min="7703" max="7942" width="8.7265625" style="2955"/>
    <col min="7943" max="7943" width="3" style="2955" bestFit="1" customWidth="1"/>
    <col min="7944" max="7944" width="14.26953125" style="2955" bestFit="1" customWidth="1"/>
    <col min="7945" max="7945" width="3" style="2955" bestFit="1" customWidth="1"/>
    <col min="7946" max="7946" width="12.1796875" style="2955" customWidth="1"/>
    <col min="7947" max="7954" width="7.26953125" style="2955" customWidth="1"/>
    <col min="7955" max="7956" width="12.1796875" style="2955" customWidth="1"/>
    <col min="7957" max="7957" width="7.26953125" style="2955" customWidth="1"/>
    <col min="7958" max="7958" width="9.7265625" style="2955" customWidth="1"/>
    <col min="7959" max="8198" width="8.7265625" style="2955"/>
    <col min="8199" max="8199" width="3" style="2955" bestFit="1" customWidth="1"/>
    <col min="8200" max="8200" width="14.26953125" style="2955" bestFit="1" customWidth="1"/>
    <col min="8201" max="8201" width="3" style="2955" bestFit="1" customWidth="1"/>
    <col min="8202" max="8202" width="12.1796875" style="2955" customWidth="1"/>
    <col min="8203" max="8210" width="7.26953125" style="2955" customWidth="1"/>
    <col min="8211" max="8212" width="12.1796875" style="2955" customWidth="1"/>
    <col min="8213" max="8213" width="7.26953125" style="2955" customWidth="1"/>
    <col min="8214" max="8214" width="9.7265625" style="2955" customWidth="1"/>
    <col min="8215" max="8454" width="8.7265625" style="2955"/>
    <col min="8455" max="8455" width="3" style="2955" bestFit="1" customWidth="1"/>
    <col min="8456" max="8456" width="14.26953125" style="2955" bestFit="1" customWidth="1"/>
    <col min="8457" max="8457" width="3" style="2955" bestFit="1" customWidth="1"/>
    <col min="8458" max="8458" width="12.1796875" style="2955" customWidth="1"/>
    <col min="8459" max="8466" width="7.26953125" style="2955" customWidth="1"/>
    <col min="8467" max="8468" width="12.1796875" style="2955" customWidth="1"/>
    <col min="8469" max="8469" width="7.26953125" style="2955" customWidth="1"/>
    <col min="8470" max="8470" width="9.7265625" style="2955" customWidth="1"/>
    <col min="8471" max="8710" width="8.7265625" style="2955"/>
    <col min="8711" max="8711" width="3" style="2955" bestFit="1" customWidth="1"/>
    <col min="8712" max="8712" width="14.26953125" style="2955" bestFit="1" customWidth="1"/>
    <col min="8713" max="8713" width="3" style="2955" bestFit="1" customWidth="1"/>
    <col min="8714" max="8714" width="12.1796875" style="2955" customWidth="1"/>
    <col min="8715" max="8722" width="7.26953125" style="2955" customWidth="1"/>
    <col min="8723" max="8724" width="12.1796875" style="2955" customWidth="1"/>
    <col min="8725" max="8725" width="7.26953125" style="2955" customWidth="1"/>
    <col min="8726" max="8726" width="9.7265625" style="2955" customWidth="1"/>
    <col min="8727" max="8966" width="8.7265625" style="2955"/>
    <col min="8967" max="8967" width="3" style="2955" bestFit="1" customWidth="1"/>
    <col min="8968" max="8968" width="14.26953125" style="2955" bestFit="1" customWidth="1"/>
    <col min="8969" max="8969" width="3" style="2955" bestFit="1" customWidth="1"/>
    <col min="8970" max="8970" width="12.1796875" style="2955" customWidth="1"/>
    <col min="8971" max="8978" width="7.26953125" style="2955" customWidth="1"/>
    <col min="8979" max="8980" width="12.1796875" style="2955" customWidth="1"/>
    <col min="8981" max="8981" width="7.26953125" style="2955" customWidth="1"/>
    <col min="8982" max="8982" width="9.7265625" style="2955" customWidth="1"/>
    <col min="8983" max="9222" width="8.7265625" style="2955"/>
    <col min="9223" max="9223" width="3" style="2955" bestFit="1" customWidth="1"/>
    <col min="9224" max="9224" width="14.26953125" style="2955" bestFit="1" customWidth="1"/>
    <col min="9225" max="9225" width="3" style="2955" bestFit="1" customWidth="1"/>
    <col min="9226" max="9226" width="12.1796875" style="2955" customWidth="1"/>
    <col min="9227" max="9234" width="7.26953125" style="2955" customWidth="1"/>
    <col min="9235" max="9236" width="12.1796875" style="2955" customWidth="1"/>
    <col min="9237" max="9237" width="7.26953125" style="2955" customWidth="1"/>
    <col min="9238" max="9238" width="9.7265625" style="2955" customWidth="1"/>
    <col min="9239" max="9478" width="8.7265625" style="2955"/>
    <col min="9479" max="9479" width="3" style="2955" bestFit="1" customWidth="1"/>
    <col min="9480" max="9480" width="14.26953125" style="2955" bestFit="1" customWidth="1"/>
    <col min="9481" max="9481" width="3" style="2955" bestFit="1" customWidth="1"/>
    <col min="9482" max="9482" width="12.1796875" style="2955" customWidth="1"/>
    <col min="9483" max="9490" width="7.26953125" style="2955" customWidth="1"/>
    <col min="9491" max="9492" width="12.1796875" style="2955" customWidth="1"/>
    <col min="9493" max="9493" width="7.26953125" style="2955" customWidth="1"/>
    <col min="9494" max="9494" width="9.7265625" style="2955" customWidth="1"/>
    <col min="9495" max="9734" width="8.7265625" style="2955"/>
    <col min="9735" max="9735" width="3" style="2955" bestFit="1" customWidth="1"/>
    <col min="9736" max="9736" width="14.26953125" style="2955" bestFit="1" customWidth="1"/>
    <col min="9737" max="9737" width="3" style="2955" bestFit="1" customWidth="1"/>
    <col min="9738" max="9738" width="12.1796875" style="2955" customWidth="1"/>
    <col min="9739" max="9746" width="7.26953125" style="2955" customWidth="1"/>
    <col min="9747" max="9748" width="12.1796875" style="2955" customWidth="1"/>
    <col min="9749" max="9749" width="7.26953125" style="2955" customWidth="1"/>
    <col min="9750" max="9750" width="9.7265625" style="2955" customWidth="1"/>
    <col min="9751" max="9990" width="8.7265625" style="2955"/>
    <col min="9991" max="9991" width="3" style="2955" bestFit="1" customWidth="1"/>
    <col min="9992" max="9992" width="14.26953125" style="2955" bestFit="1" customWidth="1"/>
    <col min="9993" max="9993" width="3" style="2955" bestFit="1" customWidth="1"/>
    <col min="9994" max="9994" width="12.1796875" style="2955" customWidth="1"/>
    <col min="9995" max="10002" width="7.26953125" style="2955" customWidth="1"/>
    <col min="10003" max="10004" width="12.1796875" style="2955" customWidth="1"/>
    <col min="10005" max="10005" width="7.26953125" style="2955" customWidth="1"/>
    <col min="10006" max="10006" width="9.7265625" style="2955" customWidth="1"/>
    <col min="10007" max="10246" width="8.7265625" style="2955"/>
    <col min="10247" max="10247" width="3" style="2955" bestFit="1" customWidth="1"/>
    <col min="10248" max="10248" width="14.26953125" style="2955" bestFit="1" customWidth="1"/>
    <col min="10249" max="10249" width="3" style="2955" bestFit="1" customWidth="1"/>
    <col min="10250" max="10250" width="12.1796875" style="2955" customWidth="1"/>
    <col min="10251" max="10258" width="7.26953125" style="2955" customWidth="1"/>
    <col min="10259" max="10260" width="12.1796875" style="2955" customWidth="1"/>
    <col min="10261" max="10261" width="7.26953125" style="2955" customWidth="1"/>
    <col min="10262" max="10262" width="9.7265625" style="2955" customWidth="1"/>
    <col min="10263" max="10502" width="8.7265625" style="2955"/>
    <col min="10503" max="10503" width="3" style="2955" bestFit="1" customWidth="1"/>
    <col min="10504" max="10504" width="14.26953125" style="2955" bestFit="1" customWidth="1"/>
    <col min="10505" max="10505" width="3" style="2955" bestFit="1" customWidth="1"/>
    <col min="10506" max="10506" width="12.1796875" style="2955" customWidth="1"/>
    <col min="10507" max="10514" width="7.26953125" style="2955" customWidth="1"/>
    <col min="10515" max="10516" width="12.1796875" style="2955" customWidth="1"/>
    <col min="10517" max="10517" width="7.26953125" style="2955" customWidth="1"/>
    <col min="10518" max="10518" width="9.7265625" style="2955" customWidth="1"/>
    <col min="10519" max="10758" width="8.7265625" style="2955"/>
    <col min="10759" max="10759" width="3" style="2955" bestFit="1" customWidth="1"/>
    <col min="10760" max="10760" width="14.26953125" style="2955" bestFit="1" customWidth="1"/>
    <col min="10761" max="10761" width="3" style="2955" bestFit="1" customWidth="1"/>
    <col min="10762" max="10762" width="12.1796875" style="2955" customWidth="1"/>
    <col min="10763" max="10770" width="7.26953125" style="2955" customWidth="1"/>
    <col min="10771" max="10772" width="12.1796875" style="2955" customWidth="1"/>
    <col min="10773" max="10773" width="7.26953125" style="2955" customWidth="1"/>
    <col min="10774" max="10774" width="9.7265625" style="2955" customWidth="1"/>
    <col min="10775" max="11014" width="8.7265625" style="2955"/>
    <col min="11015" max="11015" width="3" style="2955" bestFit="1" customWidth="1"/>
    <col min="11016" max="11016" width="14.26953125" style="2955" bestFit="1" customWidth="1"/>
    <col min="11017" max="11017" width="3" style="2955" bestFit="1" customWidth="1"/>
    <col min="11018" max="11018" width="12.1796875" style="2955" customWidth="1"/>
    <col min="11019" max="11026" width="7.26953125" style="2955" customWidth="1"/>
    <col min="11027" max="11028" width="12.1796875" style="2955" customWidth="1"/>
    <col min="11029" max="11029" width="7.26953125" style="2955" customWidth="1"/>
    <col min="11030" max="11030" width="9.7265625" style="2955" customWidth="1"/>
    <col min="11031" max="11270" width="8.7265625" style="2955"/>
    <col min="11271" max="11271" width="3" style="2955" bestFit="1" customWidth="1"/>
    <col min="11272" max="11272" width="14.26953125" style="2955" bestFit="1" customWidth="1"/>
    <col min="11273" max="11273" width="3" style="2955" bestFit="1" customWidth="1"/>
    <col min="11274" max="11274" width="12.1796875" style="2955" customWidth="1"/>
    <col min="11275" max="11282" width="7.26953125" style="2955" customWidth="1"/>
    <col min="11283" max="11284" width="12.1796875" style="2955" customWidth="1"/>
    <col min="11285" max="11285" width="7.26953125" style="2955" customWidth="1"/>
    <col min="11286" max="11286" width="9.7265625" style="2955" customWidth="1"/>
    <col min="11287" max="11526" width="8.7265625" style="2955"/>
    <col min="11527" max="11527" width="3" style="2955" bestFit="1" customWidth="1"/>
    <col min="11528" max="11528" width="14.26953125" style="2955" bestFit="1" customWidth="1"/>
    <col min="11529" max="11529" width="3" style="2955" bestFit="1" customWidth="1"/>
    <col min="11530" max="11530" width="12.1796875" style="2955" customWidth="1"/>
    <col min="11531" max="11538" width="7.26953125" style="2955" customWidth="1"/>
    <col min="11539" max="11540" width="12.1796875" style="2955" customWidth="1"/>
    <col min="11541" max="11541" width="7.26953125" style="2955" customWidth="1"/>
    <col min="11542" max="11542" width="9.7265625" style="2955" customWidth="1"/>
    <col min="11543" max="11782" width="8.7265625" style="2955"/>
    <col min="11783" max="11783" width="3" style="2955" bestFit="1" customWidth="1"/>
    <col min="11784" max="11784" width="14.26953125" style="2955" bestFit="1" customWidth="1"/>
    <col min="11785" max="11785" width="3" style="2955" bestFit="1" customWidth="1"/>
    <col min="11786" max="11786" width="12.1796875" style="2955" customWidth="1"/>
    <col min="11787" max="11794" width="7.26953125" style="2955" customWidth="1"/>
    <col min="11795" max="11796" width="12.1796875" style="2955" customWidth="1"/>
    <col min="11797" max="11797" width="7.26953125" style="2955" customWidth="1"/>
    <col min="11798" max="11798" width="9.7265625" style="2955" customWidth="1"/>
    <col min="11799" max="12038" width="8.7265625" style="2955"/>
    <col min="12039" max="12039" width="3" style="2955" bestFit="1" customWidth="1"/>
    <col min="12040" max="12040" width="14.26953125" style="2955" bestFit="1" customWidth="1"/>
    <col min="12041" max="12041" width="3" style="2955" bestFit="1" customWidth="1"/>
    <col min="12042" max="12042" width="12.1796875" style="2955" customWidth="1"/>
    <col min="12043" max="12050" width="7.26953125" style="2955" customWidth="1"/>
    <col min="12051" max="12052" width="12.1796875" style="2955" customWidth="1"/>
    <col min="12053" max="12053" width="7.26953125" style="2955" customWidth="1"/>
    <col min="12054" max="12054" width="9.7265625" style="2955" customWidth="1"/>
    <col min="12055" max="12294" width="8.7265625" style="2955"/>
    <col min="12295" max="12295" width="3" style="2955" bestFit="1" customWidth="1"/>
    <col min="12296" max="12296" width="14.26953125" style="2955" bestFit="1" customWidth="1"/>
    <col min="12297" max="12297" width="3" style="2955" bestFit="1" customWidth="1"/>
    <col min="12298" max="12298" width="12.1796875" style="2955" customWidth="1"/>
    <col min="12299" max="12306" width="7.26953125" style="2955" customWidth="1"/>
    <col min="12307" max="12308" width="12.1796875" style="2955" customWidth="1"/>
    <col min="12309" max="12309" width="7.26953125" style="2955" customWidth="1"/>
    <col min="12310" max="12310" width="9.7265625" style="2955" customWidth="1"/>
    <col min="12311" max="12550" width="8.7265625" style="2955"/>
    <col min="12551" max="12551" width="3" style="2955" bestFit="1" customWidth="1"/>
    <col min="12552" max="12552" width="14.26953125" style="2955" bestFit="1" customWidth="1"/>
    <col min="12553" max="12553" width="3" style="2955" bestFit="1" customWidth="1"/>
    <col min="12554" max="12554" width="12.1796875" style="2955" customWidth="1"/>
    <col min="12555" max="12562" width="7.26953125" style="2955" customWidth="1"/>
    <col min="12563" max="12564" width="12.1796875" style="2955" customWidth="1"/>
    <col min="12565" max="12565" width="7.26953125" style="2955" customWidth="1"/>
    <col min="12566" max="12566" width="9.7265625" style="2955" customWidth="1"/>
    <col min="12567" max="12806" width="8.7265625" style="2955"/>
    <col min="12807" max="12807" width="3" style="2955" bestFit="1" customWidth="1"/>
    <col min="12808" max="12808" width="14.26953125" style="2955" bestFit="1" customWidth="1"/>
    <col min="12809" max="12809" width="3" style="2955" bestFit="1" customWidth="1"/>
    <col min="12810" max="12810" width="12.1796875" style="2955" customWidth="1"/>
    <col min="12811" max="12818" width="7.26953125" style="2955" customWidth="1"/>
    <col min="12819" max="12820" width="12.1796875" style="2955" customWidth="1"/>
    <col min="12821" max="12821" width="7.26953125" style="2955" customWidth="1"/>
    <col min="12822" max="12822" width="9.7265625" style="2955" customWidth="1"/>
    <col min="12823" max="13062" width="8.7265625" style="2955"/>
    <col min="13063" max="13063" width="3" style="2955" bestFit="1" customWidth="1"/>
    <col min="13064" max="13064" width="14.26953125" style="2955" bestFit="1" customWidth="1"/>
    <col min="13065" max="13065" width="3" style="2955" bestFit="1" customWidth="1"/>
    <col min="13066" max="13066" width="12.1796875" style="2955" customWidth="1"/>
    <col min="13067" max="13074" width="7.26953125" style="2955" customWidth="1"/>
    <col min="13075" max="13076" width="12.1796875" style="2955" customWidth="1"/>
    <col min="13077" max="13077" width="7.26953125" style="2955" customWidth="1"/>
    <col min="13078" max="13078" width="9.7265625" style="2955" customWidth="1"/>
    <col min="13079" max="13318" width="8.7265625" style="2955"/>
    <col min="13319" max="13319" width="3" style="2955" bestFit="1" customWidth="1"/>
    <col min="13320" max="13320" width="14.26953125" style="2955" bestFit="1" customWidth="1"/>
    <col min="13321" max="13321" width="3" style="2955" bestFit="1" customWidth="1"/>
    <col min="13322" max="13322" width="12.1796875" style="2955" customWidth="1"/>
    <col min="13323" max="13330" width="7.26953125" style="2955" customWidth="1"/>
    <col min="13331" max="13332" width="12.1796875" style="2955" customWidth="1"/>
    <col min="13333" max="13333" width="7.26953125" style="2955" customWidth="1"/>
    <col min="13334" max="13334" width="9.7265625" style="2955" customWidth="1"/>
    <col min="13335" max="13574" width="8.7265625" style="2955"/>
    <col min="13575" max="13575" width="3" style="2955" bestFit="1" customWidth="1"/>
    <col min="13576" max="13576" width="14.26953125" style="2955" bestFit="1" customWidth="1"/>
    <col min="13577" max="13577" width="3" style="2955" bestFit="1" customWidth="1"/>
    <col min="13578" max="13578" width="12.1796875" style="2955" customWidth="1"/>
    <col min="13579" max="13586" width="7.26953125" style="2955" customWidth="1"/>
    <col min="13587" max="13588" width="12.1796875" style="2955" customWidth="1"/>
    <col min="13589" max="13589" width="7.26953125" style="2955" customWidth="1"/>
    <col min="13590" max="13590" width="9.7265625" style="2955" customWidth="1"/>
    <col min="13591" max="13830" width="8.7265625" style="2955"/>
    <col min="13831" max="13831" width="3" style="2955" bestFit="1" customWidth="1"/>
    <col min="13832" max="13832" width="14.26953125" style="2955" bestFit="1" customWidth="1"/>
    <col min="13833" max="13833" width="3" style="2955" bestFit="1" customWidth="1"/>
    <col min="13834" max="13834" width="12.1796875" style="2955" customWidth="1"/>
    <col min="13835" max="13842" width="7.26953125" style="2955" customWidth="1"/>
    <col min="13843" max="13844" width="12.1796875" style="2955" customWidth="1"/>
    <col min="13845" max="13845" width="7.26953125" style="2955" customWidth="1"/>
    <col min="13846" max="13846" width="9.7265625" style="2955" customWidth="1"/>
    <col min="13847" max="14086" width="8.7265625" style="2955"/>
    <col min="14087" max="14087" width="3" style="2955" bestFit="1" customWidth="1"/>
    <col min="14088" max="14088" width="14.26953125" style="2955" bestFit="1" customWidth="1"/>
    <col min="14089" max="14089" width="3" style="2955" bestFit="1" customWidth="1"/>
    <col min="14090" max="14090" width="12.1796875" style="2955" customWidth="1"/>
    <col min="14091" max="14098" width="7.26953125" style="2955" customWidth="1"/>
    <col min="14099" max="14100" width="12.1796875" style="2955" customWidth="1"/>
    <col min="14101" max="14101" width="7.26953125" style="2955" customWidth="1"/>
    <col min="14102" max="14102" width="9.7265625" style="2955" customWidth="1"/>
    <col min="14103" max="14342" width="8.7265625" style="2955"/>
    <col min="14343" max="14343" width="3" style="2955" bestFit="1" customWidth="1"/>
    <col min="14344" max="14344" width="14.26953125" style="2955" bestFit="1" customWidth="1"/>
    <col min="14345" max="14345" width="3" style="2955" bestFit="1" customWidth="1"/>
    <col min="14346" max="14346" width="12.1796875" style="2955" customWidth="1"/>
    <col min="14347" max="14354" width="7.26953125" style="2955" customWidth="1"/>
    <col min="14355" max="14356" width="12.1796875" style="2955" customWidth="1"/>
    <col min="14357" max="14357" width="7.26953125" style="2955" customWidth="1"/>
    <col min="14358" max="14358" width="9.7265625" style="2955" customWidth="1"/>
    <col min="14359" max="14598" width="8.7265625" style="2955"/>
    <col min="14599" max="14599" width="3" style="2955" bestFit="1" customWidth="1"/>
    <col min="14600" max="14600" width="14.26953125" style="2955" bestFit="1" customWidth="1"/>
    <col min="14601" max="14601" width="3" style="2955" bestFit="1" customWidth="1"/>
    <col min="14602" max="14602" width="12.1796875" style="2955" customWidth="1"/>
    <col min="14603" max="14610" width="7.26953125" style="2955" customWidth="1"/>
    <col min="14611" max="14612" width="12.1796875" style="2955" customWidth="1"/>
    <col min="14613" max="14613" width="7.26953125" style="2955" customWidth="1"/>
    <col min="14614" max="14614" width="9.7265625" style="2955" customWidth="1"/>
    <col min="14615" max="14854" width="8.7265625" style="2955"/>
    <col min="14855" max="14855" width="3" style="2955" bestFit="1" customWidth="1"/>
    <col min="14856" max="14856" width="14.26953125" style="2955" bestFit="1" customWidth="1"/>
    <col min="14857" max="14857" width="3" style="2955" bestFit="1" customWidth="1"/>
    <col min="14858" max="14858" width="12.1796875" style="2955" customWidth="1"/>
    <col min="14859" max="14866" width="7.26953125" style="2955" customWidth="1"/>
    <col min="14867" max="14868" width="12.1796875" style="2955" customWidth="1"/>
    <col min="14869" max="14869" width="7.26953125" style="2955" customWidth="1"/>
    <col min="14870" max="14870" width="9.7265625" style="2955" customWidth="1"/>
    <col min="14871" max="15110" width="8.7265625" style="2955"/>
    <col min="15111" max="15111" width="3" style="2955" bestFit="1" customWidth="1"/>
    <col min="15112" max="15112" width="14.26953125" style="2955" bestFit="1" customWidth="1"/>
    <col min="15113" max="15113" width="3" style="2955" bestFit="1" customWidth="1"/>
    <col min="15114" max="15114" width="12.1796875" style="2955" customWidth="1"/>
    <col min="15115" max="15122" width="7.26953125" style="2955" customWidth="1"/>
    <col min="15123" max="15124" width="12.1796875" style="2955" customWidth="1"/>
    <col min="15125" max="15125" width="7.26953125" style="2955" customWidth="1"/>
    <col min="15126" max="15126" width="9.7265625" style="2955" customWidth="1"/>
    <col min="15127" max="15366" width="8.7265625" style="2955"/>
    <col min="15367" max="15367" width="3" style="2955" bestFit="1" customWidth="1"/>
    <col min="15368" max="15368" width="14.26953125" style="2955" bestFit="1" customWidth="1"/>
    <col min="15369" max="15369" width="3" style="2955" bestFit="1" customWidth="1"/>
    <col min="15370" max="15370" width="12.1796875" style="2955" customWidth="1"/>
    <col min="15371" max="15378" width="7.26953125" style="2955" customWidth="1"/>
    <col min="15379" max="15380" width="12.1796875" style="2955" customWidth="1"/>
    <col min="15381" max="15381" width="7.26953125" style="2955" customWidth="1"/>
    <col min="15382" max="15382" width="9.7265625" style="2955" customWidth="1"/>
    <col min="15383" max="15622" width="8.7265625" style="2955"/>
    <col min="15623" max="15623" width="3" style="2955" bestFit="1" customWidth="1"/>
    <col min="15624" max="15624" width="14.26953125" style="2955" bestFit="1" customWidth="1"/>
    <col min="15625" max="15625" width="3" style="2955" bestFit="1" customWidth="1"/>
    <col min="15626" max="15626" width="12.1796875" style="2955" customWidth="1"/>
    <col min="15627" max="15634" width="7.26953125" style="2955" customWidth="1"/>
    <col min="15635" max="15636" width="12.1796875" style="2955" customWidth="1"/>
    <col min="15637" max="15637" width="7.26953125" style="2955" customWidth="1"/>
    <col min="15638" max="15638" width="9.7265625" style="2955" customWidth="1"/>
    <col min="15639" max="15878" width="8.7265625" style="2955"/>
    <col min="15879" max="15879" width="3" style="2955" bestFit="1" customWidth="1"/>
    <col min="15880" max="15880" width="14.26953125" style="2955" bestFit="1" customWidth="1"/>
    <col min="15881" max="15881" width="3" style="2955" bestFit="1" customWidth="1"/>
    <col min="15882" max="15882" width="12.1796875" style="2955" customWidth="1"/>
    <col min="15883" max="15890" width="7.26953125" style="2955" customWidth="1"/>
    <col min="15891" max="15892" width="12.1796875" style="2955" customWidth="1"/>
    <col min="15893" max="15893" width="7.26953125" style="2955" customWidth="1"/>
    <col min="15894" max="15894" width="9.7265625" style="2955" customWidth="1"/>
    <col min="15895" max="16134" width="8.7265625" style="2955"/>
    <col min="16135" max="16135" width="3" style="2955" bestFit="1" customWidth="1"/>
    <col min="16136" max="16136" width="14.26953125" style="2955" bestFit="1" customWidth="1"/>
    <col min="16137" max="16137" width="3" style="2955" bestFit="1" customWidth="1"/>
    <col min="16138" max="16138" width="12.1796875" style="2955" customWidth="1"/>
    <col min="16139" max="16146" width="7.26953125" style="2955" customWidth="1"/>
    <col min="16147" max="16148" width="12.1796875" style="2955" customWidth="1"/>
    <col min="16149" max="16149" width="7.26953125" style="2955" customWidth="1"/>
    <col min="16150" max="16150" width="9.7265625" style="2955" customWidth="1"/>
    <col min="16151" max="16384" width="8.7265625" style="2955"/>
  </cols>
  <sheetData>
    <row r="1" spans="1:29" ht="14" x14ac:dyDescent="0.3">
      <c r="A1" s="819"/>
      <c r="B1" s="2952"/>
      <c r="C1" s="2952"/>
      <c r="D1" s="2953"/>
      <c r="E1" s="2953"/>
      <c r="F1" s="2953"/>
      <c r="G1" s="2953"/>
      <c r="H1" s="2953"/>
      <c r="I1" s="2953"/>
      <c r="J1" s="2953"/>
      <c r="K1" s="2953"/>
      <c r="L1" s="2953"/>
      <c r="M1" s="2953"/>
      <c r="N1" s="2953"/>
      <c r="O1" s="2953"/>
      <c r="P1" s="2953"/>
      <c r="Q1" s="2953"/>
      <c r="R1" s="2953"/>
      <c r="S1" s="2953"/>
      <c r="T1" s="2954"/>
      <c r="U1" s="2954"/>
      <c r="V1" s="2954"/>
      <c r="W1" s="2722"/>
      <c r="X1" s="2722"/>
      <c r="Y1" s="2722"/>
      <c r="Z1" s="2722"/>
      <c r="AA1" s="2722"/>
    </row>
    <row r="2" spans="1:29" ht="14.5" customHeight="1" x14ac:dyDescent="0.3">
      <c r="A2" s="819">
        <v>1</v>
      </c>
      <c r="B2" s="819" t="s">
        <v>0</v>
      </c>
      <c r="C2" s="819">
        <v>51</v>
      </c>
      <c r="D2" s="4757" t="s">
        <v>1184</v>
      </c>
      <c r="E2" s="4758"/>
      <c r="F2" s="4758"/>
      <c r="G2" s="4758"/>
      <c r="H2" s="4758"/>
      <c r="I2" s="4758"/>
      <c r="J2" s="4758"/>
      <c r="K2" s="4758"/>
      <c r="L2" s="4758"/>
      <c r="M2" s="4758"/>
      <c r="N2" s="4758"/>
      <c r="O2" s="4758"/>
      <c r="P2" s="4758"/>
      <c r="Q2" s="4758"/>
      <c r="R2" s="4758"/>
      <c r="S2" s="4758"/>
      <c r="T2" s="4758"/>
      <c r="U2" s="4758"/>
      <c r="V2" s="4759"/>
      <c r="W2" s="2956"/>
      <c r="X2" s="2956"/>
      <c r="Y2" s="2956"/>
      <c r="Z2" s="2722"/>
      <c r="AA2" s="2722"/>
    </row>
    <row r="3" spans="1:29" ht="15" customHeight="1" x14ac:dyDescent="0.3">
      <c r="A3" s="819">
        <v>2</v>
      </c>
      <c r="B3" s="819" t="s">
        <v>2</v>
      </c>
      <c r="C3" s="819"/>
      <c r="D3" s="4757" t="s">
        <v>1024</v>
      </c>
      <c r="E3" s="4758"/>
      <c r="F3" s="4758"/>
      <c r="G3" s="4758"/>
      <c r="H3" s="4758"/>
      <c r="I3" s="4758"/>
      <c r="J3" s="4758"/>
      <c r="K3" s="4758"/>
      <c r="L3" s="4758"/>
      <c r="M3" s="4758"/>
      <c r="N3" s="4758"/>
      <c r="O3" s="4758"/>
      <c r="P3" s="4758"/>
      <c r="Q3" s="4758"/>
      <c r="R3" s="4758"/>
      <c r="S3" s="4758"/>
      <c r="T3" s="4758"/>
      <c r="U3" s="4758"/>
      <c r="V3" s="4759"/>
      <c r="W3" s="2722"/>
      <c r="X3" s="2722"/>
      <c r="Y3" s="2722"/>
      <c r="Z3" s="2722"/>
      <c r="AA3" s="2722"/>
    </row>
    <row r="4" spans="1:29" ht="13.15" customHeight="1" x14ac:dyDescent="0.25">
      <c r="A4" s="819">
        <v>3</v>
      </c>
      <c r="B4" s="819" t="s">
        <v>4</v>
      </c>
      <c r="C4" s="819"/>
      <c r="D4" s="4757" t="s">
        <v>1185</v>
      </c>
      <c r="E4" s="4758"/>
      <c r="F4" s="4758"/>
      <c r="G4" s="4758"/>
      <c r="H4" s="4758"/>
      <c r="I4" s="4758"/>
      <c r="J4" s="4758"/>
      <c r="K4" s="4758"/>
      <c r="L4" s="4758"/>
      <c r="M4" s="4758"/>
      <c r="N4" s="4758"/>
      <c r="O4" s="4758"/>
      <c r="P4" s="4758"/>
      <c r="Q4" s="4758"/>
      <c r="R4" s="4758"/>
      <c r="S4" s="4758"/>
      <c r="T4" s="4758"/>
      <c r="U4" s="4758"/>
      <c r="V4" s="4759"/>
      <c r="W4" s="482"/>
      <c r="X4" s="482"/>
      <c r="Y4" s="482"/>
      <c r="Z4" s="482"/>
      <c r="AA4" s="482"/>
      <c r="AB4" s="482"/>
      <c r="AC4" s="482"/>
    </row>
    <row r="5" spans="1:29" ht="13.15" customHeight="1" x14ac:dyDescent="0.25">
      <c r="A5" s="819"/>
      <c r="B5" s="819"/>
      <c r="C5" s="2957"/>
      <c r="D5" s="2957"/>
      <c r="E5" s="2957"/>
      <c r="F5" s="2957"/>
      <c r="G5" s="2957"/>
      <c r="H5" s="2957"/>
      <c r="I5" s="2957"/>
      <c r="J5" s="2957"/>
      <c r="K5" s="2957"/>
      <c r="L5" s="2957"/>
      <c r="M5" s="2957"/>
      <c r="N5" s="2957"/>
      <c r="O5" s="2957"/>
      <c r="P5" s="2957"/>
      <c r="Q5" s="2957"/>
      <c r="R5" s="2957"/>
      <c r="S5" s="2957"/>
      <c r="T5" s="2957"/>
      <c r="U5" s="2957"/>
      <c r="V5" s="2957"/>
      <c r="W5" s="2957"/>
      <c r="X5" s="482"/>
      <c r="Y5" s="482"/>
      <c r="Z5" s="482"/>
      <c r="AA5" s="482"/>
      <c r="AB5" s="482"/>
      <c r="AC5" s="482"/>
    </row>
    <row r="6" spans="1:29" ht="14" x14ac:dyDescent="0.3">
      <c r="N6" s="2958"/>
      <c r="O6" s="2958"/>
      <c r="T6" s="2959"/>
      <c r="U6" s="2959"/>
      <c r="V6" s="2959"/>
      <c r="W6" s="2722"/>
      <c r="X6" s="2722"/>
      <c r="Y6" s="2722"/>
      <c r="Z6" s="2722"/>
      <c r="AA6" s="2722"/>
    </row>
    <row r="7" spans="1:29" s="2963" customFormat="1" ht="14" x14ac:dyDescent="0.25">
      <c r="A7" s="819">
        <v>4</v>
      </c>
      <c r="B7" s="819" t="s">
        <v>6</v>
      </c>
      <c r="C7" s="2960"/>
      <c r="D7" s="1629" t="s">
        <v>1186</v>
      </c>
      <c r="E7" s="2849"/>
      <c r="F7" s="2850"/>
      <c r="G7" s="2850"/>
      <c r="H7" s="2850"/>
      <c r="I7" s="2850"/>
      <c r="J7" s="2850"/>
      <c r="K7" s="2850"/>
      <c r="L7" s="2850"/>
      <c r="M7" s="2850"/>
      <c r="N7" s="2961"/>
      <c r="O7" s="2962"/>
      <c r="P7" s="2962"/>
      <c r="Q7" s="2962"/>
      <c r="R7" s="2962"/>
      <c r="S7" s="2962"/>
      <c r="T7" s="2962"/>
      <c r="U7" s="2962"/>
      <c r="V7" s="2962"/>
      <c r="W7" s="2962"/>
      <c r="X7" s="2957"/>
      <c r="Y7" s="2957"/>
      <c r="Z7" s="2957"/>
      <c r="AA7" s="2957"/>
      <c r="AB7" s="2957"/>
    </row>
    <row r="8" spans="1:29" s="2963" customFormat="1" ht="14" x14ac:dyDescent="0.25">
      <c r="A8" s="1254"/>
      <c r="B8" s="2960"/>
      <c r="C8" s="2960"/>
      <c r="D8" s="2964"/>
      <c r="E8" s="2965" t="s">
        <v>115</v>
      </c>
      <c r="F8" s="2965" t="s">
        <v>116</v>
      </c>
      <c r="G8" s="2965" t="s">
        <v>117</v>
      </c>
      <c r="H8" s="2965" t="s">
        <v>118</v>
      </c>
      <c r="I8" s="2965" t="s">
        <v>119</v>
      </c>
      <c r="J8" s="2965" t="s">
        <v>120</v>
      </c>
      <c r="K8" s="2965" t="s">
        <v>121</v>
      </c>
      <c r="L8" s="2965" t="s">
        <v>122</v>
      </c>
      <c r="M8" s="2965" t="s">
        <v>123</v>
      </c>
      <c r="N8" s="2965" t="s">
        <v>124</v>
      </c>
      <c r="O8" s="2965" t="s">
        <v>125</v>
      </c>
      <c r="P8" s="2965" t="s">
        <v>126</v>
      </c>
      <c r="Q8" s="2962"/>
      <c r="R8" s="2962"/>
      <c r="S8" s="2962"/>
      <c r="T8" s="2962"/>
      <c r="U8" s="2962"/>
      <c r="V8" s="2962"/>
      <c r="W8" s="2962"/>
      <c r="X8" s="2962"/>
      <c r="Y8" s="2957"/>
      <c r="Z8" s="2957"/>
      <c r="AA8" s="2957"/>
      <c r="AB8" s="2957"/>
      <c r="AC8" s="2957"/>
    </row>
    <row r="9" spans="1:29" s="2963" customFormat="1" ht="14" x14ac:dyDescent="0.25">
      <c r="A9" s="1254"/>
      <c r="B9" s="2960"/>
      <c r="C9" s="2960"/>
      <c r="D9" s="2966" t="s">
        <v>1187</v>
      </c>
      <c r="E9" s="2858">
        <v>6030</v>
      </c>
      <c r="F9" s="2858">
        <v>8935</v>
      </c>
      <c r="G9" s="2858">
        <v>8238</v>
      </c>
      <c r="H9" s="2858">
        <v>11778</v>
      </c>
      <c r="I9" s="2858">
        <v>14023</v>
      </c>
      <c r="J9" s="2858">
        <v>15277</v>
      </c>
      <c r="K9" s="2858">
        <v>18110</v>
      </c>
      <c r="L9" s="2858">
        <v>14389</v>
      </c>
      <c r="M9" s="2858">
        <v>16114</v>
      </c>
      <c r="N9" s="2858">
        <v>21198</v>
      </c>
      <c r="O9" s="2858">
        <v>21151</v>
      </c>
      <c r="P9" s="2858">
        <v>19627</v>
      </c>
      <c r="Q9" s="2962"/>
      <c r="R9" s="2962"/>
      <c r="S9" s="2962"/>
      <c r="T9" s="2962"/>
      <c r="U9" s="2962"/>
      <c r="V9" s="2962"/>
      <c r="W9" s="2962"/>
      <c r="X9" s="2962"/>
      <c r="Y9" s="2957"/>
      <c r="Z9" s="2957"/>
      <c r="AA9" s="2957"/>
      <c r="AB9" s="2957"/>
      <c r="AC9" s="2957"/>
    </row>
    <row r="10" spans="1:29" s="2963" customFormat="1" ht="14" x14ac:dyDescent="0.3">
      <c r="A10" s="1192"/>
      <c r="B10" s="2629"/>
      <c r="C10" s="2629"/>
      <c r="D10" s="2355"/>
      <c r="E10" s="2355"/>
      <c r="F10" s="2355"/>
      <c r="G10" s="2355"/>
      <c r="H10" s="2355"/>
      <c r="I10" s="2355"/>
      <c r="J10" s="2355"/>
      <c r="K10" s="2355"/>
      <c r="L10" s="2355"/>
      <c r="M10" s="2355"/>
      <c r="N10" s="2355"/>
      <c r="O10" s="2961"/>
      <c r="P10" s="2961"/>
      <c r="Q10" s="2961"/>
      <c r="R10" s="2961"/>
      <c r="S10" s="2961"/>
      <c r="T10" s="2961"/>
      <c r="U10" s="2961"/>
      <c r="V10" s="2961"/>
      <c r="W10" s="2961"/>
      <c r="X10" s="2957"/>
      <c r="Y10" s="2957"/>
      <c r="Z10" s="2957"/>
      <c r="AA10" s="2957"/>
      <c r="AB10" s="2957"/>
    </row>
    <row r="11" spans="1:29" s="2963" customFormat="1" ht="14" x14ac:dyDescent="0.25">
      <c r="A11" s="1192"/>
      <c r="B11" s="2629"/>
      <c r="C11" s="2629"/>
      <c r="D11" s="1629" t="s">
        <v>1188</v>
      </c>
      <c r="E11" s="2849"/>
      <c r="F11" s="2850"/>
      <c r="G11" s="2850"/>
      <c r="H11" s="2850"/>
      <c r="I11" s="2850"/>
      <c r="J11" s="2850"/>
      <c r="K11" s="2850"/>
      <c r="L11" s="2850"/>
      <c r="M11" s="2850"/>
      <c r="N11" s="2850"/>
      <c r="O11" s="2850"/>
      <c r="P11" s="2850"/>
      <c r="Q11" s="2961"/>
      <c r="R11" s="2961"/>
      <c r="S11" s="2961"/>
      <c r="T11" s="2961"/>
      <c r="U11" s="2961"/>
      <c r="V11" s="2961"/>
      <c r="W11" s="2961"/>
      <c r="X11" s="2957"/>
      <c r="Y11" s="2957"/>
      <c r="Z11" s="2957"/>
      <c r="AA11" s="2957"/>
      <c r="AB11" s="2957"/>
    </row>
    <row r="12" spans="1:29" s="2963" customFormat="1" ht="14" x14ac:dyDescent="0.25">
      <c r="A12" s="1192"/>
      <c r="B12" s="2629"/>
      <c r="C12" s="2629"/>
      <c r="D12" s="2967"/>
      <c r="E12" s="4914" t="s">
        <v>120</v>
      </c>
      <c r="F12" s="4915"/>
      <c r="G12" s="4591" t="s">
        <v>121</v>
      </c>
      <c r="H12" s="4592"/>
      <c r="I12" s="4914" t="s">
        <v>122</v>
      </c>
      <c r="J12" s="4915"/>
      <c r="K12" s="4914" t="s">
        <v>123</v>
      </c>
      <c r="L12" s="4915"/>
      <c r="M12" s="4916" t="s">
        <v>124</v>
      </c>
      <c r="N12" s="4915"/>
      <c r="O12" s="4917" t="s">
        <v>125</v>
      </c>
      <c r="P12" s="4917"/>
      <c r="Q12" s="4918" t="s">
        <v>126</v>
      </c>
      <c r="R12" s="4919"/>
      <c r="S12" s="2961"/>
      <c r="T12" s="2961"/>
      <c r="U12" s="2961"/>
      <c r="V12" s="2961"/>
      <c r="W12" s="2961"/>
      <c r="X12" s="2957"/>
      <c r="Y12" s="2957"/>
      <c r="Z12" s="2957"/>
      <c r="AA12" s="2957"/>
      <c r="AB12" s="2957"/>
    </row>
    <row r="13" spans="1:29" s="2963" customFormat="1" ht="14" x14ac:dyDescent="0.25">
      <c r="A13" s="1192"/>
      <c r="B13" s="2629"/>
      <c r="C13" s="2629"/>
      <c r="D13" s="1632"/>
      <c r="E13" s="2968" t="s">
        <v>1189</v>
      </c>
      <c r="F13" s="2969" t="s">
        <v>1190</v>
      </c>
      <c r="G13" s="2970" t="s">
        <v>1189</v>
      </c>
      <c r="H13" s="2969" t="s">
        <v>1190</v>
      </c>
      <c r="I13" s="2970" t="s">
        <v>1189</v>
      </c>
      <c r="J13" s="2969" t="s">
        <v>1190</v>
      </c>
      <c r="K13" s="2970" t="s">
        <v>1189</v>
      </c>
      <c r="L13" s="2969" t="s">
        <v>1190</v>
      </c>
      <c r="M13" s="2971" t="s">
        <v>1189</v>
      </c>
      <c r="N13" s="2972" t="s">
        <v>1190</v>
      </c>
      <c r="O13" s="2971" t="s">
        <v>1189</v>
      </c>
      <c r="P13" s="2973" t="s">
        <v>1190</v>
      </c>
      <c r="Q13" s="2974" t="s">
        <v>1189</v>
      </c>
      <c r="R13" s="2972" t="s">
        <v>1190</v>
      </c>
      <c r="S13" s="2961"/>
      <c r="T13" s="2961"/>
      <c r="U13" s="2961"/>
      <c r="V13" s="2961"/>
      <c r="W13" s="2961"/>
      <c r="X13" s="2957"/>
      <c r="Y13" s="2957"/>
      <c r="Z13" s="2957"/>
      <c r="AA13" s="2957"/>
      <c r="AB13" s="2957"/>
    </row>
    <row r="14" spans="1:29" s="2963" customFormat="1" ht="14" x14ac:dyDescent="0.25">
      <c r="A14" s="1192"/>
      <c r="B14" s="2629"/>
      <c r="C14" s="2629"/>
      <c r="D14" s="756"/>
      <c r="E14" s="2975"/>
      <c r="F14" s="2976"/>
      <c r="G14" s="2977"/>
      <c r="H14" s="2976"/>
      <c r="I14" s="2977"/>
      <c r="J14" s="2976"/>
      <c r="K14" s="2977"/>
      <c r="L14" s="2976"/>
      <c r="M14" s="2978"/>
      <c r="N14" s="2979"/>
      <c r="O14" s="2978"/>
      <c r="P14" s="1742"/>
      <c r="Q14" s="2980"/>
      <c r="R14" s="2979"/>
      <c r="S14" s="2961"/>
      <c r="T14" s="2961"/>
      <c r="U14" s="2961"/>
      <c r="V14" s="2961"/>
      <c r="W14" s="2961"/>
      <c r="X14" s="2957"/>
      <c r="Y14" s="2957"/>
      <c r="Z14" s="2957"/>
      <c r="AA14" s="2957"/>
      <c r="AB14" s="2957"/>
    </row>
    <row r="15" spans="1:29" s="2963" customFormat="1" ht="14" x14ac:dyDescent="0.25">
      <c r="A15" s="1192"/>
      <c r="B15" s="2629"/>
      <c r="C15" s="2629"/>
      <c r="D15" s="793" t="s">
        <v>1191</v>
      </c>
      <c r="E15" s="2981">
        <v>30207</v>
      </c>
      <c r="F15" s="2982">
        <v>22759</v>
      </c>
      <c r="G15" s="2983">
        <v>45742</v>
      </c>
      <c r="H15" s="2982">
        <v>23823</v>
      </c>
      <c r="I15" s="2983">
        <v>48831</v>
      </c>
      <c r="J15" s="2982">
        <v>22206</v>
      </c>
      <c r="K15" s="2983">
        <v>67029</v>
      </c>
      <c r="L15" s="2982">
        <v>28365</v>
      </c>
      <c r="M15" s="2978" t="s">
        <v>1192</v>
      </c>
      <c r="N15" s="2984" t="s">
        <v>1193</v>
      </c>
      <c r="O15" s="2983">
        <v>76857</v>
      </c>
      <c r="P15" s="2983">
        <v>31611</v>
      </c>
      <c r="Q15" s="2981">
        <v>74799</v>
      </c>
      <c r="R15" s="2982">
        <v>44080</v>
      </c>
      <c r="S15" s="2961"/>
      <c r="T15" s="2961"/>
      <c r="U15" s="2961"/>
      <c r="V15" s="2961"/>
      <c r="W15" s="2961"/>
      <c r="X15" s="2957"/>
      <c r="Y15" s="2957"/>
      <c r="Z15" s="2957"/>
      <c r="AA15" s="2957"/>
      <c r="AB15" s="2957"/>
    </row>
    <row r="16" spans="1:29" s="2963" customFormat="1" ht="14" x14ac:dyDescent="0.25">
      <c r="A16" s="1192"/>
      <c r="B16" s="2629"/>
      <c r="C16" s="2629"/>
      <c r="D16" s="2985" t="s">
        <v>1194</v>
      </c>
      <c r="E16" s="2986">
        <v>6127</v>
      </c>
      <c r="F16" s="2859">
        <v>2195</v>
      </c>
      <c r="G16" s="2987">
        <v>8011</v>
      </c>
      <c r="H16" s="2859">
        <v>2510</v>
      </c>
      <c r="I16" s="2987">
        <v>12006</v>
      </c>
      <c r="J16" s="2859">
        <v>3663</v>
      </c>
      <c r="K16" s="2987">
        <v>13135</v>
      </c>
      <c r="L16" s="2987">
        <v>3352</v>
      </c>
      <c r="M16" s="2988" t="s">
        <v>1195</v>
      </c>
      <c r="N16" s="2989" t="s">
        <v>1196</v>
      </c>
      <c r="O16" s="2986">
        <v>12935</v>
      </c>
      <c r="P16" s="2987">
        <v>6496</v>
      </c>
      <c r="Q16" s="2986">
        <v>15482</v>
      </c>
      <c r="R16" s="2859">
        <v>6123</v>
      </c>
      <c r="S16" s="2961"/>
      <c r="T16" s="2961"/>
      <c r="U16" s="2961"/>
      <c r="V16" s="2961"/>
      <c r="W16" s="2961"/>
      <c r="X16" s="2957"/>
      <c r="Y16" s="2957"/>
      <c r="Z16" s="2957"/>
      <c r="AA16" s="2957"/>
      <c r="AB16" s="2957"/>
    </row>
    <row r="17" spans="1:32" s="2361" customFormat="1" ht="14" x14ac:dyDescent="0.3">
      <c r="A17" s="1192"/>
      <c r="B17" s="2630"/>
      <c r="C17" s="2630"/>
      <c r="D17" s="2990"/>
      <c r="E17" s="2983"/>
      <c r="F17" s="2983"/>
      <c r="G17" s="2991"/>
      <c r="H17" s="2983"/>
      <c r="I17" s="2983"/>
      <c r="J17" s="2991"/>
      <c r="K17" s="2983"/>
      <c r="L17" s="2983"/>
      <c r="M17" s="2991"/>
      <c r="N17" s="2983"/>
      <c r="O17" s="2983"/>
      <c r="P17" s="2962"/>
      <c r="Q17" s="2962"/>
      <c r="R17" s="2962"/>
      <c r="S17" s="2962"/>
      <c r="T17" s="2992"/>
      <c r="U17" s="2992"/>
      <c r="V17" s="2992"/>
      <c r="W17" s="2722"/>
      <c r="X17" s="2962"/>
      <c r="Y17" s="2962"/>
      <c r="Z17" s="2962"/>
      <c r="AA17" s="2962"/>
    </row>
    <row r="18" spans="1:32" s="2361" customFormat="1" ht="14" x14ac:dyDescent="0.3">
      <c r="A18" s="2993"/>
      <c r="B18" s="2994"/>
      <c r="C18" s="2994"/>
      <c r="D18" s="2990"/>
      <c r="E18" s="2983"/>
      <c r="F18" s="2983"/>
      <c r="G18" s="2991"/>
      <c r="H18" s="2983"/>
      <c r="I18" s="2983"/>
      <c r="J18" s="2991"/>
      <c r="K18" s="2983"/>
      <c r="L18" s="2983"/>
      <c r="M18" s="2991"/>
      <c r="N18" s="2983"/>
      <c r="O18" s="2983"/>
      <c r="P18" s="2962"/>
      <c r="Q18" s="2962"/>
      <c r="R18" s="2962"/>
      <c r="S18" s="2962"/>
      <c r="T18" s="2992"/>
      <c r="U18" s="2992"/>
      <c r="V18" s="2992"/>
      <c r="W18" s="2722"/>
      <c r="X18" s="2962"/>
      <c r="Y18" s="2962"/>
      <c r="Z18" s="2962"/>
      <c r="AA18" s="2962"/>
    </row>
    <row r="19" spans="1:32" s="2361" customFormat="1" ht="14" x14ac:dyDescent="0.3">
      <c r="A19" s="819">
        <v>5</v>
      </c>
      <c r="B19" s="819" t="s">
        <v>58</v>
      </c>
      <c r="C19" s="2994"/>
      <c r="D19" s="4757" t="s">
        <v>263</v>
      </c>
      <c r="E19" s="4758"/>
      <c r="F19" s="4758"/>
      <c r="G19" s="4758"/>
      <c r="H19" s="4758"/>
      <c r="I19" s="4758"/>
      <c r="J19" s="4758"/>
      <c r="K19" s="4758"/>
      <c r="L19" s="4758"/>
      <c r="M19" s="4758"/>
      <c r="N19" s="4758"/>
      <c r="O19" s="4758"/>
      <c r="P19" s="4758"/>
      <c r="Q19" s="4758"/>
      <c r="R19" s="4758"/>
      <c r="S19" s="4758"/>
      <c r="T19" s="4758"/>
      <c r="U19" s="4758"/>
      <c r="V19" s="4759"/>
      <c r="W19" s="2722"/>
      <c r="X19" s="2962"/>
      <c r="Y19" s="2962"/>
      <c r="Z19" s="2962"/>
      <c r="AA19" s="2962"/>
    </row>
    <row r="20" spans="1:32" s="2361" customFormat="1" ht="39" customHeight="1" x14ac:dyDescent="0.3">
      <c r="A20" s="819">
        <v>6</v>
      </c>
      <c r="B20" s="819" t="s">
        <v>64</v>
      </c>
      <c r="C20" s="2994"/>
      <c r="D20" s="4757" t="s">
        <v>1197</v>
      </c>
      <c r="E20" s="4758"/>
      <c r="F20" s="4758"/>
      <c r="G20" s="4758"/>
      <c r="H20" s="4758"/>
      <c r="I20" s="4758"/>
      <c r="J20" s="4758"/>
      <c r="K20" s="4758"/>
      <c r="L20" s="4758"/>
      <c r="M20" s="4758"/>
      <c r="N20" s="4758"/>
      <c r="O20" s="4758"/>
      <c r="P20" s="4758"/>
      <c r="Q20" s="4758"/>
      <c r="R20" s="4758"/>
      <c r="S20" s="4758"/>
      <c r="T20" s="4758"/>
      <c r="U20" s="4758"/>
      <c r="V20" s="4759"/>
      <c r="W20" s="2722"/>
      <c r="X20" s="2962"/>
      <c r="Y20" s="2962"/>
      <c r="Z20" s="2962"/>
      <c r="AA20" s="2962"/>
    </row>
    <row r="21" spans="1:32" s="2361" customFormat="1" ht="44.25" customHeight="1" x14ac:dyDescent="0.3">
      <c r="A21" s="870">
        <v>7</v>
      </c>
      <c r="B21" s="870" t="s">
        <v>60</v>
      </c>
      <c r="C21" s="2952"/>
      <c r="D21" s="4757" t="s">
        <v>1198</v>
      </c>
      <c r="E21" s="4758"/>
      <c r="F21" s="4758"/>
      <c r="G21" s="4758"/>
      <c r="H21" s="4758"/>
      <c r="I21" s="4758"/>
      <c r="J21" s="4758"/>
      <c r="K21" s="4758"/>
      <c r="L21" s="4758"/>
      <c r="M21" s="4758"/>
      <c r="N21" s="4758"/>
      <c r="O21" s="4758"/>
      <c r="P21" s="4758"/>
      <c r="Q21" s="4758"/>
      <c r="R21" s="4758"/>
      <c r="S21" s="4758"/>
      <c r="T21" s="4758"/>
      <c r="U21" s="4758"/>
      <c r="V21" s="4759"/>
      <c r="W21" s="2722"/>
      <c r="X21" s="2962"/>
      <c r="Y21" s="2962"/>
      <c r="Z21" s="2962"/>
    </row>
    <row r="22" spans="1:32" s="2361" customFormat="1" ht="14" x14ac:dyDescent="0.3">
      <c r="A22" s="819">
        <v>8</v>
      </c>
      <c r="B22" s="819" t="s">
        <v>62</v>
      </c>
      <c r="C22" s="2629"/>
      <c r="D22" s="4757" t="s">
        <v>1199</v>
      </c>
      <c r="E22" s="4758"/>
      <c r="F22" s="4758"/>
      <c r="G22" s="4758"/>
      <c r="H22" s="4758"/>
      <c r="I22" s="4758"/>
      <c r="J22" s="4758"/>
      <c r="K22" s="4758"/>
      <c r="L22" s="4758"/>
      <c r="M22" s="4758"/>
      <c r="N22" s="4758"/>
      <c r="O22" s="4758"/>
      <c r="P22" s="4758"/>
      <c r="Q22" s="4758"/>
      <c r="R22" s="4758"/>
      <c r="S22" s="4758"/>
      <c r="T22" s="4758"/>
      <c r="U22" s="4758"/>
      <c r="V22" s="4759"/>
      <c r="W22" s="2722"/>
      <c r="X22" s="2962"/>
      <c r="Y22" s="2962"/>
      <c r="Z22" s="2962"/>
    </row>
    <row r="23" spans="1:32" s="2361" customFormat="1" ht="14" x14ac:dyDescent="0.3">
      <c r="C23" s="2629"/>
      <c r="D23" s="2722"/>
      <c r="E23" s="2722"/>
      <c r="F23" s="2722"/>
      <c r="G23" s="2722"/>
      <c r="H23" s="2722"/>
      <c r="I23" s="2722"/>
      <c r="J23" s="2722"/>
      <c r="K23" s="2722"/>
      <c r="L23" s="2722"/>
      <c r="M23" s="2722"/>
      <c r="N23" s="2722"/>
      <c r="O23" s="2722"/>
      <c r="P23" s="2722"/>
      <c r="Q23" s="2722"/>
      <c r="R23" s="2722"/>
      <c r="S23" s="2722"/>
      <c r="T23" s="2722"/>
      <c r="U23" s="2722"/>
      <c r="V23" s="2995"/>
      <c r="W23" s="2722"/>
      <c r="X23" s="2962"/>
      <c r="Y23" s="2962"/>
      <c r="Z23" s="2962"/>
    </row>
    <row r="24" spans="1:32" s="2361" customFormat="1" ht="14" x14ac:dyDescent="0.3">
      <c r="A24" s="819"/>
      <c r="B24" s="2952"/>
      <c r="C24" s="2952"/>
      <c r="D24" s="2722"/>
      <c r="E24" s="2722"/>
      <c r="F24" s="2722"/>
      <c r="G24" s="2722"/>
      <c r="H24" s="2722"/>
      <c r="I24" s="2722"/>
      <c r="J24" s="2722"/>
      <c r="K24" s="2722"/>
      <c r="L24" s="2722"/>
      <c r="M24" s="2722"/>
      <c r="N24" s="2722"/>
      <c r="O24" s="2722"/>
      <c r="P24" s="2722"/>
      <c r="Q24" s="2722"/>
      <c r="R24" s="2722"/>
      <c r="S24" s="2722"/>
      <c r="T24" s="2722"/>
      <c r="U24" s="2722"/>
      <c r="V24" s="2722"/>
      <c r="W24" s="2722"/>
      <c r="X24" s="2962"/>
      <c r="Y24" s="2962"/>
      <c r="Z24" s="2962"/>
    </row>
    <row r="25" spans="1:32" s="2355" customFormat="1" ht="14" x14ac:dyDescent="0.3">
      <c r="A25" s="819"/>
      <c r="B25" s="2952"/>
      <c r="C25" s="2952"/>
      <c r="D25" s="2722"/>
      <c r="E25" s="2722"/>
      <c r="F25" s="2722"/>
      <c r="G25" s="2722"/>
      <c r="H25" s="2722"/>
      <c r="I25" s="2722"/>
      <c r="J25" s="2722"/>
      <c r="K25" s="2722"/>
      <c r="L25" s="2722"/>
      <c r="M25" s="2722"/>
      <c r="N25" s="2722"/>
      <c r="O25" s="2722"/>
      <c r="P25" s="2722"/>
      <c r="Q25" s="2722"/>
      <c r="R25" s="2722"/>
      <c r="S25" s="2722"/>
      <c r="T25" s="2722"/>
      <c r="U25" s="2722"/>
      <c r="V25" s="2722"/>
      <c r="W25" s="2722"/>
      <c r="X25" s="2961"/>
      <c r="Y25" s="2961"/>
      <c r="Z25" s="2961"/>
      <c r="AA25" s="2961"/>
      <c r="AB25" s="2961"/>
    </row>
    <row r="26" spans="1:32" s="2355" customFormat="1" ht="14" x14ac:dyDescent="0.3">
      <c r="A26" s="819"/>
      <c r="B26" s="2952"/>
      <c r="C26" s="2952"/>
      <c r="D26" s="2722"/>
      <c r="E26" s="2722"/>
      <c r="F26" s="2722"/>
      <c r="G26" s="2722"/>
      <c r="H26" s="2722"/>
      <c r="I26" s="2722"/>
      <c r="J26" s="2722"/>
      <c r="K26" s="2722"/>
      <c r="L26" s="2722"/>
      <c r="M26" s="2722"/>
      <c r="N26" s="2722"/>
      <c r="O26" s="2722"/>
      <c r="P26" s="2722"/>
      <c r="Q26" s="2722"/>
      <c r="R26" s="2722"/>
      <c r="S26" s="2722"/>
      <c r="T26" s="2722"/>
      <c r="U26" s="2722"/>
      <c r="V26" s="2722"/>
      <c r="W26" s="2722"/>
      <c r="X26" s="2961"/>
      <c r="Y26" s="2961"/>
      <c r="Z26" s="2961"/>
      <c r="AA26" s="2961"/>
      <c r="AB26" s="2961"/>
      <c r="AC26" s="2961"/>
    </row>
    <row r="27" spans="1:32" s="2355" customFormat="1" ht="14" x14ac:dyDescent="0.3">
      <c r="A27" s="2955"/>
      <c r="B27" s="2955"/>
      <c r="C27" s="819"/>
      <c r="D27" s="2722"/>
      <c r="E27" s="2722"/>
      <c r="F27" s="2722"/>
      <c r="G27" s="2722"/>
      <c r="H27" s="2722"/>
      <c r="I27" s="2722"/>
      <c r="J27" s="2722"/>
      <c r="K27" s="2722"/>
      <c r="L27" s="2722"/>
      <c r="M27" s="2722"/>
      <c r="N27" s="2722"/>
      <c r="O27" s="2722"/>
      <c r="P27" s="2722"/>
      <c r="Q27" s="2722"/>
      <c r="R27" s="2722"/>
      <c r="S27" s="2722"/>
      <c r="T27" s="2722"/>
      <c r="U27" s="2722"/>
      <c r="V27" s="2722"/>
      <c r="W27" s="2722"/>
      <c r="X27" s="2961"/>
      <c r="Y27" s="2961"/>
      <c r="Z27" s="2961"/>
      <c r="AA27" s="2961"/>
      <c r="AB27" s="2961"/>
    </row>
    <row r="28" spans="1:32" s="2355" customFormat="1" ht="14" x14ac:dyDescent="0.3">
      <c r="A28" s="2955"/>
      <c r="B28" s="2955"/>
      <c r="C28" s="819"/>
      <c r="D28" s="2722"/>
      <c r="E28" s="2722"/>
      <c r="F28" s="2722"/>
      <c r="G28" s="2722"/>
      <c r="H28" s="2722"/>
      <c r="I28" s="2722"/>
      <c r="J28" s="2722"/>
      <c r="K28" s="2722"/>
      <c r="L28" s="2722"/>
      <c r="M28" s="2722"/>
      <c r="N28" s="2722"/>
      <c r="O28" s="2722"/>
      <c r="P28" s="2722" t="s">
        <v>294</v>
      </c>
      <c r="Q28" s="2722"/>
      <c r="R28" s="2722"/>
      <c r="S28" s="2722"/>
      <c r="T28" s="2722"/>
      <c r="U28" s="2722"/>
      <c r="V28" s="2722"/>
      <c r="W28" s="2722"/>
      <c r="X28" s="2961"/>
      <c r="Y28" s="2961"/>
      <c r="Z28" s="2961"/>
      <c r="AA28" s="2961"/>
      <c r="AB28" s="2961"/>
    </row>
    <row r="29" spans="1:32" s="2355" customFormat="1" ht="14" x14ac:dyDescent="0.3">
      <c r="A29" s="2955"/>
      <c r="B29" s="2955"/>
      <c r="C29" s="870"/>
      <c r="D29" s="2722"/>
      <c r="E29" s="2722"/>
      <c r="F29" s="2722"/>
      <c r="G29" s="2722"/>
      <c r="H29" s="2722"/>
      <c r="I29" s="2722"/>
      <c r="J29" s="2722"/>
      <c r="K29" s="2722"/>
      <c r="L29" s="2722"/>
      <c r="M29" s="2722"/>
      <c r="N29" s="2722"/>
      <c r="O29" s="2722"/>
      <c r="P29" s="2722"/>
      <c r="Q29" s="2722"/>
      <c r="R29" s="2722"/>
      <c r="S29" s="2722"/>
      <c r="T29" s="2722"/>
      <c r="U29" s="2722"/>
      <c r="V29" s="2722"/>
      <c r="W29" s="2722"/>
      <c r="X29" s="2961"/>
      <c r="Y29" s="2961"/>
      <c r="Z29" s="2961"/>
      <c r="AA29" s="2961"/>
      <c r="AB29" s="2961"/>
    </row>
    <row r="30" spans="1:32" s="2355" customFormat="1" ht="13" x14ac:dyDescent="0.3">
      <c r="A30" s="2955"/>
      <c r="B30" s="2955"/>
      <c r="C30" s="819"/>
      <c r="D30" s="2955"/>
      <c r="E30" s="2955"/>
      <c r="F30" s="2955"/>
      <c r="G30" s="2955"/>
      <c r="H30" s="2955"/>
      <c r="I30" s="2955"/>
      <c r="J30" s="2955"/>
      <c r="K30" s="2955"/>
      <c r="L30" s="2955"/>
      <c r="M30" s="2955"/>
      <c r="N30" s="2955"/>
      <c r="O30" s="2955"/>
      <c r="P30" s="2955"/>
      <c r="Q30" s="2955"/>
      <c r="R30" s="2955"/>
      <c r="S30" s="2955"/>
      <c r="T30" s="2955"/>
      <c r="U30" s="2955"/>
      <c r="V30" s="2955"/>
      <c r="W30" s="2955"/>
      <c r="X30" s="2961"/>
      <c r="Y30" s="2961"/>
      <c r="Z30" s="2961"/>
      <c r="AA30" s="2961"/>
    </row>
    <row r="31" spans="1:32" s="2355" customFormat="1" ht="14" x14ac:dyDescent="0.3">
      <c r="A31" s="2893"/>
      <c r="B31" s="2996"/>
      <c r="C31" s="2996"/>
      <c r="D31" s="2955"/>
      <c r="E31" s="2955"/>
      <c r="F31" s="2955"/>
      <c r="G31" s="2955"/>
      <c r="H31" s="2955"/>
      <c r="I31" s="2955"/>
      <c r="J31" s="2955"/>
      <c r="K31" s="2955"/>
      <c r="L31" s="2955"/>
      <c r="M31" s="2955"/>
      <c r="N31" s="2955"/>
      <c r="O31" s="2955"/>
      <c r="P31" s="2955"/>
      <c r="Q31" s="2955"/>
      <c r="R31" s="2955"/>
      <c r="S31" s="2955"/>
      <c r="T31" s="2955"/>
      <c r="U31" s="2955"/>
      <c r="V31" s="2955"/>
      <c r="W31" s="2955"/>
      <c r="X31" s="2961"/>
      <c r="Y31" s="2961"/>
      <c r="Z31" s="2961"/>
      <c r="AA31" s="2961"/>
      <c r="AB31" s="2961"/>
    </row>
    <row r="32" spans="1:32" s="2998" customFormat="1" ht="14" x14ac:dyDescent="0.3">
      <c r="A32" s="2893"/>
      <c r="B32" s="2996"/>
      <c r="C32" s="2996"/>
      <c r="D32" s="2955"/>
      <c r="E32" s="2955"/>
      <c r="F32" s="2955"/>
      <c r="G32" s="2955"/>
      <c r="H32" s="2955"/>
      <c r="I32" s="2955"/>
      <c r="J32" s="2955"/>
      <c r="K32" s="2955"/>
      <c r="L32" s="2955"/>
      <c r="M32" s="2955"/>
      <c r="N32" s="2955"/>
      <c r="O32" s="2955"/>
      <c r="P32" s="2955"/>
      <c r="Q32" s="2955"/>
      <c r="R32" s="2955"/>
      <c r="S32" s="2955"/>
      <c r="T32" s="2955"/>
      <c r="U32" s="2955"/>
      <c r="V32" s="2955"/>
      <c r="W32" s="2955"/>
      <c r="X32" s="2852"/>
      <c r="Y32" s="2892"/>
      <c r="Z32" s="2892"/>
      <c r="AA32" s="2892"/>
      <c r="AB32" s="2997"/>
      <c r="AC32" s="2997"/>
      <c r="AD32" s="2997"/>
      <c r="AE32" s="2997"/>
      <c r="AF32" s="2997"/>
    </row>
    <row r="33" spans="1:35" s="2998" customFormat="1" ht="14" x14ac:dyDescent="0.3">
      <c r="A33" s="2893"/>
      <c r="B33" s="2996"/>
      <c r="C33" s="2996"/>
      <c r="D33" s="2955"/>
      <c r="E33" s="2955"/>
      <c r="F33" s="2955"/>
      <c r="G33" s="2955"/>
      <c r="H33" s="2955"/>
      <c r="I33" s="2955"/>
      <c r="J33" s="2955"/>
      <c r="K33" s="2955"/>
      <c r="L33" s="2955"/>
      <c r="M33" s="2955"/>
      <c r="N33" s="2955"/>
      <c r="O33" s="2955"/>
      <c r="P33" s="2955"/>
      <c r="Q33" s="2955"/>
      <c r="R33" s="2955"/>
      <c r="S33" s="2955"/>
      <c r="T33" s="2955"/>
      <c r="U33" s="2955"/>
      <c r="V33" s="2955"/>
      <c r="W33" s="2955"/>
      <c r="X33" s="2852"/>
      <c r="Y33" s="2852"/>
      <c r="Z33" s="2852"/>
      <c r="AA33" s="2852"/>
      <c r="AB33" s="2892"/>
      <c r="AC33" s="2892"/>
      <c r="AD33" s="2892"/>
      <c r="AE33" s="2997"/>
      <c r="AF33" s="2997"/>
      <c r="AG33" s="2997"/>
      <c r="AH33" s="2997"/>
      <c r="AI33" s="2997"/>
    </row>
    <row r="34" spans="1:35" s="2998" customFormat="1" ht="14" x14ac:dyDescent="0.3">
      <c r="A34" s="2893"/>
      <c r="B34" s="2996"/>
      <c r="C34" s="2996"/>
      <c r="D34" s="2955"/>
      <c r="E34" s="2955"/>
      <c r="F34" s="2955"/>
      <c r="G34" s="2955"/>
      <c r="H34" s="2955"/>
      <c r="I34" s="2955"/>
      <c r="J34" s="2955"/>
      <c r="K34" s="2955"/>
      <c r="L34" s="2955"/>
      <c r="M34" s="2955"/>
      <c r="N34" s="2955"/>
      <c r="O34" s="2955"/>
      <c r="P34" s="2955"/>
      <c r="Q34" s="2955"/>
      <c r="R34" s="2955"/>
      <c r="S34" s="2955"/>
      <c r="T34" s="2955"/>
      <c r="U34" s="2955"/>
      <c r="V34" s="2955"/>
      <c r="W34" s="2955"/>
      <c r="X34" s="2852"/>
      <c r="Y34" s="2852"/>
      <c r="Z34" s="2852"/>
      <c r="AA34" s="2852"/>
      <c r="AB34" s="2892"/>
      <c r="AC34" s="2892"/>
      <c r="AD34" s="2892"/>
      <c r="AE34" s="2997"/>
      <c r="AF34" s="2997"/>
      <c r="AG34" s="2997"/>
      <c r="AH34" s="2997"/>
      <c r="AI34" s="2997"/>
    </row>
    <row r="35" spans="1:35" ht="14" x14ac:dyDescent="0.3">
      <c r="A35" s="2893"/>
      <c r="B35" s="2996"/>
      <c r="C35" s="2996"/>
      <c r="X35" s="4593"/>
      <c r="Y35" s="4593"/>
      <c r="Z35" s="2722"/>
      <c r="AA35" s="2722"/>
      <c r="AB35" s="2722"/>
      <c r="AC35" s="2722"/>
      <c r="AD35" s="2722"/>
    </row>
    <row r="36" spans="1:35" s="2361" customFormat="1" ht="14" x14ac:dyDescent="0.3">
      <c r="A36" s="2893"/>
      <c r="B36" s="2996"/>
      <c r="C36" s="2996"/>
      <c r="D36" s="2955"/>
      <c r="E36" s="2955"/>
      <c r="F36" s="2955"/>
      <c r="G36" s="2955"/>
      <c r="H36" s="2955"/>
      <c r="I36" s="2955"/>
      <c r="J36" s="2955"/>
      <c r="K36" s="2955"/>
      <c r="L36" s="2955"/>
      <c r="M36" s="2955"/>
      <c r="N36" s="2955"/>
      <c r="O36" s="2955"/>
      <c r="P36" s="2955"/>
      <c r="Q36" s="2955"/>
      <c r="R36" s="2955"/>
      <c r="S36" s="2955"/>
      <c r="T36" s="2955"/>
      <c r="U36" s="2955"/>
      <c r="V36" s="2955"/>
      <c r="W36" s="2955"/>
      <c r="X36" s="4593"/>
      <c r="Y36" s="4593"/>
      <c r="Z36" s="2958"/>
      <c r="AA36" s="2958"/>
      <c r="AB36" s="2958"/>
      <c r="AC36" s="2958"/>
      <c r="AD36" s="2958"/>
    </row>
    <row r="37" spans="1:35" s="2361" customFormat="1" ht="14" x14ac:dyDescent="0.3">
      <c r="A37" s="2893"/>
      <c r="B37" s="2996"/>
      <c r="C37" s="2996"/>
      <c r="D37" s="2955"/>
      <c r="E37" s="2955"/>
      <c r="F37" s="2955"/>
      <c r="G37" s="2955"/>
      <c r="H37" s="2955"/>
      <c r="I37" s="2955"/>
      <c r="J37" s="2955"/>
      <c r="K37" s="2955"/>
      <c r="L37" s="2955"/>
      <c r="M37" s="2955"/>
      <c r="N37" s="2955"/>
      <c r="O37" s="2955"/>
      <c r="P37" s="2955"/>
      <c r="Q37" s="2955"/>
      <c r="R37" s="2955"/>
      <c r="S37" s="2955"/>
      <c r="T37" s="2955"/>
      <c r="U37" s="2955"/>
      <c r="V37" s="2955"/>
      <c r="W37" s="2955"/>
      <c r="X37" s="4593"/>
      <c r="Y37" s="4593"/>
      <c r="Z37" s="2958"/>
      <c r="AA37" s="2958"/>
      <c r="AB37" s="2958"/>
      <c r="AC37" s="2958"/>
      <c r="AD37" s="2958"/>
    </row>
    <row r="38" spans="1:35" ht="14" x14ac:dyDescent="0.3">
      <c r="X38" s="2992"/>
      <c r="Y38" s="2992"/>
      <c r="Z38" s="2722"/>
      <c r="AA38" s="2722"/>
      <c r="AB38" s="2722"/>
      <c r="AC38" s="2722"/>
      <c r="AD38" s="2722"/>
    </row>
    <row r="39" spans="1:35" ht="14" x14ac:dyDescent="0.3">
      <c r="X39" s="2722"/>
      <c r="Y39" s="2722"/>
      <c r="Z39" s="2722"/>
      <c r="AA39" s="2722"/>
    </row>
    <row r="40" spans="1:35" ht="14" x14ac:dyDescent="0.3">
      <c r="X40" s="2722"/>
      <c r="Y40" s="2722"/>
      <c r="Z40" s="2722"/>
      <c r="AA40" s="2722"/>
    </row>
    <row r="41" spans="1:35" ht="15" customHeight="1" x14ac:dyDescent="0.3">
      <c r="X41" s="2722"/>
      <c r="Y41" s="2722"/>
      <c r="Z41" s="2722"/>
      <c r="AA41" s="2722"/>
    </row>
    <row r="42" spans="1:35" ht="14.25" customHeight="1" x14ac:dyDescent="0.3">
      <c r="X42" s="2722"/>
      <c r="Y42" s="2722"/>
      <c r="Z42" s="2722"/>
      <c r="AA42" s="2722"/>
    </row>
    <row r="43" spans="1:35" ht="14.25" customHeight="1" x14ac:dyDescent="0.3">
      <c r="X43" s="2722"/>
      <c r="Y43" s="2722"/>
      <c r="Z43" s="2722"/>
      <c r="AA43" s="2722"/>
    </row>
    <row r="44" spans="1:35" ht="14.25" customHeight="1" x14ac:dyDescent="0.3">
      <c r="X44" s="2722"/>
      <c r="Y44" s="2722"/>
      <c r="Z44" s="2722"/>
      <c r="AA44" s="2722"/>
    </row>
    <row r="45" spans="1:35" ht="14" x14ac:dyDescent="0.3">
      <c r="X45" s="2722"/>
      <c r="Y45" s="2722"/>
      <c r="Z45" s="2722"/>
      <c r="AA45" s="2722"/>
    </row>
    <row r="46" spans="1:35" ht="14" x14ac:dyDescent="0.3">
      <c r="X46" s="2722"/>
      <c r="Y46" s="2722"/>
      <c r="Z46" s="2722"/>
      <c r="AA46" s="2722"/>
    </row>
    <row r="47" spans="1:35" ht="14" x14ac:dyDescent="0.3">
      <c r="X47" s="2722"/>
      <c r="Y47" s="2722"/>
      <c r="Z47" s="2722"/>
      <c r="AA47" s="2722"/>
    </row>
    <row r="48" spans="1:35" ht="14" x14ac:dyDescent="0.3">
      <c r="X48" s="2722"/>
      <c r="Y48" s="2722"/>
      <c r="Z48" s="2722"/>
      <c r="AA48" s="2722"/>
    </row>
    <row r="49" spans="24:27" ht="14" x14ac:dyDescent="0.3">
      <c r="X49" s="2722"/>
      <c r="Y49" s="2722"/>
      <c r="Z49" s="2722"/>
      <c r="AA49" s="2722"/>
    </row>
    <row r="50" spans="24:27" ht="14" x14ac:dyDescent="0.3">
      <c r="X50" s="2722"/>
      <c r="Y50" s="2722"/>
      <c r="Z50" s="2722"/>
      <c r="AA50" s="2722"/>
    </row>
    <row r="51" spans="24:27" ht="14" x14ac:dyDescent="0.3">
      <c r="X51" s="2722"/>
      <c r="Y51" s="2722"/>
      <c r="Z51" s="2722"/>
      <c r="AA51" s="2722"/>
    </row>
  </sheetData>
  <mergeCells count="13">
    <mergeCell ref="D19:V19"/>
    <mergeCell ref="D20:V20"/>
    <mergeCell ref="D21:V21"/>
    <mergeCell ref="D22:V22"/>
    <mergeCell ref="D2:V2"/>
    <mergeCell ref="D3:V3"/>
    <mergeCell ref="D4:V4"/>
    <mergeCell ref="E12:F12"/>
    <mergeCell ref="I12:J12"/>
    <mergeCell ref="K12:L12"/>
    <mergeCell ref="M12:N12"/>
    <mergeCell ref="O12:P12"/>
    <mergeCell ref="Q12:R12"/>
  </mergeCells>
  <pageMargins left="0.74803149606299202" right="0.74803149606299202" top="0.98425196850393704" bottom="0.98425196850393704" header="0.511811023622047" footer="0.511811023622047"/>
  <pageSetup paperSize="9" scale="5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V41"/>
  <sheetViews>
    <sheetView showGridLines="0" view="pageBreakPreview" zoomScaleNormal="100" zoomScaleSheetLayoutView="100" workbookViewId="0">
      <selection activeCell="D46" activeCellId="1" sqref="D56 D46:AI46"/>
    </sheetView>
  </sheetViews>
  <sheetFormatPr defaultColWidth="9.08984375" defaultRowHeight="11.5" x14ac:dyDescent="0.25"/>
  <cols>
    <col min="1" max="1" width="3.6328125" style="3000" customWidth="1"/>
    <col min="2" max="2" width="14.453125" style="3001" customWidth="1"/>
    <col min="3" max="3" width="3.6328125" style="3001" customWidth="1"/>
    <col min="4" max="4" width="18.08984375" style="767" customWidth="1"/>
    <col min="5" max="13" width="9.08984375" style="767"/>
    <col min="14" max="14" width="7.6328125" style="767" customWidth="1"/>
    <col min="15" max="17" width="8.54296875" style="767" customWidth="1"/>
    <col min="18" max="257" width="9.08984375" style="767"/>
    <col min="258" max="258" width="3.6328125" style="767" customWidth="1"/>
    <col min="259" max="259" width="14.453125" style="767" customWidth="1"/>
    <col min="260" max="260" width="3.6328125" style="767" customWidth="1"/>
    <col min="261" max="261" width="18.08984375" style="767" customWidth="1"/>
    <col min="262" max="263" width="9.08984375" style="767"/>
    <col min="264" max="264" width="8.453125" style="767" customWidth="1"/>
    <col min="265" max="266" width="9.08984375" style="767"/>
    <col min="267" max="267" width="7.6328125" style="767" customWidth="1"/>
    <col min="268" max="269" width="9.08984375" style="767"/>
    <col min="270" max="270" width="8.6328125" style="767" customWidth="1"/>
    <col min="271" max="271" width="7.6328125" style="767" customWidth="1"/>
    <col min="272" max="272" width="8.54296875" style="767" customWidth="1"/>
    <col min="273" max="273" width="9" style="767" customWidth="1"/>
    <col min="274" max="513" width="9.08984375" style="767"/>
    <col min="514" max="514" width="3.6328125" style="767" customWidth="1"/>
    <col min="515" max="515" width="14.453125" style="767" customWidth="1"/>
    <col min="516" max="516" width="3.6328125" style="767" customWidth="1"/>
    <col min="517" max="517" width="18.08984375" style="767" customWidth="1"/>
    <col min="518" max="519" width="9.08984375" style="767"/>
    <col min="520" max="520" width="8.453125" style="767" customWidth="1"/>
    <col min="521" max="522" width="9.08984375" style="767"/>
    <col min="523" max="523" width="7.6328125" style="767" customWidth="1"/>
    <col min="524" max="525" width="9.08984375" style="767"/>
    <col min="526" max="526" width="8.6328125" style="767" customWidth="1"/>
    <col min="527" max="527" width="7.6328125" style="767" customWidth="1"/>
    <col min="528" max="528" width="8.54296875" style="767" customWidth="1"/>
    <col min="529" max="529" width="9" style="767" customWidth="1"/>
    <col min="530" max="769" width="9.08984375" style="767"/>
    <col min="770" max="770" width="3.6328125" style="767" customWidth="1"/>
    <col min="771" max="771" width="14.453125" style="767" customWidth="1"/>
    <col min="772" max="772" width="3.6328125" style="767" customWidth="1"/>
    <col min="773" max="773" width="18.08984375" style="767" customWidth="1"/>
    <col min="774" max="775" width="9.08984375" style="767"/>
    <col min="776" max="776" width="8.453125" style="767" customWidth="1"/>
    <col min="777" max="778" width="9.08984375" style="767"/>
    <col min="779" max="779" width="7.6328125" style="767" customWidth="1"/>
    <col min="780" max="781" width="9.08984375" style="767"/>
    <col min="782" max="782" width="8.6328125" style="767" customWidth="1"/>
    <col min="783" max="783" width="7.6328125" style="767" customWidth="1"/>
    <col min="784" max="784" width="8.54296875" style="767" customWidth="1"/>
    <col min="785" max="785" width="9" style="767" customWidth="1"/>
    <col min="786" max="1025" width="9.08984375" style="767"/>
    <col min="1026" max="1026" width="3.6328125" style="767" customWidth="1"/>
    <col min="1027" max="1027" width="14.453125" style="767" customWidth="1"/>
    <col min="1028" max="1028" width="3.6328125" style="767" customWidth="1"/>
    <col min="1029" max="1029" width="18.08984375" style="767" customWidth="1"/>
    <col min="1030" max="1031" width="9.08984375" style="767"/>
    <col min="1032" max="1032" width="8.453125" style="767" customWidth="1"/>
    <col min="1033" max="1034" width="9.08984375" style="767"/>
    <col min="1035" max="1035" width="7.6328125" style="767" customWidth="1"/>
    <col min="1036" max="1037" width="9.08984375" style="767"/>
    <col min="1038" max="1038" width="8.6328125" style="767" customWidth="1"/>
    <col min="1039" max="1039" width="7.6328125" style="767" customWidth="1"/>
    <col min="1040" max="1040" width="8.54296875" style="767" customWidth="1"/>
    <col min="1041" max="1041" width="9" style="767" customWidth="1"/>
    <col min="1042" max="1281" width="9.08984375" style="767"/>
    <col min="1282" max="1282" width="3.6328125" style="767" customWidth="1"/>
    <col min="1283" max="1283" width="14.453125" style="767" customWidth="1"/>
    <col min="1284" max="1284" width="3.6328125" style="767" customWidth="1"/>
    <col min="1285" max="1285" width="18.08984375" style="767" customWidth="1"/>
    <col min="1286" max="1287" width="9.08984375" style="767"/>
    <col min="1288" max="1288" width="8.453125" style="767" customWidth="1"/>
    <col min="1289" max="1290" width="9.08984375" style="767"/>
    <col min="1291" max="1291" width="7.6328125" style="767" customWidth="1"/>
    <col min="1292" max="1293" width="9.08984375" style="767"/>
    <col min="1294" max="1294" width="8.6328125" style="767" customWidth="1"/>
    <col min="1295" max="1295" width="7.6328125" style="767" customWidth="1"/>
    <col min="1296" max="1296" width="8.54296875" style="767" customWidth="1"/>
    <col min="1297" max="1297" width="9" style="767" customWidth="1"/>
    <col min="1298" max="1537" width="9.08984375" style="767"/>
    <col min="1538" max="1538" width="3.6328125" style="767" customWidth="1"/>
    <col min="1539" max="1539" width="14.453125" style="767" customWidth="1"/>
    <col min="1540" max="1540" width="3.6328125" style="767" customWidth="1"/>
    <col min="1541" max="1541" width="18.08984375" style="767" customWidth="1"/>
    <col min="1542" max="1543" width="9.08984375" style="767"/>
    <col min="1544" max="1544" width="8.453125" style="767" customWidth="1"/>
    <col min="1545" max="1546" width="9.08984375" style="767"/>
    <col min="1547" max="1547" width="7.6328125" style="767" customWidth="1"/>
    <col min="1548" max="1549" width="9.08984375" style="767"/>
    <col min="1550" max="1550" width="8.6328125" style="767" customWidth="1"/>
    <col min="1551" max="1551" width="7.6328125" style="767" customWidth="1"/>
    <col min="1552" max="1552" width="8.54296875" style="767" customWidth="1"/>
    <col min="1553" max="1553" width="9" style="767" customWidth="1"/>
    <col min="1554" max="1793" width="9.08984375" style="767"/>
    <col min="1794" max="1794" width="3.6328125" style="767" customWidth="1"/>
    <col min="1795" max="1795" width="14.453125" style="767" customWidth="1"/>
    <col min="1796" max="1796" width="3.6328125" style="767" customWidth="1"/>
    <col min="1797" max="1797" width="18.08984375" style="767" customWidth="1"/>
    <col min="1798" max="1799" width="9.08984375" style="767"/>
    <col min="1800" max="1800" width="8.453125" style="767" customWidth="1"/>
    <col min="1801" max="1802" width="9.08984375" style="767"/>
    <col min="1803" max="1803" width="7.6328125" style="767" customWidth="1"/>
    <col min="1804" max="1805" width="9.08984375" style="767"/>
    <col min="1806" max="1806" width="8.6328125" style="767" customWidth="1"/>
    <col min="1807" max="1807" width="7.6328125" style="767" customWidth="1"/>
    <col min="1808" max="1808" width="8.54296875" style="767" customWidth="1"/>
    <col min="1809" max="1809" width="9" style="767" customWidth="1"/>
    <col min="1810" max="2049" width="9.08984375" style="767"/>
    <col min="2050" max="2050" width="3.6328125" style="767" customWidth="1"/>
    <col min="2051" max="2051" width="14.453125" style="767" customWidth="1"/>
    <col min="2052" max="2052" width="3.6328125" style="767" customWidth="1"/>
    <col min="2053" max="2053" width="18.08984375" style="767" customWidth="1"/>
    <col min="2054" max="2055" width="9.08984375" style="767"/>
    <col min="2056" max="2056" width="8.453125" style="767" customWidth="1"/>
    <col min="2057" max="2058" width="9.08984375" style="767"/>
    <col min="2059" max="2059" width="7.6328125" style="767" customWidth="1"/>
    <col min="2060" max="2061" width="9.08984375" style="767"/>
    <col min="2062" max="2062" width="8.6328125" style="767" customWidth="1"/>
    <col min="2063" max="2063" width="7.6328125" style="767" customWidth="1"/>
    <col min="2064" max="2064" width="8.54296875" style="767" customWidth="1"/>
    <col min="2065" max="2065" width="9" style="767" customWidth="1"/>
    <col min="2066" max="2305" width="9.08984375" style="767"/>
    <col min="2306" max="2306" width="3.6328125" style="767" customWidth="1"/>
    <col min="2307" max="2307" width="14.453125" style="767" customWidth="1"/>
    <col min="2308" max="2308" width="3.6328125" style="767" customWidth="1"/>
    <col min="2309" max="2309" width="18.08984375" style="767" customWidth="1"/>
    <col min="2310" max="2311" width="9.08984375" style="767"/>
    <col min="2312" max="2312" width="8.453125" style="767" customWidth="1"/>
    <col min="2313" max="2314" width="9.08984375" style="767"/>
    <col min="2315" max="2315" width="7.6328125" style="767" customWidth="1"/>
    <col min="2316" max="2317" width="9.08984375" style="767"/>
    <col min="2318" max="2318" width="8.6328125" style="767" customWidth="1"/>
    <col min="2319" max="2319" width="7.6328125" style="767" customWidth="1"/>
    <col min="2320" max="2320" width="8.54296875" style="767" customWidth="1"/>
    <col min="2321" max="2321" width="9" style="767" customWidth="1"/>
    <col min="2322" max="2561" width="9.08984375" style="767"/>
    <col min="2562" max="2562" width="3.6328125" style="767" customWidth="1"/>
    <col min="2563" max="2563" width="14.453125" style="767" customWidth="1"/>
    <col min="2564" max="2564" width="3.6328125" style="767" customWidth="1"/>
    <col min="2565" max="2565" width="18.08984375" style="767" customWidth="1"/>
    <col min="2566" max="2567" width="9.08984375" style="767"/>
    <col min="2568" max="2568" width="8.453125" style="767" customWidth="1"/>
    <col min="2569" max="2570" width="9.08984375" style="767"/>
    <col min="2571" max="2571" width="7.6328125" style="767" customWidth="1"/>
    <col min="2572" max="2573" width="9.08984375" style="767"/>
    <col min="2574" max="2574" width="8.6328125" style="767" customWidth="1"/>
    <col min="2575" max="2575" width="7.6328125" style="767" customWidth="1"/>
    <col min="2576" max="2576" width="8.54296875" style="767" customWidth="1"/>
    <col min="2577" max="2577" width="9" style="767" customWidth="1"/>
    <col min="2578" max="2817" width="9.08984375" style="767"/>
    <col min="2818" max="2818" width="3.6328125" style="767" customWidth="1"/>
    <col min="2819" max="2819" width="14.453125" style="767" customWidth="1"/>
    <col min="2820" max="2820" width="3.6328125" style="767" customWidth="1"/>
    <col min="2821" max="2821" width="18.08984375" style="767" customWidth="1"/>
    <col min="2822" max="2823" width="9.08984375" style="767"/>
    <col min="2824" max="2824" width="8.453125" style="767" customWidth="1"/>
    <col min="2825" max="2826" width="9.08984375" style="767"/>
    <col min="2827" max="2827" width="7.6328125" style="767" customWidth="1"/>
    <col min="2828" max="2829" width="9.08984375" style="767"/>
    <col min="2830" max="2830" width="8.6328125" style="767" customWidth="1"/>
    <col min="2831" max="2831" width="7.6328125" style="767" customWidth="1"/>
    <col min="2832" max="2832" width="8.54296875" style="767" customWidth="1"/>
    <col min="2833" max="2833" width="9" style="767" customWidth="1"/>
    <col min="2834" max="3073" width="9.08984375" style="767"/>
    <col min="3074" max="3074" width="3.6328125" style="767" customWidth="1"/>
    <col min="3075" max="3075" width="14.453125" style="767" customWidth="1"/>
    <col min="3076" max="3076" width="3.6328125" style="767" customWidth="1"/>
    <col min="3077" max="3077" width="18.08984375" style="767" customWidth="1"/>
    <col min="3078" max="3079" width="9.08984375" style="767"/>
    <col min="3080" max="3080" width="8.453125" style="767" customWidth="1"/>
    <col min="3081" max="3082" width="9.08984375" style="767"/>
    <col min="3083" max="3083" width="7.6328125" style="767" customWidth="1"/>
    <col min="3084" max="3085" width="9.08984375" style="767"/>
    <col min="3086" max="3086" width="8.6328125" style="767" customWidth="1"/>
    <col min="3087" max="3087" width="7.6328125" style="767" customWidth="1"/>
    <col min="3088" max="3088" width="8.54296875" style="767" customWidth="1"/>
    <col min="3089" max="3089" width="9" style="767" customWidth="1"/>
    <col min="3090" max="3329" width="9.08984375" style="767"/>
    <col min="3330" max="3330" width="3.6328125" style="767" customWidth="1"/>
    <col min="3331" max="3331" width="14.453125" style="767" customWidth="1"/>
    <col min="3332" max="3332" width="3.6328125" style="767" customWidth="1"/>
    <col min="3333" max="3333" width="18.08984375" style="767" customWidth="1"/>
    <col min="3334" max="3335" width="9.08984375" style="767"/>
    <col min="3336" max="3336" width="8.453125" style="767" customWidth="1"/>
    <col min="3337" max="3338" width="9.08984375" style="767"/>
    <col min="3339" max="3339" width="7.6328125" style="767" customWidth="1"/>
    <col min="3340" max="3341" width="9.08984375" style="767"/>
    <col min="3342" max="3342" width="8.6328125" style="767" customWidth="1"/>
    <col min="3343" max="3343" width="7.6328125" style="767" customWidth="1"/>
    <col min="3344" max="3344" width="8.54296875" style="767" customWidth="1"/>
    <col min="3345" max="3345" width="9" style="767" customWidth="1"/>
    <col min="3346" max="3585" width="9.08984375" style="767"/>
    <col min="3586" max="3586" width="3.6328125" style="767" customWidth="1"/>
    <col min="3587" max="3587" width="14.453125" style="767" customWidth="1"/>
    <col min="3588" max="3588" width="3.6328125" style="767" customWidth="1"/>
    <col min="3589" max="3589" width="18.08984375" style="767" customWidth="1"/>
    <col min="3590" max="3591" width="9.08984375" style="767"/>
    <col min="3592" max="3592" width="8.453125" style="767" customWidth="1"/>
    <col min="3593" max="3594" width="9.08984375" style="767"/>
    <col min="3595" max="3595" width="7.6328125" style="767" customWidth="1"/>
    <col min="3596" max="3597" width="9.08984375" style="767"/>
    <col min="3598" max="3598" width="8.6328125" style="767" customWidth="1"/>
    <col min="3599" max="3599" width="7.6328125" style="767" customWidth="1"/>
    <col min="3600" max="3600" width="8.54296875" style="767" customWidth="1"/>
    <col min="3601" max="3601" width="9" style="767" customWidth="1"/>
    <col min="3602" max="3841" width="9.08984375" style="767"/>
    <col min="3842" max="3842" width="3.6328125" style="767" customWidth="1"/>
    <col min="3843" max="3843" width="14.453125" style="767" customWidth="1"/>
    <col min="3844" max="3844" width="3.6328125" style="767" customWidth="1"/>
    <col min="3845" max="3845" width="18.08984375" style="767" customWidth="1"/>
    <col min="3846" max="3847" width="9.08984375" style="767"/>
    <col min="3848" max="3848" width="8.453125" style="767" customWidth="1"/>
    <col min="3849" max="3850" width="9.08984375" style="767"/>
    <col min="3851" max="3851" width="7.6328125" style="767" customWidth="1"/>
    <col min="3852" max="3853" width="9.08984375" style="767"/>
    <col min="3854" max="3854" width="8.6328125" style="767" customWidth="1"/>
    <col min="3855" max="3855" width="7.6328125" style="767" customWidth="1"/>
    <col min="3856" max="3856" width="8.54296875" style="767" customWidth="1"/>
    <col min="3857" max="3857" width="9" style="767" customWidth="1"/>
    <col min="3858" max="4097" width="9.08984375" style="767"/>
    <col min="4098" max="4098" width="3.6328125" style="767" customWidth="1"/>
    <col min="4099" max="4099" width="14.453125" style="767" customWidth="1"/>
    <col min="4100" max="4100" width="3.6328125" style="767" customWidth="1"/>
    <col min="4101" max="4101" width="18.08984375" style="767" customWidth="1"/>
    <col min="4102" max="4103" width="9.08984375" style="767"/>
    <col min="4104" max="4104" width="8.453125" style="767" customWidth="1"/>
    <col min="4105" max="4106" width="9.08984375" style="767"/>
    <col min="4107" max="4107" width="7.6328125" style="767" customWidth="1"/>
    <col min="4108" max="4109" width="9.08984375" style="767"/>
    <col min="4110" max="4110" width="8.6328125" style="767" customWidth="1"/>
    <col min="4111" max="4111" width="7.6328125" style="767" customWidth="1"/>
    <col min="4112" max="4112" width="8.54296875" style="767" customWidth="1"/>
    <col min="4113" max="4113" width="9" style="767" customWidth="1"/>
    <col min="4114" max="4353" width="9.08984375" style="767"/>
    <col min="4354" max="4354" width="3.6328125" style="767" customWidth="1"/>
    <col min="4355" max="4355" width="14.453125" style="767" customWidth="1"/>
    <col min="4356" max="4356" width="3.6328125" style="767" customWidth="1"/>
    <col min="4357" max="4357" width="18.08984375" style="767" customWidth="1"/>
    <col min="4358" max="4359" width="9.08984375" style="767"/>
    <col min="4360" max="4360" width="8.453125" style="767" customWidth="1"/>
    <col min="4361" max="4362" width="9.08984375" style="767"/>
    <col min="4363" max="4363" width="7.6328125" style="767" customWidth="1"/>
    <col min="4364" max="4365" width="9.08984375" style="767"/>
    <col min="4366" max="4366" width="8.6328125" style="767" customWidth="1"/>
    <col min="4367" max="4367" width="7.6328125" style="767" customWidth="1"/>
    <col min="4368" max="4368" width="8.54296875" style="767" customWidth="1"/>
    <col min="4369" max="4369" width="9" style="767" customWidth="1"/>
    <col min="4370" max="4609" width="9.08984375" style="767"/>
    <col min="4610" max="4610" width="3.6328125" style="767" customWidth="1"/>
    <col min="4611" max="4611" width="14.453125" style="767" customWidth="1"/>
    <col min="4612" max="4612" width="3.6328125" style="767" customWidth="1"/>
    <col min="4613" max="4613" width="18.08984375" style="767" customWidth="1"/>
    <col min="4614" max="4615" width="9.08984375" style="767"/>
    <col min="4616" max="4616" width="8.453125" style="767" customWidth="1"/>
    <col min="4617" max="4618" width="9.08984375" style="767"/>
    <col min="4619" max="4619" width="7.6328125" style="767" customWidth="1"/>
    <col min="4620" max="4621" width="9.08984375" style="767"/>
    <col min="4622" max="4622" width="8.6328125" style="767" customWidth="1"/>
    <col min="4623" max="4623" width="7.6328125" style="767" customWidth="1"/>
    <col min="4624" max="4624" width="8.54296875" style="767" customWidth="1"/>
    <col min="4625" max="4625" width="9" style="767" customWidth="1"/>
    <col min="4626" max="4865" width="9.08984375" style="767"/>
    <col min="4866" max="4866" width="3.6328125" style="767" customWidth="1"/>
    <col min="4867" max="4867" width="14.453125" style="767" customWidth="1"/>
    <col min="4868" max="4868" width="3.6328125" style="767" customWidth="1"/>
    <col min="4869" max="4869" width="18.08984375" style="767" customWidth="1"/>
    <col min="4870" max="4871" width="9.08984375" style="767"/>
    <col min="4872" max="4872" width="8.453125" style="767" customWidth="1"/>
    <col min="4873" max="4874" width="9.08984375" style="767"/>
    <col min="4875" max="4875" width="7.6328125" style="767" customWidth="1"/>
    <col min="4876" max="4877" width="9.08984375" style="767"/>
    <col min="4878" max="4878" width="8.6328125" style="767" customWidth="1"/>
    <col min="4879" max="4879" width="7.6328125" style="767" customWidth="1"/>
    <col min="4880" max="4880" width="8.54296875" style="767" customWidth="1"/>
    <col min="4881" max="4881" width="9" style="767" customWidth="1"/>
    <col min="4882" max="5121" width="9.08984375" style="767"/>
    <col min="5122" max="5122" width="3.6328125" style="767" customWidth="1"/>
    <col min="5123" max="5123" width="14.453125" style="767" customWidth="1"/>
    <col min="5124" max="5124" width="3.6328125" style="767" customWidth="1"/>
    <col min="5125" max="5125" width="18.08984375" style="767" customWidth="1"/>
    <col min="5126" max="5127" width="9.08984375" style="767"/>
    <col min="5128" max="5128" width="8.453125" style="767" customWidth="1"/>
    <col min="5129" max="5130" width="9.08984375" style="767"/>
    <col min="5131" max="5131" width="7.6328125" style="767" customWidth="1"/>
    <col min="5132" max="5133" width="9.08984375" style="767"/>
    <col min="5134" max="5134" width="8.6328125" style="767" customWidth="1"/>
    <col min="5135" max="5135" width="7.6328125" style="767" customWidth="1"/>
    <col min="5136" max="5136" width="8.54296875" style="767" customWidth="1"/>
    <col min="5137" max="5137" width="9" style="767" customWidth="1"/>
    <col min="5138" max="5377" width="9.08984375" style="767"/>
    <col min="5378" max="5378" width="3.6328125" style="767" customWidth="1"/>
    <col min="5379" max="5379" width="14.453125" style="767" customWidth="1"/>
    <col min="5380" max="5380" width="3.6328125" style="767" customWidth="1"/>
    <col min="5381" max="5381" width="18.08984375" style="767" customWidth="1"/>
    <col min="5382" max="5383" width="9.08984375" style="767"/>
    <col min="5384" max="5384" width="8.453125" style="767" customWidth="1"/>
    <col min="5385" max="5386" width="9.08984375" style="767"/>
    <col min="5387" max="5387" width="7.6328125" style="767" customWidth="1"/>
    <col min="5388" max="5389" width="9.08984375" style="767"/>
    <col min="5390" max="5390" width="8.6328125" style="767" customWidth="1"/>
    <col min="5391" max="5391" width="7.6328125" style="767" customWidth="1"/>
    <col min="5392" max="5392" width="8.54296875" style="767" customWidth="1"/>
    <col min="5393" max="5393" width="9" style="767" customWidth="1"/>
    <col min="5394" max="5633" width="9.08984375" style="767"/>
    <col min="5634" max="5634" width="3.6328125" style="767" customWidth="1"/>
    <col min="5635" max="5635" width="14.453125" style="767" customWidth="1"/>
    <col min="5636" max="5636" width="3.6328125" style="767" customWidth="1"/>
    <col min="5637" max="5637" width="18.08984375" style="767" customWidth="1"/>
    <col min="5638" max="5639" width="9.08984375" style="767"/>
    <col min="5640" max="5640" width="8.453125" style="767" customWidth="1"/>
    <col min="5641" max="5642" width="9.08984375" style="767"/>
    <col min="5643" max="5643" width="7.6328125" style="767" customWidth="1"/>
    <col min="5644" max="5645" width="9.08984375" style="767"/>
    <col min="5646" max="5646" width="8.6328125" style="767" customWidth="1"/>
    <col min="5647" max="5647" width="7.6328125" style="767" customWidth="1"/>
    <col min="5648" max="5648" width="8.54296875" style="767" customWidth="1"/>
    <col min="5649" max="5649" width="9" style="767" customWidth="1"/>
    <col min="5650" max="5889" width="9.08984375" style="767"/>
    <col min="5890" max="5890" width="3.6328125" style="767" customWidth="1"/>
    <col min="5891" max="5891" width="14.453125" style="767" customWidth="1"/>
    <col min="5892" max="5892" width="3.6328125" style="767" customWidth="1"/>
    <col min="5893" max="5893" width="18.08984375" style="767" customWidth="1"/>
    <col min="5894" max="5895" width="9.08984375" style="767"/>
    <col min="5896" max="5896" width="8.453125" style="767" customWidth="1"/>
    <col min="5897" max="5898" width="9.08984375" style="767"/>
    <col min="5899" max="5899" width="7.6328125" style="767" customWidth="1"/>
    <col min="5900" max="5901" width="9.08984375" style="767"/>
    <col min="5902" max="5902" width="8.6328125" style="767" customWidth="1"/>
    <col min="5903" max="5903" width="7.6328125" style="767" customWidth="1"/>
    <col min="5904" max="5904" width="8.54296875" style="767" customWidth="1"/>
    <col min="5905" max="5905" width="9" style="767" customWidth="1"/>
    <col min="5906" max="6145" width="9.08984375" style="767"/>
    <col min="6146" max="6146" width="3.6328125" style="767" customWidth="1"/>
    <col min="6147" max="6147" width="14.453125" style="767" customWidth="1"/>
    <col min="6148" max="6148" width="3.6328125" style="767" customWidth="1"/>
    <col min="6149" max="6149" width="18.08984375" style="767" customWidth="1"/>
    <col min="6150" max="6151" width="9.08984375" style="767"/>
    <col min="6152" max="6152" width="8.453125" style="767" customWidth="1"/>
    <col min="6153" max="6154" width="9.08984375" style="767"/>
    <col min="6155" max="6155" width="7.6328125" style="767" customWidth="1"/>
    <col min="6156" max="6157" width="9.08984375" style="767"/>
    <col min="6158" max="6158" width="8.6328125" style="767" customWidth="1"/>
    <col min="6159" max="6159" width="7.6328125" style="767" customWidth="1"/>
    <col min="6160" max="6160" width="8.54296875" style="767" customWidth="1"/>
    <col min="6161" max="6161" width="9" style="767" customWidth="1"/>
    <col min="6162" max="6401" width="9.08984375" style="767"/>
    <col min="6402" max="6402" width="3.6328125" style="767" customWidth="1"/>
    <col min="6403" max="6403" width="14.453125" style="767" customWidth="1"/>
    <col min="6404" max="6404" width="3.6328125" style="767" customWidth="1"/>
    <col min="6405" max="6405" width="18.08984375" style="767" customWidth="1"/>
    <col min="6406" max="6407" width="9.08984375" style="767"/>
    <col min="6408" max="6408" width="8.453125" style="767" customWidth="1"/>
    <col min="6409" max="6410" width="9.08984375" style="767"/>
    <col min="6411" max="6411" width="7.6328125" style="767" customWidth="1"/>
    <col min="6412" max="6413" width="9.08984375" style="767"/>
    <col min="6414" max="6414" width="8.6328125" style="767" customWidth="1"/>
    <col min="6415" max="6415" width="7.6328125" style="767" customWidth="1"/>
    <col min="6416" max="6416" width="8.54296875" style="767" customWidth="1"/>
    <col min="6417" max="6417" width="9" style="767" customWidth="1"/>
    <col min="6418" max="6657" width="9.08984375" style="767"/>
    <col min="6658" max="6658" width="3.6328125" style="767" customWidth="1"/>
    <col min="6659" max="6659" width="14.453125" style="767" customWidth="1"/>
    <col min="6660" max="6660" width="3.6328125" style="767" customWidth="1"/>
    <col min="6661" max="6661" width="18.08984375" style="767" customWidth="1"/>
    <col min="6662" max="6663" width="9.08984375" style="767"/>
    <col min="6664" max="6664" width="8.453125" style="767" customWidth="1"/>
    <col min="6665" max="6666" width="9.08984375" style="767"/>
    <col min="6667" max="6667" width="7.6328125" style="767" customWidth="1"/>
    <col min="6668" max="6669" width="9.08984375" style="767"/>
    <col min="6670" max="6670" width="8.6328125" style="767" customWidth="1"/>
    <col min="6671" max="6671" width="7.6328125" style="767" customWidth="1"/>
    <col min="6672" max="6672" width="8.54296875" style="767" customWidth="1"/>
    <col min="6673" max="6673" width="9" style="767" customWidth="1"/>
    <col min="6674" max="6913" width="9.08984375" style="767"/>
    <col min="6914" max="6914" width="3.6328125" style="767" customWidth="1"/>
    <col min="6915" max="6915" width="14.453125" style="767" customWidth="1"/>
    <col min="6916" max="6916" width="3.6328125" style="767" customWidth="1"/>
    <col min="6917" max="6917" width="18.08984375" style="767" customWidth="1"/>
    <col min="6918" max="6919" width="9.08984375" style="767"/>
    <col min="6920" max="6920" width="8.453125" style="767" customWidth="1"/>
    <col min="6921" max="6922" width="9.08984375" style="767"/>
    <col min="6923" max="6923" width="7.6328125" style="767" customWidth="1"/>
    <col min="6924" max="6925" width="9.08984375" style="767"/>
    <col min="6926" max="6926" width="8.6328125" style="767" customWidth="1"/>
    <col min="6927" max="6927" width="7.6328125" style="767" customWidth="1"/>
    <col min="6928" max="6928" width="8.54296875" style="767" customWidth="1"/>
    <col min="6929" max="6929" width="9" style="767" customWidth="1"/>
    <col min="6930" max="7169" width="9.08984375" style="767"/>
    <col min="7170" max="7170" width="3.6328125" style="767" customWidth="1"/>
    <col min="7171" max="7171" width="14.453125" style="767" customWidth="1"/>
    <col min="7172" max="7172" width="3.6328125" style="767" customWidth="1"/>
    <col min="7173" max="7173" width="18.08984375" style="767" customWidth="1"/>
    <col min="7174" max="7175" width="9.08984375" style="767"/>
    <col min="7176" max="7176" width="8.453125" style="767" customWidth="1"/>
    <col min="7177" max="7178" width="9.08984375" style="767"/>
    <col min="7179" max="7179" width="7.6328125" style="767" customWidth="1"/>
    <col min="7180" max="7181" width="9.08984375" style="767"/>
    <col min="7182" max="7182" width="8.6328125" style="767" customWidth="1"/>
    <col min="7183" max="7183" width="7.6328125" style="767" customWidth="1"/>
    <col min="7184" max="7184" width="8.54296875" style="767" customWidth="1"/>
    <col min="7185" max="7185" width="9" style="767" customWidth="1"/>
    <col min="7186" max="7425" width="9.08984375" style="767"/>
    <col min="7426" max="7426" width="3.6328125" style="767" customWidth="1"/>
    <col min="7427" max="7427" width="14.453125" style="767" customWidth="1"/>
    <col min="7428" max="7428" width="3.6328125" style="767" customWidth="1"/>
    <col min="7429" max="7429" width="18.08984375" style="767" customWidth="1"/>
    <col min="7430" max="7431" width="9.08984375" style="767"/>
    <col min="7432" max="7432" width="8.453125" style="767" customWidth="1"/>
    <col min="7433" max="7434" width="9.08984375" style="767"/>
    <col min="7435" max="7435" width="7.6328125" style="767" customWidth="1"/>
    <col min="7436" max="7437" width="9.08984375" style="767"/>
    <col min="7438" max="7438" width="8.6328125" style="767" customWidth="1"/>
    <col min="7439" max="7439" width="7.6328125" style="767" customWidth="1"/>
    <col min="7440" max="7440" width="8.54296875" style="767" customWidth="1"/>
    <col min="7441" max="7441" width="9" style="767" customWidth="1"/>
    <col min="7442" max="7681" width="9.08984375" style="767"/>
    <col min="7682" max="7682" width="3.6328125" style="767" customWidth="1"/>
    <col min="7683" max="7683" width="14.453125" style="767" customWidth="1"/>
    <col min="7684" max="7684" width="3.6328125" style="767" customWidth="1"/>
    <col min="7685" max="7685" width="18.08984375" style="767" customWidth="1"/>
    <col min="7686" max="7687" width="9.08984375" style="767"/>
    <col min="7688" max="7688" width="8.453125" style="767" customWidth="1"/>
    <col min="7689" max="7690" width="9.08984375" style="767"/>
    <col min="7691" max="7691" width="7.6328125" style="767" customWidth="1"/>
    <col min="7692" max="7693" width="9.08984375" style="767"/>
    <col min="7694" max="7694" width="8.6328125" style="767" customWidth="1"/>
    <col min="7695" max="7695" width="7.6328125" style="767" customWidth="1"/>
    <col min="7696" max="7696" width="8.54296875" style="767" customWidth="1"/>
    <col min="7697" max="7697" width="9" style="767" customWidth="1"/>
    <col min="7698" max="7937" width="9.08984375" style="767"/>
    <col min="7938" max="7938" width="3.6328125" style="767" customWidth="1"/>
    <col min="7939" max="7939" width="14.453125" style="767" customWidth="1"/>
    <col min="7940" max="7940" width="3.6328125" style="767" customWidth="1"/>
    <col min="7941" max="7941" width="18.08984375" style="767" customWidth="1"/>
    <col min="7942" max="7943" width="9.08984375" style="767"/>
    <col min="7944" max="7944" width="8.453125" style="767" customWidth="1"/>
    <col min="7945" max="7946" width="9.08984375" style="767"/>
    <col min="7947" max="7947" width="7.6328125" style="767" customWidth="1"/>
    <col min="7948" max="7949" width="9.08984375" style="767"/>
    <col min="7950" max="7950" width="8.6328125" style="767" customWidth="1"/>
    <col min="7951" max="7951" width="7.6328125" style="767" customWidth="1"/>
    <col min="7952" max="7952" width="8.54296875" style="767" customWidth="1"/>
    <col min="7953" max="7953" width="9" style="767" customWidth="1"/>
    <col min="7954" max="8193" width="9.08984375" style="767"/>
    <col min="8194" max="8194" width="3.6328125" style="767" customWidth="1"/>
    <col min="8195" max="8195" width="14.453125" style="767" customWidth="1"/>
    <col min="8196" max="8196" width="3.6328125" style="767" customWidth="1"/>
    <col min="8197" max="8197" width="18.08984375" style="767" customWidth="1"/>
    <col min="8198" max="8199" width="9.08984375" style="767"/>
    <col min="8200" max="8200" width="8.453125" style="767" customWidth="1"/>
    <col min="8201" max="8202" width="9.08984375" style="767"/>
    <col min="8203" max="8203" width="7.6328125" style="767" customWidth="1"/>
    <col min="8204" max="8205" width="9.08984375" style="767"/>
    <col min="8206" max="8206" width="8.6328125" style="767" customWidth="1"/>
    <col min="8207" max="8207" width="7.6328125" style="767" customWidth="1"/>
    <col min="8208" max="8208" width="8.54296875" style="767" customWidth="1"/>
    <col min="8209" max="8209" width="9" style="767" customWidth="1"/>
    <col min="8210" max="8449" width="9.08984375" style="767"/>
    <col min="8450" max="8450" width="3.6328125" style="767" customWidth="1"/>
    <col min="8451" max="8451" width="14.453125" style="767" customWidth="1"/>
    <col min="8452" max="8452" width="3.6328125" style="767" customWidth="1"/>
    <col min="8453" max="8453" width="18.08984375" style="767" customWidth="1"/>
    <col min="8454" max="8455" width="9.08984375" style="767"/>
    <col min="8456" max="8456" width="8.453125" style="767" customWidth="1"/>
    <col min="8457" max="8458" width="9.08984375" style="767"/>
    <col min="8459" max="8459" width="7.6328125" style="767" customWidth="1"/>
    <col min="8460" max="8461" width="9.08984375" style="767"/>
    <col min="8462" max="8462" width="8.6328125" style="767" customWidth="1"/>
    <col min="8463" max="8463" width="7.6328125" style="767" customWidth="1"/>
    <col min="8464" max="8464" width="8.54296875" style="767" customWidth="1"/>
    <col min="8465" max="8465" width="9" style="767" customWidth="1"/>
    <col min="8466" max="8705" width="9.08984375" style="767"/>
    <col min="8706" max="8706" width="3.6328125" style="767" customWidth="1"/>
    <col min="8707" max="8707" width="14.453125" style="767" customWidth="1"/>
    <col min="8708" max="8708" width="3.6328125" style="767" customWidth="1"/>
    <col min="8709" max="8709" width="18.08984375" style="767" customWidth="1"/>
    <col min="8710" max="8711" width="9.08984375" style="767"/>
    <col min="8712" max="8712" width="8.453125" style="767" customWidth="1"/>
    <col min="8713" max="8714" width="9.08984375" style="767"/>
    <col min="8715" max="8715" width="7.6328125" style="767" customWidth="1"/>
    <col min="8716" max="8717" width="9.08984375" style="767"/>
    <col min="8718" max="8718" width="8.6328125" style="767" customWidth="1"/>
    <col min="8719" max="8719" width="7.6328125" style="767" customWidth="1"/>
    <col min="8720" max="8720" width="8.54296875" style="767" customWidth="1"/>
    <col min="8721" max="8721" width="9" style="767" customWidth="1"/>
    <col min="8722" max="8961" width="9.08984375" style="767"/>
    <col min="8962" max="8962" width="3.6328125" style="767" customWidth="1"/>
    <col min="8963" max="8963" width="14.453125" style="767" customWidth="1"/>
    <col min="8964" max="8964" width="3.6328125" style="767" customWidth="1"/>
    <col min="8965" max="8965" width="18.08984375" style="767" customWidth="1"/>
    <col min="8966" max="8967" width="9.08984375" style="767"/>
    <col min="8968" max="8968" width="8.453125" style="767" customWidth="1"/>
    <col min="8969" max="8970" width="9.08984375" style="767"/>
    <col min="8971" max="8971" width="7.6328125" style="767" customWidth="1"/>
    <col min="8972" max="8973" width="9.08984375" style="767"/>
    <col min="8974" max="8974" width="8.6328125" style="767" customWidth="1"/>
    <col min="8975" max="8975" width="7.6328125" style="767" customWidth="1"/>
    <col min="8976" max="8976" width="8.54296875" style="767" customWidth="1"/>
    <col min="8977" max="8977" width="9" style="767" customWidth="1"/>
    <col min="8978" max="9217" width="9.08984375" style="767"/>
    <col min="9218" max="9218" width="3.6328125" style="767" customWidth="1"/>
    <col min="9219" max="9219" width="14.453125" style="767" customWidth="1"/>
    <col min="9220" max="9220" width="3.6328125" style="767" customWidth="1"/>
    <col min="9221" max="9221" width="18.08984375" style="767" customWidth="1"/>
    <col min="9222" max="9223" width="9.08984375" style="767"/>
    <col min="9224" max="9224" width="8.453125" style="767" customWidth="1"/>
    <col min="9225" max="9226" width="9.08984375" style="767"/>
    <col min="9227" max="9227" width="7.6328125" style="767" customWidth="1"/>
    <col min="9228" max="9229" width="9.08984375" style="767"/>
    <col min="9230" max="9230" width="8.6328125" style="767" customWidth="1"/>
    <col min="9231" max="9231" width="7.6328125" style="767" customWidth="1"/>
    <col min="9232" max="9232" width="8.54296875" style="767" customWidth="1"/>
    <col min="9233" max="9233" width="9" style="767" customWidth="1"/>
    <col min="9234" max="9473" width="9.08984375" style="767"/>
    <col min="9474" max="9474" width="3.6328125" style="767" customWidth="1"/>
    <col min="9475" max="9475" width="14.453125" style="767" customWidth="1"/>
    <col min="9476" max="9476" width="3.6328125" style="767" customWidth="1"/>
    <col min="9477" max="9477" width="18.08984375" style="767" customWidth="1"/>
    <col min="9478" max="9479" width="9.08984375" style="767"/>
    <col min="9480" max="9480" width="8.453125" style="767" customWidth="1"/>
    <col min="9481" max="9482" width="9.08984375" style="767"/>
    <col min="9483" max="9483" width="7.6328125" style="767" customWidth="1"/>
    <col min="9484" max="9485" width="9.08984375" style="767"/>
    <col min="9486" max="9486" width="8.6328125" style="767" customWidth="1"/>
    <col min="9487" max="9487" width="7.6328125" style="767" customWidth="1"/>
    <col min="9488" max="9488" width="8.54296875" style="767" customWidth="1"/>
    <col min="9489" max="9489" width="9" style="767" customWidth="1"/>
    <col min="9490" max="9729" width="9.08984375" style="767"/>
    <col min="9730" max="9730" width="3.6328125" style="767" customWidth="1"/>
    <col min="9731" max="9731" width="14.453125" style="767" customWidth="1"/>
    <col min="9732" max="9732" width="3.6328125" style="767" customWidth="1"/>
    <col min="9733" max="9733" width="18.08984375" style="767" customWidth="1"/>
    <col min="9734" max="9735" width="9.08984375" style="767"/>
    <col min="9736" max="9736" width="8.453125" style="767" customWidth="1"/>
    <col min="9737" max="9738" width="9.08984375" style="767"/>
    <col min="9739" max="9739" width="7.6328125" style="767" customWidth="1"/>
    <col min="9740" max="9741" width="9.08984375" style="767"/>
    <col min="9742" max="9742" width="8.6328125" style="767" customWidth="1"/>
    <col min="9743" max="9743" width="7.6328125" style="767" customWidth="1"/>
    <col min="9744" max="9744" width="8.54296875" style="767" customWidth="1"/>
    <col min="9745" max="9745" width="9" style="767" customWidth="1"/>
    <col min="9746" max="9985" width="9.08984375" style="767"/>
    <col min="9986" max="9986" width="3.6328125" style="767" customWidth="1"/>
    <col min="9987" max="9987" width="14.453125" style="767" customWidth="1"/>
    <col min="9988" max="9988" width="3.6328125" style="767" customWidth="1"/>
    <col min="9989" max="9989" width="18.08984375" style="767" customWidth="1"/>
    <col min="9990" max="9991" width="9.08984375" style="767"/>
    <col min="9992" max="9992" width="8.453125" style="767" customWidth="1"/>
    <col min="9993" max="9994" width="9.08984375" style="767"/>
    <col min="9995" max="9995" width="7.6328125" style="767" customWidth="1"/>
    <col min="9996" max="9997" width="9.08984375" style="767"/>
    <col min="9998" max="9998" width="8.6328125" style="767" customWidth="1"/>
    <col min="9999" max="9999" width="7.6328125" style="767" customWidth="1"/>
    <col min="10000" max="10000" width="8.54296875" style="767" customWidth="1"/>
    <col min="10001" max="10001" width="9" style="767" customWidth="1"/>
    <col min="10002" max="10241" width="9.08984375" style="767"/>
    <col min="10242" max="10242" width="3.6328125" style="767" customWidth="1"/>
    <col min="10243" max="10243" width="14.453125" style="767" customWidth="1"/>
    <col min="10244" max="10244" width="3.6328125" style="767" customWidth="1"/>
    <col min="10245" max="10245" width="18.08984375" style="767" customWidth="1"/>
    <col min="10246" max="10247" width="9.08984375" style="767"/>
    <col min="10248" max="10248" width="8.453125" style="767" customWidth="1"/>
    <col min="10249" max="10250" width="9.08984375" style="767"/>
    <col min="10251" max="10251" width="7.6328125" style="767" customWidth="1"/>
    <col min="10252" max="10253" width="9.08984375" style="767"/>
    <col min="10254" max="10254" width="8.6328125" style="767" customWidth="1"/>
    <col min="10255" max="10255" width="7.6328125" style="767" customWidth="1"/>
    <col min="10256" max="10256" width="8.54296875" style="767" customWidth="1"/>
    <col min="10257" max="10257" width="9" style="767" customWidth="1"/>
    <col min="10258" max="10497" width="9.08984375" style="767"/>
    <col min="10498" max="10498" width="3.6328125" style="767" customWidth="1"/>
    <col min="10499" max="10499" width="14.453125" style="767" customWidth="1"/>
    <col min="10500" max="10500" width="3.6328125" style="767" customWidth="1"/>
    <col min="10501" max="10501" width="18.08984375" style="767" customWidth="1"/>
    <col min="10502" max="10503" width="9.08984375" style="767"/>
    <col min="10504" max="10504" width="8.453125" style="767" customWidth="1"/>
    <col min="10505" max="10506" width="9.08984375" style="767"/>
    <col min="10507" max="10507" width="7.6328125" style="767" customWidth="1"/>
    <col min="10508" max="10509" width="9.08984375" style="767"/>
    <col min="10510" max="10510" width="8.6328125" style="767" customWidth="1"/>
    <col min="10511" max="10511" width="7.6328125" style="767" customWidth="1"/>
    <col min="10512" max="10512" width="8.54296875" style="767" customWidth="1"/>
    <col min="10513" max="10513" width="9" style="767" customWidth="1"/>
    <col min="10514" max="10753" width="9.08984375" style="767"/>
    <col min="10754" max="10754" width="3.6328125" style="767" customWidth="1"/>
    <col min="10755" max="10755" width="14.453125" style="767" customWidth="1"/>
    <col min="10756" max="10756" width="3.6328125" style="767" customWidth="1"/>
    <col min="10757" max="10757" width="18.08984375" style="767" customWidth="1"/>
    <col min="10758" max="10759" width="9.08984375" style="767"/>
    <col min="10760" max="10760" width="8.453125" style="767" customWidth="1"/>
    <col min="10761" max="10762" width="9.08984375" style="767"/>
    <col min="10763" max="10763" width="7.6328125" style="767" customWidth="1"/>
    <col min="10764" max="10765" width="9.08984375" style="767"/>
    <col min="10766" max="10766" width="8.6328125" style="767" customWidth="1"/>
    <col min="10767" max="10767" width="7.6328125" style="767" customWidth="1"/>
    <col min="10768" max="10768" width="8.54296875" style="767" customWidth="1"/>
    <col min="10769" max="10769" width="9" style="767" customWidth="1"/>
    <col min="10770" max="11009" width="9.08984375" style="767"/>
    <col min="11010" max="11010" width="3.6328125" style="767" customWidth="1"/>
    <col min="11011" max="11011" width="14.453125" style="767" customWidth="1"/>
    <col min="11012" max="11012" width="3.6328125" style="767" customWidth="1"/>
    <col min="11013" max="11013" width="18.08984375" style="767" customWidth="1"/>
    <col min="11014" max="11015" width="9.08984375" style="767"/>
    <col min="11016" max="11016" width="8.453125" style="767" customWidth="1"/>
    <col min="11017" max="11018" width="9.08984375" style="767"/>
    <col min="11019" max="11019" width="7.6328125" style="767" customWidth="1"/>
    <col min="11020" max="11021" width="9.08984375" style="767"/>
    <col min="11022" max="11022" width="8.6328125" style="767" customWidth="1"/>
    <col min="11023" max="11023" width="7.6328125" style="767" customWidth="1"/>
    <col min="11024" max="11024" width="8.54296875" style="767" customWidth="1"/>
    <col min="11025" max="11025" width="9" style="767" customWidth="1"/>
    <col min="11026" max="11265" width="9.08984375" style="767"/>
    <col min="11266" max="11266" width="3.6328125" style="767" customWidth="1"/>
    <col min="11267" max="11267" width="14.453125" style="767" customWidth="1"/>
    <col min="11268" max="11268" width="3.6328125" style="767" customWidth="1"/>
    <col min="11269" max="11269" width="18.08984375" style="767" customWidth="1"/>
    <col min="11270" max="11271" width="9.08984375" style="767"/>
    <col min="11272" max="11272" width="8.453125" style="767" customWidth="1"/>
    <col min="11273" max="11274" width="9.08984375" style="767"/>
    <col min="11275" max="11275" width="7.6328125" style="767" customWidth="1"/>
    <col min="11276" max="11277" width="9.08984375" style="767"/>
    <col min="11278" max="11278" width="8.6328125" style="767" customWidth="1"/>
    <col min="11279" max="11279" width="7.6328125" style="767" customWidth="1"/>
    <col min="11280" max="11280" width="8.54296875" style="767" customWidth="1"/>
    <col min="11281" max="11281" width="9" style="767" customWidth="1"/>
    <col min="11282" max="11521" width="9.08984375" style="767"/>
    <col min="11522" max="11522" width="3.6328125" style="767" customWidth="1"/>
    <col min="11523" max="11523" width="14.453125" style="767" customWidth="1"/>
    <col min="11524" max="11524" width="3.6328125" style="767" customWidth="1"/>
    <col min="11525" max="11525" width="18.08984375" style="767" customWidth="1"/>
    <col min="11526" max="11527" width="9.08984375" style="767"/>
    <col min="11528" max="11528" width="8.453125" style="767" customWidth="1"/>
    <col min="11529" max="11530" width="9.08984375" style="767"/>
    <col min="11531" max="11531" width="7.6328125" style="767" customWidth="1"/>
    <col min="11532" max="11533" width="9.08984375" style="767"/>
    <col min="11534" max="11534" width="8.6328125" style="767" customWidth="1"/>
    <col min="11535" max="11535" width="7.6328125" style="767" customWidth="1"/>
    <col min="11536" max="11536" width="8.54296875" style="767" customWidth="1"/>
    <col min="11537" max="11537" width="9" style="767" customWidth="1"/>
    <col min="11538" max="11777" width="9.08984375" style="767"/>
    <col min="11778" max="11778" width="3.6328125" style="767" customWidth="1"/>
    <col min="11779" max="11779" width="14.453125" style="767" customWidth="1"/>
    <col min="11780" max="11780" width="3.6328125" style="767" customWidth="1"/>
    <col min="11781" max="11781" width="18.08984375" style="767" customWidth="1"/>
    <col min="11782" max="11783" width="9.08984375" style="767"/>
    <col min="11784" max="11784" width="8.453125" style="767" customWidth="1"/>
    <col min="11785" max="11786" width="9.08984375" style="767"/>
    <col min="11787" max="11787" width="7.6328125" style="767" customWidth="1"/>
    <col min="11788" max="11789" width="9.08984375" style="767"/>
    <col min="11790" max="11790" width="8.6328125" style="767" customWidth="1"/>
    <col min="11791" max="11791" width="7.6328125" style="767" customWidth="1"/>
    <col min="11792" max="11792" width="8.54296875" style="767" customWidth="1"/>
    <col min="11793" max="11793" width="9" style="767" customWidth="1"/>
    <col min="11794" max="12033" width="9.08984375" style="767"/>
    <col min="12034" max="12034" width="3.6328125" style="767" customWidth="1"/>
    <col min="12035" max="12035" width="14.453125" style="767" customWidth="1"/>
    <col min="12036" max="12036" width="3.6328125" style="767" customWidth="1"/>
    <col min="12037" max="12037" width="18.08984375" style="767" customWidth="1"/>
    <col min="12038" max="12039" width="9.08984375" style="767"/>
    <col min="12040" max="12040" width="8.453125" style="767" customWidth="1"/>
    <col min="12041" max="12042" width="9.08984375" style="767"/>
    <col min="12043" max="12043" width="7.6328125" style="767" customWidth="1"/>
    <col min="12044" max="12045" width="9.08984375" style="767"/>
    <col min="12046" max="12046" width="8.6328125" style="767" customWidth="1"/>
    <col min="12047" max="12047" width="7.6328125" style="767" customWidth="1"/>
    <col min="12048" max="12048" width="8.54296875" style="767" customWidth="1"/>
    <col min="12049" max="12049" width="9" style="767" customWidth="1"/>
    <col min="12050" max="12289" width="9.08984375" style="767"/>
    <col min="12290" max="12290" width="3.6328125" style="767" customWidth="1"/>
    <col min="12291" max="12291" width="14.453125" style="767" customWidth="1"/>
    <col min="12292" max="12292" width="3.6328125" style="767" customWidth="1"/>
    <col min="12293" max="12293" width="18.08984375" style="767" customWidth="1"/>
    <col min="12294" max="12295" width="9.08984375" style="767"/>
    <col min="12296" max="12296" width="8.453125" style="767" customWidth="1"/>
    <col min="12297" max="12298" width="9.08984375" style="767"/>
    <col min="12299" max="12299" width="7.6328125" style="767" customWidth="1"/>
    <col min="12300" max="12301" width="9.08984375" style="767"/>
    <col min="12302" max="12302" width="8.6328125" style="767" customWidth="1"/>
    <col min="12303" max="12303" width="7.6328125" style="767" customWidth="1"/>
    <col min="12304" max="12304" width="8.54296875" style="767" customWidth="1"/>
    <col min="12305" max="12305" width="9" style="767" customWidth="1"/>
    <col min="12306" max="12545" width="9.08984375" style="767"/>
    <col min="12546" max="12546" width="3.6328125" style="767" customWidth="1"/>
    <col min="12547" max="12547" width="14.453125" style="767" customWidth="1"/>
    <col min="12548" max="12548" width="3.6328125" style="767" customWidth="1"/>
    <col min="12549" max="12549" width="18.08984375" style="767" customWidth="1"/>
    <col min="12550" max="12551" width="9.08984375" style="767"/>
    <col min="12552" max="12552" width="8.453125" style="767" customWidth="1"/>
    <col min="12553" max="12554" width="9.08984375" style="767"/>
    <col min="12555" max="12555" width="7.6328125" style="767" customWidth="1"/>
    <col min="12556" max="12557" width="9.08984375" style="767"/>
    <col min="12558" max="12558" width="8.6328125" style="767" customWidth="1"/>
    <col min="12559" max="12559" width="7.6328125" style="767" customWidth="1"/>
    <col min="12560" max="12560" width="8.54296875" style="767" customWidth="1"/>
    <col min="12561" max="12561" width="9" style="767" customWidth="1"/>
    <col min="12562" max="12801" width="9.08984375" style="767"/>
    <col min="12802" max="12802" width="3.6328125" style="767" customWidth="1"/>
    <col min="12803" max="12803" width="14.453125" style="767" customWidth="1"/>
    <col min="12804" max="12804" width="3.6328125" style="767" customWidth="1"/>
    <col min="12805" max="12805" width="18.08984375" style="767" customWidth="1"/>
    <col min="12806" max="12807" width="9.08984375" style="767"/>
    <col min="12808" max="12808" width="8.453125" style="767" customWidth="1"/>
    <col min="12809" max="12810" width="9.08984375" style="767"/>
    <col min="12811" max="12811" width="7.6328125" style="767" customWidth="1"/>
    <col min="12812" max="12813" width="9.08984375" style="767"/>
    <col min="12814" max="12814" width="8.6328125" style="767" customWidth="1"/>
    <col min="12815" max="12815" width="7.6328125" style="767" customWidth="1"/>
    <col min="12816" max="12816" width="8.54296875" style="767" customWidth="1"/>
    <col min="12817" max="12817" width="9" style="767" customWidth="1"/>
    <col min="12818" max="13057" width="9.08984375" style="767"/>
    <col min="13058" max="13058" width="3.6328125" style="767" customWidth="1"/>
    <col min="13059" max="13059" width="14.453125" style="767" customWidth="1"/>
    <col min="13060" max="13060" width="3.6328125" style="767" customWidth="1"/>
    <col min="13061" max="13061" width="18.08984375" style="767" customWidth="1"/>
    <col min="13062" max="13063" width="9.08984375" style="767"/>
    <col min="13064" max="13064" width="8.453125" style="767" customWidth="1"/>
    <col min="13065" max="13066" width="9.08984375" style="767"/>
    <col min="13067" max="13067" width="7.6328125" style="767" customWidth="1"/>
    <col min="13068" max="13069" width="9.08984375" style="767"/>
    <col min="13070" max="13070" width="8.6328125" style="767" customWidth="1"/>
    <col min="13071" max="13071" width="7.6328125" style="767" customWidth="1"/>
    <col min="13072" max="13072" width="8.54296875" style="767" customWidth="1"/>
    <col min="13073" max="13073" width="9" style="767" customWidth="1"/>
    <col min="13074" max="13313" width="9.08984375" style="767"/>
    <col min="13314" max="13314" width="3.6328125" style="767" customWidth="1"/>
    <col min="13315" max="13315" width="14.453125" style="767" customWidth="1"/>
    <col min="13316" max="13316" width="3.6328125" style="767" customWidth="1"/>
    <col min="13317" max="13317" width="18.08984375" style="767" customWidth="1"/>
    <col min="13318" max="13319" width="9.08984375" style="767"/>
    <col min="13320" max="13320" width="8.453125" style="767" customWidth="1"/>
    <col min="13321" max="13322" width="9.08984375" style="767"/>
    <col min="13323" max="13323" width="7.6328125" style="767" customWidth="1"/>
    <col min="13324" max="13325" width="9.08984375" style="767"/>
    <col min="13326" max="13326" width="8.6328125" style="767" customWidth="1"/>
    <col min="13327" max="13327" width="7.6328125" style="767" customWidth="1"/>
    <col min="13328" max="13328" width="8.54296875" style="767" customWidth="1"/>
    <col min="13329" max="13329" width="9" style="767" customWidth="1"/>
    <col min="13330" max="13569" width="9.08984375" style="767"/>
    <col min="13570" max="13570" width="3.6328125" style="767" customWidth="1"/>
    <col min="13571" max="13571" width="14.453125" style="767" customWidth="1"/>
    <col min="13572" max="13572" width="3.6328125" style="767" customWidth="1"/>
    <col min="13573" max="13573" width="18.08984375" style="767" customWidth="1"/>
    <col min="13574" max="13575" width="9.08984375" style="767"/>
    <col min="13576" max="13576" width="8.453125" style="767" customWidth="1"/>
    <col min="13577" max="13578" width="9.08984375" style="767"/>
    <col min="13579" max="13579" width="7.6328125" style="767" customWidth="1"/>
    <col min="13580" max="13581" width="9.08984375" style="767"/>
    <col min="13582" max="13582" width="8.6328125" style="767" customWidth="1"/>
    <col min="13583" max="13583" width="7.6328125" style="767" customWidth="1"/>
    <col min="13584" max="13584" width="8.54296875" style="767" customWidth="1"/>
    <col min="13585" max="13585" width="9" style="767" customWidth="1"/>
    <col min="13586" max="13825" width="9.08984375" style="767"/>
    <col min="13826" max="13826" width="3.6328125" style="767" customWidth="1"/>
    <col min="13827" max="13827" width="14.453125" style="767" customWidth="1"/>
    <col min="13828" max="13828" width="3.6328125" style="767" customWidth="1"/>
    <col min="13829" max="13829" width="18.08984375" style="767" customWidth="1"/>
    <col min="13830" max="13831" width="9.08984375" style="767"/>
    <col min="13832" max="13832" width="8.453125" style="767" customWidth="1"/>
    <col min="13833" max="13834" width="9.08984375" style="767"/>
    <col min="13835" max="13835" width="7.6328125" style="767" customWidth="1"/>
    <col min="13836" max="13837" width="9.08984375" style="767"/>
    <col min="13838" max="13838" width="8.6328125" style="767" customWidth="1"/>
    <col min="13839" max="13839" width="7.6328125" style="767" customWidth="1"/>
    <col min="13840" max="13840" width="8.54296875" style="767" customWidth="1"/>
    <col min="13841" max="13841" width="9" style="767" customWidth="1"/>
    <col min="13842" max="14081" width="9.08984375" style="767"/>
    <col min="14082" max="14082" width="3.6328125" style="767" customWidth="1"/>
    <col min="14083" max="14083" width="14.453125" style="767" customWidth="1"/>
    <col min="14084" max="14084" width="3.6328125" style="767" customWidth="1"/>
    <col min="14085" max="14085" width="18.08984375" style="767" customWidth="1"/>
    <col min="14086" max="14087" width="9.08984375" style="767"/>
    <col min="14088" max="14088" width="8.453125" style="767" customWidth="1"/>
    <col min="14089" max="14090" width="9.08984375" style="767"/>
    <col min="14091" max="14091" width="7.6328125" style="767" customWidth="1"/>
    <col min="14092" max="14093" width="9.08984375" style="767"/>
    <col min="14094" max="14094" width="8.6328125" style="767" customWidth="1"/>
    <col min="14095" max="14095" width="7.6328125" style="767" customWidth="1"/>
    <col min="14096" max="14096" width="8.54296875" style="767" customWidth="1"/>
    <col min="14097" max="14097" width="9" style="767" customWidth="1"/>
    <col min="14098" max="14337" width="9.08984375" style="767"/>
    <col min="14338" max="14338" width="3.6328125" style="767" customWidth="1"/>
    <col min="14339" max="14339" width="14.453125" style="767" customWidth="1"/>
    <col min="14340" max="14340" width="3.6328125" style="767" customWidth="1"/>
    <col min="14341" max="14341" width="18.08984375" style="767" customWidth="1"/>
    <col min="14342" max="14343" width="9.08984375" style="767"/>
    <col min="14344" max="14344" width="8.453125" style="767" customWidth="1"/>
    <col min="14345" max="14346" width="9.08984375" style="767"/>
    <col min="14347" max="14347" width="7.6328125" style="767" customWidth="1"/>
    <col min="14348" max="14349" width="9.08984375" style="767"/>
    <col min="14350" max="14350" width="8.6328125" style="767" customWidth="1"/>
    <col min="14351" max="14351" width="7.6328125" style="767" customWidth="1"/>
    <col min="14352" max="14352" width="8.54296875" style="767" customWidth="1"/>
    <col min="14353" max="14353" width="9" style="767" customWidth="1"/>
    <col min="14354" max="14593" width="9.08984375" style="767"/>
    <col min="14594" max="14594" width="3.6328125" style="767" customWidth="1"/>
    <col min="14595" max="14595" width="14.453125" style="767" customWidth="1"/>
    <col min="14596" max="14596" width="3.6328125" style="767" customWidth="1"/>
    <col min="14597" max="14597" width="18.08984375" style="767" customWidth="1"/>
    <col min="14598" max="14599" width="9.08984375" style="767"/>
    <col min="14600" max="14600" width="8.453125" style="767" customWidth="1"/>
    <col min="14601" max="14602" width="9.08984375" style="767"/>
    <col min="14603" max="14603" width="7.6328125" style="767" customWidth="1"/>
    <col min="14604" max="14605" width="9.08984375" style="767"/>
    <col min="14606" max="14606" width="8.6328125" style="767" customWidth="1"/>
    <col min="14607" max="14607" width="7.6328125" style="767" customWidth="1"/>
    <col min="14608" max="14608" width="8.54296875" style="767" customWidth="1"/>
    <col min="14609" max="14609" width="9" style="767" customWidth="1"/>
    <col min="14610" max="14849" width="9.08984375" style="767"/>
    <col min="14850" max="14850" width="3.6328125" style="767" customWidth="1"/>
    <col min="14851" max="14851" width="14.453125" style="767" customWidth="1"/>
    <col min="14852" max="14852" width="3.6328125" style="767" customWidth="1"/>
    <col min="14853" max="14853" width="18.08984375" style="767" customWidth="1"/>
    <col min="14854" max="14855" width="9.08984375" style="767"/>
    <col min="14856" max="14856" width="8.453125" style="767" customWidth="1"/>
    <col min="14857" max="14858" width="9.08984375" style="767"/>
    <col min="14859" max="14859" width="7.6328125" style="767" customWidth="1"/>
    <col min="14860" max="14861" width="9.08984375" style="767"/>
    <col min="14862" max="14862" width="8.6328125" style="767" customWidth="1"/>
    <col min="14863" max="14863" width="7.6328125" style="767" customWidth="1"/>
    <col min="14864" max="14864" width="8.54296875" style="767" customWidth="1"/>
    <col min="14865" max="14865" width="9" style="767" customWidth="1"/>
    <col min="14866" max="15105" width="9.08984375" style="767"/>
    <col min="15106" max="15106" width="3.6328125" style="767" customWidth="1"/>
    <col min="15107" max="15107" width="14.453125" style="767" customWidth="1"/>
    <col min="15108" max="15108" width="3.6328125" style="767" customWidth="1"/>
    <col min="15109" max="15109" width="18.08984375" style="767" customWidth="1"/>
    <col min="15110" max="15111" width="9.08984375" style="767"/>
    <col min="15112" max="15112" width="8.453125" style="767" customWidth="1"/>
    <col min="15113" max="15114" width="9.08984375" style="767"/>
    <col min="15115" max="15115" width="7.6328125" style="767" customWidth="1"/>
    <col min="15116" max="15117" width="9.08984375" style="767"/>
    <col min="15118" max="15118" width="8.6328125" style="767" customWidth="1"/>
    <col min="15119" max="15119" width="7.6328125" style="767" customWidth="1"/>
    <col min="15120" max="15120" width="8.54296875" style="767" customWidth="1"/>
    <col min="15121" max="15121" width="9" style="767" customWidth="1"/>
    <col min="15122" max="15361" width="9.08984375" style="767"/>
    <col min="15362" max="15362" width="3.6328125" style="767" customWidth="1"/>
    <col min="15363" max="15363" width="14.453125" style="767" customWidth="1"/>
    <col min="15364" max="15364" width="3.6328125" style="767" customWidth="1"/>
    <col min="15365" max="15365" width="18.08984375" style="767" customWidth="1"/>
    <col min="15366" max="15367" width="9.08984375" style="767"/>
    <col min="15368" max="15368" width="8.453125" style="767" customWidth="1"/>
    <col min="15369" max="15370" width="9.08984375" style="767"/>
    <col min="15371" max="15371" width="7.6328125" style="767" customWidth="1"/>
    <col min="15372" max="15373" width="9.08984375" style="767"/>
    <col min="15374" max="15374" width="8.6328125" style="767" customWidth="1"/>
    <col min="15375" max="15375" width="7.6328125" style="767" customWidth="1"/>
    <col min="15376" max="15376" width="8.54296875" style="767" customWidth="1"/>
    <col min="15377" max="15377" width="9" style="767" customWidth="1"/>
    <col min="15378" max="15617" width="9.08984375" style="767"/>
    <col min="15618" max="15618" width="3.6328125" style="767" customWidth="1"/>
    <col min="15619" max="15619" width="14.453125" style="767" customWidth="1"/>
    <col min="15620" max="15620" width="3.6328125" style="767" customWidth="1"/>
    <col min="15621" max="15621" width="18.08984375" style="767" customWidth="1"/>
    <col min="15622" max="15623" width="9.08984375" style="767"/>
    <col min="15624" max="15624" width="8.453125" style="767" customWidth="1"/>
    <col min="15625" max="15626" width="9.08984375" style="767"/>
    <col min="15627" max="15627" width="7.6328125" style="767" customWidth="1"/>
    <col min="15628" max="15629" width="9.08984375" style="767"/>
    <col min="15630" max="15630" width="8.6328125" style="767" customWidth="1"/>
    <col min="15631" max="15631" width="7.6328125" style="767" customWidth="1"/>
    <col min="15632" max="15632" width="8.54296875" style="767" customWidth="1"/>
    <col min="15633" max="15633" width="9" style="767" customWidth="1"/>
    <col min="15634" max="15873" width="9.08984375" style="767"/>
    <col min="15874" max="15874" width="3.6328125" style="767" customWidth="1"/>
    <col min="15875" max="15875" width="14.453125" style="767" customWidth="1"/>
    <col min="15876" max="15876" width="3.6328125" style="767" customWidth="1"/>
    <col min="15877" max="15877" width="18.08984375" style="767" customWidth="1"/>
    <col min="15878" max="15879" width="9.08984375" style="767"/>
    <col min="15880" max="15880" width="8.453125" style="767" customWidth="1"/>
    <col min="15881" max="15882" width="9.08984375" style="767"/>
    <col min="15883" max="15883" width="7.6328125" style="767" customWidth="1"/>
    <col min="15884" max="15885" width="9.08984375" style="767"/>
    <col min="15886" max="15886" width="8.6328125" style="767" customWidth="1"/>
    <col min="15887" max="15887" width="7.6328125" style="767" customWidth="1"/>
    <col min="15888" max="15888" width="8.54296875" style="767" customWidth="1"/>
    <col min="15889" max="15889" width="9" style="767" customWidth="1"/>
    <col min="15890" max="16129" width="9.08984375" style="767"/>
    <col min="16130" max="16130" width="3.6328125" style="767" customWidth="1"/>
    <col min="16131" max="16131" width="14.453125" style="767" customWidth="1"/>
    <col min="16132" max="16132" width="3.6328125" style="767" customWidth="1"/>
    <col min="16133" max="16133" width="18.08984375" style="767" customWidth="1"/>
    <col min="16134" max="16135" width="9.08984375" style="767"/>
    <col min="16136" max="16136" width="8.453125" style="767" customWidth="1"/>
    <col min="16137" max="16138" width="9.08984375" style="767"/>
    <col min="16139" max="16139" width="7.6328125" style="767" customWidth="1"/>
    <col min="16140" max="16141" width="9.08984375" style="767"/>
    <col min="16142" max="16142" width="8.6328125" style="767" customWidth="1"/>
    <col min="16143" max="16143" width="7.6328125" style="767" customWidth="1"/>
    <col min="16144" max="16144" width="8.54296875" style="767" customWidth="1"/>
    <col min="16145" max="16145" width="9" style="767" customWidth="1"/>
    <col min="16146" max="16384" width="9.08984375" style="767"/>
  </cols>
  <sheetData>
    <row r="1" spans="1:22" s="1764" customFormat="1" ht="14" x14ac:dyDescent="0.3">
      <c r="A1" s="2070"/>
      <c r="B1" s="1768"/>
      <c r="C1" s="1768"/>
    </row>
    <row r="2" spans="1:22" s="1764" customFormat="1" ht="14.25" customHeight="1" x14ac:dyDescent="0.3">
      <c r="A2" s="1255">
        <v>1</v>
      </c>
      <c r="B2" s="1255" t="s">
        <v>0</v>
      </c>
      <c r="C2" s="1255">
        <v>52</v>
      </c>
      <c r="D2" s="4920" t="s">
        <v>1200</v>
      </c>
      <c r="E2" s="4921"/>
      <c r="F2" s="4921"/>
      <c r="G2" s="4921"/>
      <c r="H2" s="4921"/>
      <c r="I2" s="4921"/>
      <c r="J2" s="4921"/>
      <c r="K2" s="4921"/>
      <c r="L2" s="4921"/>
      <c r="M2" s="4921"/>
      <c r="N2" s="4921"/>
      <c r="O2" s="4921"/>
      <c r="P2" s="4921"/>
      <c r="Q2" s="4921"/>
      <c r="R2" s="4921"/>
      <c r="S2" s="4921"/>
      <c r="T2" s="4922"/>
      <c r="U2" s="2999"/>
      <c r="V2" s="2999"/>
    </row>
    <row r="3" spans="1:22" s="1764" customFormat="1" ht="14.25" customHeight="1" x14ac:dyDescent="0.3">
      <c r="A3" s="1255">
        <v>2</v>
      </c>
      <c r="B3" s="1255" t="s">
        <v>2</v>
      </c>
      <c r="C3" s="1255"/>
      <c r="D3" s="4733" t="s">
        <v>1201</v>
      </c>
      <c r="E3" s="4734"/>
      <c r="F3" s="4734"/>
      <c r="G3" s="4734"/>
      <c r="H3" s="4734"/>
      <c r="I3" s="4734"/>
      <c r="J3" s="4734"/>
      <c r="K3" s="4734"/>
      <c r="L3" s="4734"/>
      <c r="M3" s="4734"/>
      <c r="N3" s="4734"/>
      <c r="O3" s="4734"/>
      <c r="P3" s="4734"/>
      <c r="Q3" s="4734"/>
      <c r="R3" s="4734"/>
      <c r="S3" s="4734"/>
      <c r="T3" s="4735"/>
    </row>
    <row r="4" spans="1:22" s="1764" customFormat="1" ht="14.25" customHeight="1" x14ac:dyDescent="0.3">
      <c r="A4" s="1255">
        <v>3</v>
      </c>
      <c r="B4" s="1255" t="s">
        <v>4</v>
      </c>
      <c r="C4" s="1255"/>
      <c r="D4" s="4733" t="s">
        <v>1202</v>
      </c>
      <c r="E4" s="4734"/>
      <c r="F4" s="4734"/>
      <c r="G4" s="4734"/>
      <c r="H4" s="4734"/>
      <c r="I4" s="4734"/>
      <c r="J4" s="4734"/>
      <c r="K4" s="4734"/>
      <c r="L4" s="4734"/>
      <c r="M4" s="4734"/>
      <c r="N4" s="4734"/>
      <c r="O4" s="4734"/>
      <c r="P4" s="4734"/>
      <c r="Q4" s="4734"/>
      <c r="R4" s="4734"/>
      <c r="S4" s="4734"/>
      <c r="T4" s="4735"/>
    </row>
    <row r="5" spans="1:22" ht="13" x14ac:dyDescent="0.25">
      <c r="C5" s="728"/>
    </row>
    <row r="6" spans="1:22" s="1265" customFormat="1" ht="12.75" customHeight="1" x14ac:dyDescent="0.25">
      <c r="A6" s="1255">
        <v>4</v>
      </c>
      <c r="B6" s="728" t="s">
        <v>6</v>
      </c>
      <c r="C6" s="1260"/>
      <c r="D6" s="1770" t="s">
        <v>85</v>
      </c>
      <c r="E6" s="1770" t="s">
        <v>1203</v>
      </c>
      <c r="F6" s="1770"/>
      <c r="G6" s="1770"/>
      <c r="H6" s="1770"/>
      <c r="I6" s="1770"/>
      <c r="J6" s="1770"/>
      <c r="K6" s="1770"/>
      <c r="L6" s="1770"/>
      <c r="M6" s="1770"/>
      <c r="N6" s="1272"/>
      <c r="O6" s="1272"/>
      <c r="P6" s="1272"/>
      <c r="Q6" s="1272"/>
      <c r="U6" s="1270"/>
    </row>
    <row r="7" spans="1:22" s="1265" customFormat="1" ht="12.75" customHeight="1" x14ac:dyDescent="0.25">
      <c r="A7" s="1259"/>
      <c r="B7" s="1260"/>
      <c r="C7" s="1260"/>
      <c r="D7" s="3002"/>
      <c r="E7" s="4923" t="s">
        <v>306</v>
      </c>
      <c r="F7" s="4923"/>
      <c r="G7" s="4923"/>
      <c r="H7" s="4924"/>
      <c r="I7" s="4925" t="s">
        <v>42</v>
      </c>
      <c r="J7" s="4923"/>
      <c r="K7" s="4923"/>
      <c r="L7" s="4924"/>
      <c r="M7" s="4925" t="s">
        <v>1204</v>
      </c>
      <c r="N7" s="4923"/>
      <c r="O7" s="4923"/>
      <c r="P7" s="4924"/>
      <c r="Q7" s="4925" t="s">
        <v>52</v>
      </c>
      <c r="R7" s="4923"/>
      <c r="S7" s="4923"/>
      <c r="T7" s="4924"/>
      <c r="U7" s="1270"/>
    </row>
    <row r="8" spans="1:22" s="1265" customFormat="1" ht="12.75" customHeight="1" x14ac:dyDescent="0.25">
      <c r="A8" s="1259"/>
      <c r="B8" s="1260"/>
      <c r="C8" s="1260"/>
      <c r="D8" s="1629"/>
      <c r="E8" s="1622" t="s">
        <v>1205</v>
      </c>
      <c r="F8" s="1622" t="s">
        <v>1206</v>
      </c>
      <c r="G8" s="1622" t="s">
        <v>1207</v>
      </c>
      <c r="H8" s="2240" t="s">
        <v>232</v>
      </c>
      <c r="I8" s="1622" t="s">
        <v>1205</v>
      </c>
      <c r="J8" s="1622" t="s">
        <v>1206</v>
      </c>
      <c r="K8" s="1622" t="s">
        <v>1207</v>
      </c>
      <c r="L8" s="2240" t="s">
        <v>232</v>
      </c>
      <c r="M8" s="1622" t="s">
        <v>1205</v>
      </c>
      <c r="N8" s="1622" t="s">
        <v>1206</v>
      </c>
      <c r="O8" s="1622" t="s">
        <v>1207</v>
      </c>
      <c r="P8" s="2240" t="s">
        <v>232</v>
      </c>
      <c r="Q8" s="1622" t="s">
        <v>1205</v>
      </c>
      <c r="R8" s="1622" t="s">
        <v>1206</v>
      </c>
      <c r="S8" s="1622" t="s">
        <v>1207</v>
      </c>
      <c r="T8" s="2240" t="s">
        <v>232</v>
      </c>
      <c r="U8" s="1270"/>
    </row>
    <row r="9" spans="1:22" s="1265" customFormat="1" ht="12.75" customHeight="1" x14ac:dyDescent="0.2">
      <c r="A9" s="1259"/>
      <c r="B9" s="1260"/>
      <c r="C9" s="1260"/>
      <c r="D9" s="1804" t="s">
        <v>1208</v>
      </c>
      <c r="E9" s="1730">
        <v>0.57999999999999996</v>
      </c>
      <c r="F9" s="1730">
        <v>0.51</v>
      </c>
      <c r="G9" s="1730">
        <v>0.56000000000000005</v>
      </c>
      <c r="H9" s="3003">
        <v>0.5</v>
      </c>
      <c r="I9" s="1730">
        <v>0.28000000000000003</v>
      </c>
      <c r="J9" s="3004">
        <v>0.23</v>
      </c>
      <c r="K9" s="1730">
        <v>0.23</v>
      </c>
      <c r="L9" s="3005">
        <v>0.25</v>
      </c>
      <c r="M9" s="1730">
        <v>0.15</v>
      </c>
      <c r="N9" s="1730">
        <v>0.17</v>
      </c>
      <c r="O9" s="1730">
        <v>0.22</v>
      </c>
      <c r="P9" s="3005">
        <v>0.17</v>
      </c>
      <c r="Q9" s="1730" t="s">
        <v>831</v>
      </c>
      <c r="R9" s="1730">
        <v>0.13</v>
      </c>
      <c r="S9" s="1730">
        <v>0.15</v>
      </c>
      <c r="T9" s="3005">
        <v>0.14000000000000001</v>
      </c>
      <c r="U9" s="1270"/>
    </row>
    <row r="10" spans="1:22" s="1265" customFormat="1" ht="12.75" customHeight="1" x14ac:dyDescent="0.2">
      <c r="A10" s="1259"/>
      <c r="B10" s="1260"/>
      <c r="C10" s="1260"/>
      <c r="D10" s="1804" t="s">
        <v>1209</v>
      </c>
      <c r="E10" s="1730">
        <v>0.2</v>
      </c>
      <c r="F10" s="1730">
        <v>0.14000000000000001</v>
      </c>
      <c r="G10" s="1730">
        <v>0.16</v>
      </c>
      <c r="H10" s="3003">
        <v>0.16</v>
      </c>
      <c r="I10" s="1730">
        <v>0.16</v>
      </c>
      <c r="J10" s="1730">
        <v>0.13</v>
      </c>
      <c r="K10" s="1730">
        <v>0.18</v>
      </c>
      <c r="L10" s="3005">
        <v>0.16</v>
      </c>
      <c r="M10" s="1730">
        <v>0.14000000000000001</v>
      </c>
      <c r="N10" s="1730">
        <v>0.14000000000000001</v>
      </c>
      <c r="O10" s="1730">
        <v>0.1</v>
      </c>
      <c r="P10" s="3005">
        <v>0.13</v>
      </c>
      <c r="Q10" s="1730" t="s">
        <v>831</v>
      </c>
      <c r="R10" s="1730">
        <v>0.04</v>
      </c>
      <c r="S10" s="1730">
        <v>0.06</v>
      </c>
      <c r="T10" s="3005">
        <v>0.05</v>
      </c>
      <c r="U10" s="1270"/>
    </row>
    <row r="11" spans="1:22" s="1265" customFormat="1" ht="12.75" customHeight="1" x14ac:dyDescent="0.2">
      <c r="A11" s="1259"/>
      <c r="B11" s="1260"/>
      <c r="C11" s="1260"/>
      <c r="D11" s="1804" t="s">
        <v>1210</v>
      </c>
      <c r="E11" s="1730">
        <v>0.15</v>
      </c>
      <c r="F11" s="1730">
        <v>0.11</v>
      </c>
      <c r="G11" s="1730">
        <v>0.1</v>
      </c>
      <c r="H11" s="3003">
        <v>0.11</v>
      </c>
      <c r="I11" s="1730">
        <v>0.13</v>
      </c>
      <c r="J11" s="1730">
        <v>0.1</v>
      </c>
      <c r="K11" s="1730">
        <v>0.09</v>
      </c>
      <c r="L11" s="3005">
        <v>0.11</v>
      </c>
      <c r="M11" s="1730">
        <v>7.0000000000000007E-2</v>
      </c>
      <c r="N11" s="1730">
        <v>7.0000000000000007E-2</v>
      </c>
      <c r="O11" s="1730">
        <v>0.06</v>
      </c>
      <c r="P11" s="3005">
        <v>0.06</v>
      </c>
      <c r="Q11" s="1730" t="s">
        <v>831</v>
      </c>
      <c r="R11" s="1730">
        <v>0.05</v>
      </c>
      <c r="S11" s="1730">
        <v>0.06</v>
      </c>
      <c r="T11" s="3005">
        <v>0.05</v>
      </c>
      <c r="U11" s="1270"/>
    </row>
    <row r="12" spans="1:22" s="1265" customFormat="1" ht="12.75" customHeight="1" x14ac:dyDescent="0.2">
      <c r="A12" s="1259"/>
      <c r="B12" s="1260"/>
      <c r="C12" s="1260"/>
      <c r="D12" s="1804" t="s">
        <v>1211</v>
      </c>
      <c r="E12" s="1730">
        <v>0.08</v>
      </c>
      <c r="F12" s="1730">
        <v>0.05</v>
      </c>
      <c r="G12" s="1730">
        <v>0.09</v>
      </c>
      <c r="H12" s="3003">
        <v>0.06</v>
      </c>
      <c r="I12" s="1730">
        <v>0.06</v>
      </c>
      <c r="J12" s="1730">
        <v>0.04</v>
      </c>
      <c r="K12" s="1730">
        <v>0.05</v>
      </c>
      <c r="L12" s="3005">
        <v>0.04</v>
      </c>
      <c r="M12" s="1730">
        <v>0.02</v>
      </c>
      <c r="N12" s="1730">
        <v>0.02</v>
      </c>
      <c r="O12" s="1730">
        <v>0.02</v>
      </c>
      <c r="P12" s="3005">
        <v>0.02</v>
      </c>
      <c r="Q12" s="1730">
        <v>0.02</v>
      </c>
      <c r="R12" s="1730">
        <v>0.04</v>
      </c>
      <c r="S12" s="1730">
        <v>0.04</v>
      </c>
      <c r="T12" s="3005">
        <v>0.04</v>
      </c>
      <c r="U12" s="1270"/>
    </row>
    <row r="13" spans="1:22" s="1265" customFormat="1" ht="12.75" customHeight="1" x14ac:dyDescent="0.2">
      <c r="A13" s="1259"/>
      <c r="B13" s="1260"/>
      <c r="C13" s="1260"/>
      <c r="D13" s="1804" t="s">
        <v>1212</v>
      </c>
      <c r="E13" s="1730">
        <v>0.12</v>
      </c>
      <c r="F13" s="1730">
        <v>0.17</v>
      </c>
      <c r="G13" s="1730">
        <v>0.12</v>
      </c>
      <c r="H13" s="3003">
        <v>0.09</v>
      </c>
      <c r="I13" s="1730">
        <v>0.03</v>
      </c>
      <c r="J13" s="1730">
        <v>0.02</v>
      </c>
      <c r="K13" s="1730">
        <v>0.02</v>
      </c>
      <c r="L13" s="3005">
        <v>0.02</v>
      </c>
      <c r="M13" s="1730">
        <v>0.02</v>
      </c>
      <c r="N13" s="1730">
        <v>0.01</v>
      </c>
      <c r="O13" s="1730">
        <v>0.01</v>
      </c>
      <c r="P13" s="3005">
        <v>0.01</v>
      </c>
      <c r="Q13" s="1730">
        <v>0.01</v>
      </c>
      <c r="R13" s="1730">
        <v>0.01</v>
      </c>
      <c r="S13" s="1730">
        <v>0.01</v>
      </c>
      <c r="T13" s="3005">
        <v>0.01</v>
      </c>
      <c r="U13" s="1270"/>
    </row>
    <row r="14" spans="1:22" s="1265" customFormat="1" ht="12.75" customHeight="1" x14ac:dyDescent="0.2">
      <c r="A14" s="1259"/>
      <c r="B14" s="1260"/>
      <c r="C14" s="1260"/>
      <c r="D14" s="1804" t="s">
        <v>1213</v>
      </c>
      <c r="E14" s="1730">
        <v>7.0000000000000007E-2</v>
      </c>
      <c r="F14" s="1730">
        <v>0.04</v>
      </c>
      <c r="G14" s="1730">
        <v>7.0000000000000007E-2</v>
      </c>
      <c r="H14" s="3003">
        <v>0.05</v>
      </c>
      <c r="I14" s="1730">
        <v>0.04</v>
      </c>
      <c r="J14" s="1730">
        <v>0.02</v>
      </c>
      <c r="K14" s="1730">
        <v>0.02</v>
      </c>
      <c r="L14" s="3005">
        <v>0.02</v>
      </c>
      <c r="M14" s="1730">
        <v>0.06</v>
      </c>
      <c r="N14" s="1730">
        <v>0.02</v>
      </c>
      <c r="O14" s="1730">
        <v>0.03</v>
      </c>
      <c r="P14" s="3005">
        <v>0.03</v>
      </c>
      <c r="Q14" s="1730" t="s">
        <v>831</v>
      </c>
      <c r="R14" s="1730">
        <v>0.02</v>
      </c>
      <c r="S14" s="1730">
        <v>0.02</v>
      </c>
      <c r="T14" s="3005">
        <v>0.02</v>
      </c>
      <c r="U14" s="1270"/>
    </row>
    <row r="15" spans="1:22" s="1265" customFormat="1" ht="12.75" customHeight="1" x14ac:dyDescent="0.2">
      <c r="A15" s="1259"/>
      <c r="B15" s="1260"/>
      <c r="C15" s="1260"/>
      <c r="D15" s="1804" t="s">
        <v>1214</v>
      </c>
      <c r="E15" s="1730">
        <v>7.0000000000000007E-2</v>
      </c>
      <c r="F15" s="1730">
        <v>0.04</v>
      </c>
      <c r="G15" s="1730">
        <v>7.0000000000000007E-2</v>
      </c>
      <c r="H15" s="3003">
        <v>0.06</v>
      </c>
      <c r="I15" s="1730">
        <v>7.0000000000000007E-2</v>
      </c>
      <c r="J15" s="1730">
        <v>0.03</v>
      </c>
      <c r="K15" s="1730">
        <v>0.01</v>
      </c>
      <c r="L15" s="3005">
        <v>0.04</v>
      </c>
      <c r="M15" s="1730">
        <v>0.06</v>
      </c>
      <c r="N15" s="1730">
        <v>0.02</v>
      </c>
      <c r="O15" s="1730">
        <v>0.04</v>
      </c>
      <c r="P15" s="3005">
        <v>0.03</v>
      </c>
      <c r="Q15" s="1730" t="s">
        <v>831</v>
      </c>
      <c r="R15" s="1730">
        <v>0.03</v>
      </c>
      <c r="S15" s="1730">
        <v>0.03</v>
      </c>
      <c r="T15" s="3005">
        <v>0.03</v>
      </c>
      <c r="U15" s="1270"/>
    </row>
    <row r="16" spans="1:22" s="1265" customFormat="1" ht="12.75" customHeight="1" x14ac:dyDescent="0.2">
      <c r="A16" s="1259"/>
      <c r="B16" s="1260"/>
      <c r="C16" s="1260"/>
      <c r="D16" s="1804" t="s">
        <v>1215</v>
      </c>
      <c r="E16" s="1730">
        <v>0.08</v>
      </c>
      <c r="F16" s="1730">
        <v>0.05</v>
      </c>
      <c r="G16" s="1730">
        <v>0.06</v>
      </c>
      <c r="H16" s="3003">
        <v>7.0000000000000007E-2</v>
      </c>
      <c r="I16" s="1730">
        <v>0.08</v>
      </c>
      <c r="J16" s="1730">
        <v>0.08</v>
      </c>
      <c r="K16" s="1730">
        <v>0.06</v>
      </c>
      <c r="L16" s="3005">
        <v>7.0000000000000007E-2</v>
      </c>
      <c r="M16" s="1730">
        <v>0.06</v>
      </c>
      <c r="N16" s="1730">
        <v>0.01</v>
      </c>
      <c r="O16" s="1730">
        <v>0.02</v>
      </c>
      <c r="P16" s="3005">
        <v>0.03</v>
      </c>
      <c r="Q16" s="1730" t="s">
        <v>831</v>
      </c>
      <c r="R16" s="1730">
        <v>0.03</v>
      </c>
      <c r="S16" s="1730">
        <v>0.04</v>
      </c>
      <c r="T16" s="3005">
        <v>0.03</v>
      </c>
      <c r="U16" s="1270"/>
    </row>
    <row r="17" spans="2:20" x14ac:dyDescent="0.25">
      <c r="B17" s="3006"/>
      <c r="C17" s="3006"/>
      <c r="D17" s="1996" t="s">
        <v>1216</v>
      </c>
      <c r="E17" s="3007">
        <v>0.06</v>
      </c>
      <c r="F17" s="3007">
        <v>0</v>
      </c>
      <c r="G17" s="3007">
        <v>7.0000000000000007E-2</v>
      </c>
      <c r="H17" s="3008">
        <v>0.05</v>
      </c>
      <c r="I17" s="3007">
        <v>0.05</v>
      </c>
      <c r="J17" s="3007">
        <v>0.02</v>
      </c>
      <c r="K17" s="3007">
        <v>0.05</v>
      </c>
      <c r="L17" s="3009">
        <v>0.04</v>
      </c>
      <c r="M17" s="3007">
        <v>0.05</v>
      </c>
      <c r="N17" s="3007">
        <v>0.01</v>
      </c>
      <c r="O17" s="3007">
        <v>0.06</v>
      </c>
      <c r="P17" s="3009">
        <v>0.04</v>
      </c>
      <c r="Q17" s="3007" t="s">
        <v>831</v>
      </c>
      <c r="R17" s="3007">
        <v>0.03</v>
      </c>
      <c r="S17" s="3007">
        <v>0.04</v>
      </c>
      <c r="T17" s="3009">
        <v>0.04</v>
      </c>
    </row>
    <row r="18" spans="2:20" x14ac:dyDescent="0.25">
      <c r="B18" s="3006"/>
      <c r="C18" s="3006"/>
      <c r="D18" s="1804"/>
      <c r="E18" s="1270"/>
      <c r="F18" s="1270"/>
      <c r="G18" s="1270"/>
      <c r="H18" s="1270"/>
      <c r="I18" s="1270"/>
      <c r="J18" s="1270"/>
      <c r="K18" s="1270"/>
      <c r="L18" s="1270"/>
      <c r="M18" s="1270"/>
      <c r="N18" s="1270"/>
      <c r="O18" s="1270"/>
      <c r="P18" s="1270"/>
      <c r="Q18" s="1270"/>
    </row>
    <row r="19" spans="2:20" x14ac:dyDescent="0.25">
      <c r="B19" s="3006"/>
      <c r="C19" s="3006"/>
      <c r="D19" s="3010"/>
      <c r="E19" s="3010"/>
      <c r="F19" s="3010"/>
      <c r="G19" s="3010"/>
      <c r="H19" s="3010"/>
      <c r="I19" s="3010"/>
      <c r="J19" s="3010"/>
      <c r="K19" s="3010"/>
      <c r="L19" s="3010"/>
      <c r="M19" s="3010"/>
      <c r="N19" s="3010"/>
      <c r="O19" s="3010"/>
      <c r="P19" s="3010"/>
      <c r="Q19" s="3010"/>
    </row>
    <row r="20" spans="2:20" x14ac:dyDescent="0.25">
      <c r="B20" s="3011"/>
      <c r="C20" s="3011"/>
      <c r="D20" s="3012"/>
      <c r="E20" s="3012"/>
      <c r="F20" s="3012"/>
      <c r="G20" s="3012"/>
      <c r="H20" s="3012"/>
      <c r="I20" s="3012"/>
      <c r="J20" s="3012"/>
      <c r="K20" s="3012"/>
      <c r="L20" s="3012"/>
      <c r="M20" s="3012"/>
      <c r="N20" s="3012"/>
      <c r="O20" s="3012"/>
      <c r="P20" s="3012"/>
      <c r="Q20" s="3012"/>
    </row>
    <row r="21" spans="2:20" x14ac:dyDescent="0.25">
      <c r="B21" s="3006"/>
      <c r="C21" s="3006"/>
      <c r="D21" s="3012"/>
      <c r="E21" s="3012"/>
      <c r="F21" s="3012"/>
      <c r="G21" s="3012"/>
      <c r="H21" s="3012"/>
      <c r="I21" s="3012"/>
      <c r="J21" s="3012"/>
      <c r="K21" s="3012"/>
      <c r="L21" s="3012"/>
      <c r="M21" s="3012"/>
      <c r="N21" s="3012"/>
      <c r="O21" s="3012"/>
      <c r="P21" s="3012"/>
      <c r="Q21" s="3012"/>
    </row>
    <row r="22" spans="2:20" ht="16.5" customHeight="1" x14ac:dyDescent="0.25">
      <c r="B22" s="3011"/>
      <c r="C22" s="3011"/>
      <c r="D22" s="3012"/>
      <c r="E22" s="3012"/>
      <c r="F22" s="3012"/>
      <c r="G22" s="3012"/>
      <c r="H22" s="3012"/>
      <c r="I22" s="3012"/>
      <c r="J22" s="3012"/>
      <c r="K22" s="3012"/>
      <c r="L22" s="3012"/>
      <c r="M22" s="3012"/>
      <c r="N22" s="3012"/>
      <c r="O22" s="3012"/>
      <c r="P22" s="3012"/>
      <c r="Q22" s="3012"/>
    </row>
    <row r="23" spans="2:20" x14ac:dyDescent="0.25">
      <c r="B23" s="3006"/>
      <c r="C23" s="3006"/>
      <c r="D23" s="3012"/>
      <c r="E23" s="3012"/>
      <c r="F23" s="3012"/>
      <c r="G23" s="3012"/>
      <c r="H23" s="3012"/>
      <c r="I23" s="3012"/>
      <c r="J23" s="3012"/>
      <c r="K23" s="3012"/>
      <c r="L23" s="3012"/>
      <c r="M23" s="3012"/>
      <c r="N23" s="3012"/>
      <c r="O23" s="3012"/>
      <c r="P23" s="3012"/>
      <c r="Q23" s="3012"/>
    </row>
    <row r="39" spans="1:20" s="1764" customFormat="1" ht="15" customHeight="1" x14ac:dyDescent="0.3">
      <c r="A39" s="1255">
        <v>5</v>
      </c>
      <c r="B39" s="1255" t="s">
        <v>58</v>
      </c>
      <c r="C39" s="1255"/>
      <c r="D39" s="4733" t="s">
        <v>363</v>
      </c>
      <c r="E39" s="4734"/>
      <c r="F39" s="4734"/>
      <c r="G39" s="4734"/>
      <c r="H39" s="4734"/>
      <c r="I39" s="4734"/>
      <c r="J39" s="4734"/>
      <c r="K39" s="4734"/>
      <c r="L39" s="4734"/>
      <c r="M39" s="4734"/>
      <c r="N39" s="4734"/>
      <c r="O39" s="4734"/>
      <c r="P39" s="4734"/>
      <c r="Q39" s="4734"/>
      <c r="R39" s="4734"/>
      <c r="S39" s="4734"/>
      <c r="T39" s="4735"/>
    </row>
    <row r="40" spans="1:20" s="1764" customFormat="1" ht="29.25" customHeight="1" x14ac:dyDescent="0.3">
      <c r="A40" s="1306">
        <v>6</v>
      </c>
      <c r="B40" s="1306" t="s">
        <v>278</v>
      </c>
      <c r="C40" s="1306"/>
      <c r="D40" s="4817" t="s">
        <v>1217</v>
      </c>
      <c r="E40" s="4818"/>
      <c r="F40" s="4818"/>
      <c r="G40" s="4818"/>
      <c r="H40" s="4818"/>
      <c r="I40" s="4818"/>
      <c r="J40" s="4818"/>
      <c r="K40" s="4818"/>
      <c r="L40" s="4818"/>
      <c r="M40" s="4818"/>
      <c r="N40" s="4818"/>
      <c r="O40" s="4818"/>
      <c r="P40" s="4818"/>
      <c r="Q40" s="4818"/>
      <c r="R40" s="4818"/>
      <c r="S40" s="4818"/>
      <c r="T40" s="4819"/>
    </row>
    <row r="41" spans="1:20" s="1764" customFormat="1" ht="14.25" customHeight="1" x14ac:dyDescent="0.3">
      <c r="A41" s="1255">
        <v>7</v>
      </c>
      <c r="B41" s="1255" t="s">
        <v>62</v>
      </c>
      <c r="C41" s="1255"/>
      <c r="D41" s="4817" t="s">
        <v>1218</v>
      </c>
      <c r="E41" s="4818"/>
      <c r="F41" s="4818"/>
      <c r="G41" s="4818"/>
      <c r="H41" s="4818"/>
      <c r="I41" s="4818"/>
      <c r="J41" s="4818"/>
      <c r="K41" s="4818"/>
      <c r="L41" s="4818"/>
      <c r="M41" s="4818"/>
      <c r="N41" s="4818"/>
      <c r="O41" s="4818"/>
      <c r="P41" s="4818"/>
      <c r="Q41" s="4818"/>
      <c r="R41" s="4818"/>
      <c r="S41" s="4818"/>
      <c r="T41" s="4819"/>
    </row>
  </sheetData>
  <mergeCells count="10">
    <mergeCell ref="D39:T39"/>
    <mergeCell ref="D40:T40"/>
    <mergeCell ref="D41:T41"/>
    <mergeCell ref="D2:T2"/>
    <mergeCell ref="D3:T3"/>
    <mergeCell ref="D4:T4"/>
    <mergeCell ref="E7:H7"/>
    <mergeCell ref="I7:L7"/>
    <mergeCell ref="M7:P7"/>
    <mergeCell ref="Q7:T7"/>
  </mergeCells>
  <pageMargins left="0.74803149606299213" right="0.74803149606299213" top="0.98425196850393704" bottom="0.98425196850393704" header="0.51181102362204722" footer="0.51181102362204722"/>
  <pageSetup paperSize="9" scale="6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2:AE33"/>
  <sheetViews>
    <sheetView showGridLines="0" view="pageBreakPreview" zoomScaleNormal="100" zoomScaleSheetLayoutView="100" workbookViewId="0">
      <selection activeCell="P13" sqref="P13:P14"/>
    </sheetView>
  </sheetViews>
  <sheetFormatPr defaultColWidth="9.08984375" defaultRowHeight="12" x14ac:dyDescent="0.3"/>
  <cols>
    <col min="1" max="1" width="3.6328125" style="3000" customWidth="1"/>
    <col min="2" max="2" width="14.453125" style="3001" customWidth="1"/>
    <col min="3" max="3" width="3.6328125" style="3001" customWidth="1"/>
    <col min="4" max="4" width="22.6328125" style="3013" customWidth="1"/>
    <col min="5" max="5" width="11.453125" style="767" customWidth="1"/>
    <col min="6" max="6" width="5.453125" style="3014" customWidth="1"/>
    <col min="7" max="7" width="11.453125" style="767" customWidth="1"/>
    <col min="8" max="8" width="5.453125" style="3014" customWidth="1"/>
    <col min="9" max="9" width="11.453125" style="767" customWidth="1"/>
    <col min="10" max="10" width="5.453125" style="3014" customWidth="1"/>
    <col min="11" max="11" width="11.453125" style="3014" customWidth="1"/>
    <col min="12" max="12" width="5.453125" style="3014" customWidth="1"/>
    <col min="13" max="13" width="11.453125" style="3014" customWidth="1"/>
    <col min="14" max="14" width="5.453125" style="3014" customWidth="1"/>
    <col min="15" max="15" width="11.08984375" style="3014" customWidth="1"/>
    <col min="16" max="16" width="8.54296875" style="3014" customWidth="1"/>
    <col min="17" max="19" width="5.453125" style="3014" customWidth="1"/>
    <col min="20" max="20" width="5.453125" style="3015" customWidth="1"/>
    <col min="21" max="21" width="22.6328125" style="3013" customWidth="1"/>
    <col min="22" max="22" width="5.90625" style="767" customWidth="1"/>
    <col min="23" max="23" width="3.453125" style="767" customWidth="1"/>
    <col min="24" max="24" width="11.54296875" style="767" bestFit="1" customWidth="1"/>
    <col min="25" max="25" width="5.54296875" style="767" customWidth="1"/>
    <col min="26" max="26" width="11" style="767" bestFit="1" customWidth="1"/>
    <col min="27" max="27" width="6.08984375" style="767" customWidth="1"/>
    <col min="28" max="262" width="9.08984375" style="767"/>
    <col min="263" max="263" width="3.6328125" style="767" customWidth="1"/>
    <col min="264" max="264" width="14.453125" style="767" customWidth="1"/>
    <col min="265" max="265" width="3.6328125" style="767" customWidth="1"/>
    <col min="266" max="266" width="22.6328125" style="767" customWidth="1"/>
    <col min="267" max="267" width="11.453125" style="767" customWidth="1"/>
    <col min="268" max="268" width="5.453125" style="767" customWidth="1"/>
    <col min="269" max="269" width="11.453125" style="767" customWidth="1"/>
    <col min="270" max="270" width="5.453125" style="767" customWidth="1"/>
    <col min="271" max="271" width="11.453125" style="767" customWidth="1"/>
    <col min="272" max="272" width="5.453125" style="767" customWidth="1"/>
    <col min="273" max="273" width="11.453125" style="767" customWidth="1"/>
    <col min="274" max="276" width="5.453125" style="767" customWidth="1"/>
    <col min="277" max="277" width="22.6328125" style="767" customWidth="1"/>
    <col min="278" max="278" width="5.90625" style="767" customWidth="1"/>
    <col min="279" max="279" width="3.453125" style="767" customWidth="1"/>
    <col min="280" max="280" width="11.54296875" style="767" bestFit="1" customWidth="1"/>
    <col min="281" max="281" width="5.54296875" style="767" customWidth="1"/>
    <col min="282" max="282" width="11" style="767" bestFit="1" customWidth="1"/>
    <col min="283" max="283" width="6.08984375" style="767" customWidth="1"/>
    <col min="284" max="518" width="9.08984375" style="767"/>
    <col min="519" max="519" width="3.6328125" style="767" customWidth="1"/>
    <col min="520" max="520" width="14.453125" style="767" customWidth="1"/>
    <col min="521" max="521" width="3.6328125" style="767" customWidth="1"/>
    <col min="522" max="522" width="22.6328125" style="767" customWidth="1"/>
    <col min="523" max="523" width="11.453125" style="767" customWidth="1"/>
    <col min="524" max="524" width="5.453125" style="767" customWidth="1"/>
    <col min="525" max="525" width="11.453125" style="767" customWidth="1"/>
    <col min="526" max="526" width="5.453125" style="767" customWidth="1"/>
    <col min="527" max="527" width="11.453125" style="767" customWidth="1"/>
    <col min="528" max="528" width="5.453125" style="767" customWidth="1"/>
    <col min="529" max="529" width="11.453125" style="767" customWidth="1"/>
    <col min="530" max="532" width="5.453125" style="767" customWidth="1"/>
    <col min="533" max="533" width="22.6328125" style="767" customWidth="1"/>
    <col min="534" max="534" width="5.90625" style="767" customWidth="1"/>
    <col min="535" max="535" width="3.453125" style="767" customWidth="1"/>
    <col min="536" max="536" width="11.54296875" style="767" bestFit="1" customWidth="1"/>
    <col min="537" max="537" width="5.54296875" style="767" customWidth="1"/>
    <col min="538" max="538" width="11" style="767" bestFit="1" customWidth="1"/>
    <col min="539" max="539" width="6.08984375" style="767" customWidth="1"/>
    <col min="540" max="774" width="9.08984375" style="767"/>
    <col min="775" max="775" width="3.6328125" style="767" customWidth="1"/>
    <col min="776" max="776" width="14.453125" style="767" customWidth="1"/>
    <col min="777" max="777" width="3.6328125" style="767" customWidth="1"/>
    <col min="778" max="778" width="22.6328125" style="767" customWidth="1"/>
    <col min="779" max="779" width="11.453125" style="767" customWidth="1"/>
    <col min="780" max="780" width="5.453125" style="767" customWidth="1"/>
    <col min="781" max="781" width="11.453125" style="767" customWidth="1"/>
    <col min="782" max="782" width="5.453125" style="767" customWidth="1"/>
    <col min="783" max="783" width="11.453125" style="767" customWidth="1"/>
    <col min="784" max="784" width="5.453125" style="767" customWidth="1"/>
    <col min="785" max="785" width="11.453125" style="767" customWidth="1"/>
    <col min="786" max="788" width="5.453125" style="767" customWidth="1"/>
    <col min="789" max="789" width="22.6328125" style="767" customWidth="1"/>
    <col min="790" max="790" width="5.90625" style="767" customWidth="1"/>
    <col min="791" max="791" width="3.453125" style="767" customWidth="1"/>
    <col min="792" max="792" width="11.54296875" style="767" bestFit="1" customWidth="1"/>
    <col min="793" max="793" width="5.54296875" style="767" customWidth="1"/>
    <col min="794" max="794" width="11" style="767" bestFit="1" customWidth="1"/>
    <col min="795" max="795" width="6.08984375" style="767" customWidth="1"/>
    <col min="796" max="1030" width="9.08984375" style="767"/>
    <col min="1031" max="1031" width="3.6328125" style="767" customWidth="1"/>
    <col min="1032" max="1032" width="14.453125" style="767" customWidth="1"/>
    <col min="1033" max="1033" width="3.6328125" style="767" customWidth="1"/>
    <col min="1034" max="1034" width="22.6328125" style="767" customWidth="1"/>
    <col min="1035" max="1035" width="11.453125" style="767" customWidth="1"/>
    <col min="1036" max="1036" width="5.453125" style="767" customWidth="1"/>
    <col min="1037" max="1037" width="11.453125" style="767" customWidth="1"/>
    <col min="1038" max="1038" width="5.453125" style="767" customWidth="1"/>
    <col min="1039" max="1039" width="11.453125" style="767" customWidth="1"/>
    <col min="1040" max="1040" width="5.453125" style="767" customWidth="1"/>
    <col min="1041" max="1041" width="11.453125" style="767" customWidth="1"/>
    <col min="1042" max="1044" width="5.453125" style="767" customWidth="1"/>
    <col min="1045" max="1045" width="22.6328125" style="767" customWidth="1"/>
    <col min="1046" max="1046" width="5.90625" style="767" customWidth="1"/>
    <col min="1047" max="1047" width="3.453125" style="767" customWidth="1"/>
    <col min="1048" max="1048" width="11.54296875" style="767" bestFit="1" customWidth="1"/>
    <col min="1049" max="1049" width="5.54296875" style="767" customWidth="1"/>
    <col min="1050" max="1050" width="11" style="767" bestFit="1" customWidth="1"/>
    <col min="1051" max="1051" width="6.08984375" style="767" customWidth="1"/>
    <col min="1052" max="1286" width="9.08984375" style="767"/>
    <col min="1287" max="1287" width="3.6328125" style="767" customWidth="1"/>
    <col min="1288" max="1288" width="14.453125" style="767" customWidth="1"/>
    <col min="1289" max="1289" width="3.6328125" style="767" customWidth="1"/>
    <col min="1290" max="1290" width="22.6328125" style="767" customWidth="1"/>
    <col min="1291" max="1291" width="11.453125" style="767" customWidth="1"/>
    <col min="1292" max="1292" width="5.453125" style="767" customWidth="1"/>
    <col min="1293" max="1293" width="11.453125" style="767" customWidth="1"/>
    <col min="1294" max="1294" width="5.453125" style="767" customWidth="1"/>
    <col min="1295" max="1295" width="11.453125" style="767" customWidth="1"/>
    <col min="1296" max="1296" width="5.453125" style="767" customWidth="1"/>
    <col min="1297" max="1297" width="11.453125" style="767" customWidth="1"/>
    <col min="1298" max="1300" width="5.453125" style="767" customWidth="1"/>
    <col min="1301" max="1301" width="22.6328125" style="767" customWidth="1"/>
    <col min="1302" max="1302" width="5.90625" style="767" customWidth="1"/>
    <col min="1303" max="1303" width="3.453125" style="767" customWidth="1"/>
    <col min="1304" max="1304" width="11.54296875" style="767" bestFit="1" customWidth="1"/>
    <col min="1305" max="1305" width="5.54296875" style="767" customWidth="1"/>
    <col min="1306" max="1306" width="11" style="767" bestFit="1" customWidth="1"/>
    <col min="1307" max="1307" width="6.08984375" style="767" customWidth="1"/>
    <col min="1308" max="1542" width="9.08984375" style="767"/>
    <col min="1543" max="1543" width="3.6328125" style="767" customWidth="1"/>
    <col min="1544" max="1544" width="14.453125" style="767" customWidth="1"/>
    <col min="1545" max="1545" width="3.6328125" style="767" customWidth="1"/>
    <col min="1546" max="1546" width="22.6328125" style="767" customWidth="1"/>
    <col min="1547" max="1547" width="11.453125" style="767" customWidth="1"/>
    <col min="1548" max="1548" width="5.453125" style="767" customWidth="1"/>
    <col min="1549" max="1549" width="11.453125" style="767" customWidth="1"/>
    <col min="1550" max="1550" width="5.453125" style="767" customWidth="1"/>
    <col min="1551" max="1551" width="11.453125" style="767" customWidth="1"/>
    <col min="1552" max="1552" width="5.453125" style="767" customWidth="1"/>
    <col min="1553" max="1553" width="11.453125" style="767" customWidth="1"/>
    <col min="1554" max="1556" width="5.453125" style="767" customWidth="1"/>
    <col min="1557" max="1557" width="22.6328125" style="767" customWidth="1"/>
    <col min="1558" max="1558" width="5.90625" style="767" customWidth="1"/>
    <col min="1559" max="1559" width="3.453125" style="767" customWidth="1"/>
    <col min="1560" max="1560" width="11.54296875" style="767" bestFit="1" customWidth="1"/>
    <col min="1561" max="1561" width="5.54296875" style="767" customWidth="1"/>
    <col min="1562" max="1562" width="11" style="767" bestFit="1" customWidth="1"/>
    <col min="1563" max="1563" width="6.08984375" style="767" customWidth="1"/>
    <col min="1564" max="1798" width="9.08984375" style="767"/>
    <col min="1799" max="1799" width="3.6328125" style="767" customWidth="1"/>
    <col min="1800" max="1800" width="14.453125" style="767" customWidth="1"/>
    <col min="1801" max="1801" width="3.6328125" style="767" customWidth="1"/>
    <col min="1802" max="1802" width="22.6328125" style="767" customWidth="1"/>
    <col min="1803" max="1803" width="11.453125" style="767" customWidth="1"/>
    <col min="1804" max="1804" width="5.453125" style="767" customWidth="1"/>
    <col min="1805" max="1805" width="11.453125" style="767" customWidth="1"/>
    <col min="1806" max="1806" width="5.453125" style="767" customWidth="1"/>
    <col min="1807" max="1807" width="11.453125" style="767" customWidth="1"/>
    <col min="1808" max="1808" width="5.453125" style="767" customWidth="1"/>
    <col min="1809" max="1809" width="11.453125" style="767" customWidth="1"/>
    <col min="1810" max="1812" width="5.453125" style="767" customWidth="1"/>
    <col min="1813" max="1813" width="22.6328125" style="767" customWidth="1"/>
    <col min="1814" max="1814" width="5.90625" style="767" customWidth="1"/>
    <col min="1815" max="1815" width="3.453125" style="767" customWidth="1"/>
    <col min="1816" max="1816" width="11.54296875" style="767" bestFit="1" customWidth="1"/>
    <col min="1817" max="1817" width="5.54296875" style="767" customWidth="1"/>
    <col min="1818" max="1818" width="11" style="767" bestFit="1" customWidth="1"/>
    <col min="1819" max="1819" width="6.08984375" style="767" customWidth="1"/>
    <col min="1820" max="2054" width="9.08984375" style="767"/>
    <col min="2055" max="2055" width="3.6328125" style="767" customWidth="1"/>
    <col min="2056" max="2056" width="14.453125" style="767" customWidth="1"/>
    <col min="2057" max="2057" width="3.6328125" style="767" customWidth="1"/>
    <col min="2058" max="2058" width="22.6328125" style="767" customWidth="1"/>
    <col min="2059" max="2059" width="11.453125" style="767" customWidth="1"/>
    <col min="2060" max="2060" width="5.453125" style="767" customWidth="1"/>
    <col min="2061" max="2061" width="11.453125" style="767" customWidth="1"/>
    <col min="2062" max="2062" width="5.453125" style="767" customWidth="1"/>
    <col min="2063" max="2063" width="11.453125" style="767" customWidth="1"/>
    <col min="2064" max="2064" width="5.453125" style="767" customWidth="1"/>
    <col min="2065" max="2065" width="11.453125" style="767" customWidth="1"/>
    <col min="2066" max="2068" width="5.453125" style="767" customWidth="1"/>
    <col min="2069" max="2069" width="22.6328125" style="767" customWidth="1"/>
    <col min="2070" max="2070" width="5.90625" style="767" customWidth="1"/>
    <col min="2071" max="2071" width="3.453125" style="767" customWidth="1"/>
    <col min="2072" max="2072" width="11.54296875" style="767" bestFit="1" customWidth="1"/>
    <col min="2073" max="2073" width="5.54296875" style="767" customWidth="1"/>
    <col min="2074" max="2074" width="11" style="767" bestFit="1" customWidth="1"/>
    <col min="2075" max="2075" width="6.08984375" style="767" customWidth="1"/>
    <col min="2076" max="2310" width="9.08984375" style="767"/>
    <col min="2311" max="2311" width="3.6328125" style="767" customWidth="1"/>
    <col min="2312" max="2312" width="14.453125" style="767" customWidth="1"/>
    <col min="2313" max="2313" width="3.6328125" style="767" customWidth="1"/>
    <col min="2314" max="2314" width="22.6328125" style="767" customWidth="1"/>
    <col min="2315" max="2315" width="11.453125" style="767" customWidth="1"/>
    <col min="2316" max="2316" width="5.453125" style="767" customWidth="1"/>
    <col min="2317" max="2317" width="11.453125" style="767" customWidth="1"/>
    <col min="2318" max="2318" width="5.453125" style="767" customWidth="1"/>
    <col min="2319" max="2319" width="11.453125" style="767" customWidth="1"/>
    <col min="2320" max="2320" width="5.453125" style="767" customWidth="1"/>
    <col min="2321" max="2321" width="11.453125" style="767" customWidth="1"/>
    <col min="2322" max="2324" width="5.453125" style="767" customWidth="1"/>
    <col min="2325" max="2325" width="22.6328125" style="767" customWidth="1"/>
    <col min="2326" max="2326" width="5.90625" style="767" customWidth="1"/>
    <col min="2327" max="2327" width="3.453125" style="767" customWidth="1"/>
    <col min="2328" max="2328" width="11.54296875" style="767" bestFit="1" customWidth="1"/>
    <col min="2329" max="2329" width="5.54296875" style="767" customWidth="1"/>
    <col min="2330" max="2330" width="11" style="767" bestFit="1" customWidth="1"/>
    <col min="2331" max="2331" width="6.08984375" style="767" customWidth="1"/>
    <col min="2332" max="2566" width="9.08984375" style="767"/>
    <col min="2567" max="2567" width="3.6328125" style="767" customWidth="1"/>
    <col min="2568" max="2568" width="14.453125" style="767" customWidth="1"/>
    <col min="2569" max="2569" width="3.6328125" style="767" customWidth="1"/>
    <col min="2570" max="2570" width="22.6328125" style="767" customWidth="1"/>
    <col min="2571" max="2571" width="11.453125" style="767" customWidth="1"/>
    <col min="2572" max="2572" width="5.453125" style="767" customWidth="1"/>
    <col min="2573" max="2573" width="11.453125" style="767" customWidth="1"/>
    <col min="2574" max="2574" width="5.453125" style="767" customWidth="1"/>
    <col min="2575" max="2575" width="11.453125" style="767" customWidth="1"/>
    <col min="2576" max="2576" width="5.453125" style="767" customWidth="1"/>
    <col min="2577" max="2577" width="11.453125" style="767" customWidth="1"/>
    <col min="2578" max="2580" width="5.453125" style="767" customWidth="1"/>
    <col min="2581" max="2581" width="22.6328125" style="767" customWidth="1"/>
    <col min="2582" max="2582" width="5.90625" style="767" customWidth="1"/>
    <col min="2583" max="2583" width="3.453125" style="767" customWidth="1"/>
    <col min="2584" max="2584" width="11.54296875" style="767" bestFit="1" customWidth="1"/>
    <col min="2585" max="2585" width="5.54296875" style="767" customWidth="1"/>
    <col min="2586" max="2586" width="11" style="767" bestFit="1" customWidth="1"/>
    <col min="2587" max="2587" width="6.08984375" style="767" customWidth="1"/>
    <col min="2588" max="2822" width="9.08984375" style="767"/>
    <col min="2823" max="2823" width="3.6328125" style="767" customWidth="1"/>
    <col min="2824" max="2824" width="14.453125" style="767" customWidth="1"/>
    <col min="2825" max="2825" width="3.6328125" style="767" customWidth="1"/>
    <col min="2826" max="2826" width="22.6328125" style="767" customWidth="1"/>
    <col min="2827" max="2827" width="11.453125" style="767" customWidth="1"/>
    <col min="2828" max="2828" width="5.453125" style="767" customWidth="1"/>
    <col min="2829" max="2829" width="11.453125" style="767" customWidth="1"/>
    <col min="2830" max="2830" width="5.453125" style="767" customWidth="1"/>
    <col min="2831" max="2831" width="11.453125" style="767" customWidth="1"/>
    <col min="2832" max="2832" width="5.453125" style="767" customWidth="1"/>
    <col min="2833" max="2833" width="11.453125" style="767" customWidth="1"/>
    <col min="2834" max="2836" width="5.453125" style="767" customWidth="1"/>
    <col min="2837" max="2837" width="22.6328125" style="767" customWidth="1"/>
    <col min="2838" max="2838" width="5.90625" style="767" customWidth="1"/>
    <col min="2839" max="2839" width="3.453125" style="767" customWidth="1"/>
    <col min="2840" max="2840" width="11.54296875" style="767" bestFit="1" customWidth="1"/>
    <col min="2841" max="2841" width="5.54296875" style="767" customWidth="1"/>
    <col min="2842" max="2842" width="11" style="767" bestFit="1" customWidth="1"/>
    <col min="2843" max="2843" width="6.08984375" style="767" customWidth="1"/>
    <col min="2844" max="3078" width="9.08984375" style="767"/>
    <col min="3079" max="3079" width="3.6328125" style="767" customWidth="1"/>
    <col min="3080" max="3080" width="14.453125" style="767" customWidth="1"/>
    <col min="3081" max="3081" width="3.6328125" style="767" customWidth="1"/>
    <col min="3082" max="3082" width="22.6328125" style="767" customWidth="1"/>
    <col min="3083" max="3083" width="11.453125" style="767" customWidth="1"/>
    <col min="3084" max="3084" width="5.453125" style="767" customWidth="1"/>
    <col min="3085" max="3085" width="11.453125" style="767" customWidth="1"/>
    <col min="3086" max="3086" width="5.453125" style="767" customWidth="1"/>
    <col min="3087" max="3087" width="11.453125" style="767" customWidth="1"/>
    <col min="3088" max="3088" width="5.453125" style="767" customWidth="1"/>
    <col min="3089" max="3089" width="11.453125" style="767" customWidth="1"/>
    <col min="3090" max="3092" width="5.453125" style="767" customWidth="1"/>
    <col min="3093" max="3093" width="22.6328125" style="767" customWidth="1"/>
    <col min="3094" max="3094" width="5.90625" style="767" customWidth="1"/>
    <col min="3095" max="3095" width="3.453125" style="767" customWidth="1"/>
    <col min="3096" max="3096" width="11.54296875" style="767" bestFit="1" customWidth="1"/>
    <col min="3097" max="3097" width="5.54296875" style="767" customWidth="1"/>
    <col min="3098" max="3098" width="11" style="767" bestFit="1" customWidth="1"/>
    <col min="3099" max="3099" width="6.08984375" style="767" customWidth="1"/>
    <col min="3100" max="3334" width="9.08984375" style="767"/>
    <col min="3335" max="3335" width="3.6328125" style="767" customWidth="1"/>
    <col min="3336" max="3336" width="14.453125" style="767" customWidth="1"/>
    <col min="3337" max="3337" width="3.6328125" style="767" customWidth="1"/>
    <col min="3338" max="3338" width="22.6328125" style="767" customWidth="1"/>
    <col min="3339" max="3339" width="11.453125" style="767" customWidth="1"/>
    <col min="3340" max="3340" width="5.453125" style="767" customWidth="1"/>
    <col min="3341" max="3341" width="11.453125" style="767" customWidth="1"/>
    <col min="3342" max="3342" width="5.453125" style="767" customWidth="1"/>
    <col min="3343" max="3343" width="11.453125" style="767" customWidth="1"/>
    <col min="3344" max="3344" width="5.453125" style="767" customWidth="1"/>
    <col min="3345" max="3345" width="11.453125" style="767" customWidth="1"/>
    <col min="3346" max="3348" width="5.453125" style="767" customWidth="1"/>
    <col min="3349" max="3349" width="22.6328125" style="767" customWidth="1"/>
    <col min="3350" max="3350" width="5.90625" style="767" customWidth="1"/>
    <col min="3351" max="3351" width="3.453125" style="767" customWidth="1"/>
    <col min="3352" max="3352" width="11.54296875" style="767" bestFit="1" customWidth="1"/>
    <col min="3353" max="3353" width="5.54296875" style="767" customWidth="1"/>
    <col min="3354" max="3354" width="11" style="767" bestFit="1" customWidth="1"/>
    <col min="3355" max="3355" width="6.08984375" style="767" customWidth="1"/>
    <col min="3356" max="3590" width="9.08984375" style="767"/>
    <col min="3591" max="3591" width="3.6328125" style="767" customWidth="1"/>
    <col min="3592" max="3592" width="14.453125" style="767" customWidth="1"/>
    <col min="3593" max="3593" width="3.6328125" style="767" customWidth="1"/>
    <col min="3594" max="3594" width="22.6328125" style="767" customWidth="1"/>
    <col min="3595" max="3595" width="11.453125" style="767" customWidth="1"/>
    <col min="3596" max="3596" width="5.453125" style="767" customWidth="1"/>
    <col min="3597" max="3597" width="11.453125" style="767" customWidth="1"/>
    <col min="3598" max="3598" width="5.453125" style="767" customWidth="1"/>
    <col min="3599" max="3599" width="11.453125" style="767" customWidth="1"/>
    <col min="3600" max="3600" width="5.453125" style="767" customWidth="1"/>
    <col min="3601" max="3601" width="11.453125" style="767" customWidth="1"/>
    <col min="3602" max="3604" width="5.453125" style="767" customWidth="1"/>
    <col min="3605" max="3605" width="22.6328125" style="767" customWidth="1"/>
    <col min="3606" max="3606" width="5.90625" style="767" customWidth="1"/>
    <col min="3607" max="3607" width="3.453125" style="767" customWidth="1"/>
    <col min="3608" max="3608" width="11.54296875" style="767" bestFit="1" customWidth="1"/>
    <col min="3609" max="3609" width="5.54296875" style="767" customWidth="1"/>
    <col min="3610" max="3610" width="11" style="767" bestFit="1" customWidth="1"/>
    <col min="3611" max="3611" width="6.08984375" style="767" customWidth="1"/>
    <col min="3612" max="3846" width="9.08984375" style="767"/>
    <col min="3847" max="3847" width="3.6328125" style="767" customWidth="1"/>
    <col min="3848" max="3848" width="14.453125" style="767" customWidth="1"/>
    <col min="3849" max="3849" width="3.6328125" style="767" customWidth="1"/>
    <col min="3850" max="3850" width="22.6328125" style="767" customWidth="1"/>
    <col min="3851" max="3851" width="11.453125" style="767" customWidth="1"/>
    <col min="3852" max="3852" width="5.453125" style="767" customWidth="1"/>
    <col min="3853" max="3853" width="11.453125" style="767" customWidth="1"/>
    <col min="3854" max="3854" width="5.453125" style="767" customWidth="1"/>
    <col min="3855" max="3855" width="11.453125" style="767" customWidth="1"/>
    <col min="3856" max="3856" width="5.453125" style="767" customWidth="1"/>
    <col min="3857" max="3857" width="11.453125" style="767" customWidth="1"/>
    <col min="3858" max="3860" width="5.453125" style="767" customWidth="1"/>
    <col min="3861" max="3861" width="22.6328125" style="767" customWidth="1"/>
    <col min="3862" max="3862" width="5.90625" style="767" customWidth="1"/>
    <col min="3863" max="3863" width="3.453125" style="767" customWidth="1"/>
    <col min="3864" max="3864" width="11.54296875" style="767" bestFit="1" customWidth="1"/>
    <col min="3865" max="3865" width="5.54296875" style="767" customWidth="1"/>
    <col min="3866" max="3866" width="11" style="767" bestFit="1" customWidth="1"/>
    <col min="3867" max="3867" width="6.08984375" style="767" customWidth="1"/>
    <col min="3868" max="4102" width="9.08984375" style="767"/>
    <col min="4103" max="4103" width="3.6328125" style="767" customWidth="1"/>
    <col min="4104" max="4104" width="14.453125" style="767" customWidth="1"/>
    <col min="4105" max="4105" width="3.6328125" style="767" customWidth="1"/>
    <col min="4106" max="4106" width="22.6328125" style="767" customWidth="1"/>
    <col min="4107" max="4107" width="11.453125" style="767" customWidth="1"/>
    <col min="4108" max="4108" width="5.453125" style="767" customWidth="1"/>
    <col min="4109" max="4109" width="11.453125" style="767" customWidth="1"/>
    <col min="4110" max="4110" width="5.453125" style="767" customWidth="1"/>
    <col min="4111" max="4111" width="11.453125" style="767" customWidth="1"/>
    <col min="4112" max="4112" width="5.453125" style="767" customWidth="1"/>
    <col min="4113" max="4113" width="11.453125" style="767" customWidth="1"/>
    <col min="4114" max="4116" width="5.453125" style="767" customWidth="1"/>
    <col min="4117" max="4117" width="22.6328125" style="767" customWidth="1"/>
    <col min="4118" max="4118" width="5.90625" style="767" customWidth="1"/>
    <col min="4119" max="4119" width="3.453125" style="767" customWidth="1"/>
    <col min="4120" max="4120" width="11.54296875" style="767" bestFit="1" customWidth="1"/>
    <col min="4121" max="4121" width="5.54296875" style="767" customWidth="1"/>
    <col min="4122" max="4122" width="11" style="767" bestFit="1" customWidth="1"/>
    <col min="4123" max="4123" width="6.08984375" style="767" customWidth="1"/>
    <col min="4124" max="4358" width="9.08984375" style="767"/>
    <col min="4359" max="4359" width="3.6328125" style="767" customWidth="1"/>
    <col min="4360" max="4360" width="14.453125" style="767" customWidth="1"/>
    <col min="4361" max="4361" width="3.6328125" style="767" customWidth="1"/>
    <col min="4362" max="4362" width="22.6328125" style="767" customWidth="1"/>
    <col min="4363" max="4363" width="11.453125" style="767" customWidth="1"/>
    <col min="4364" max="4364" width="5.453125" style="767" customWidth="1"/>
    <col min="4365" max="4365" width="11.453125" style="767" customWidth="1"/>
    <col min="4366" max="4366" width="5.453125" style="767" customWidth="1"/>
    <col min="4367" max="4367" width="11.453125" style="767" customWidth="1"/>
    <col min="4368" max="4368" width="5.453125" style="767" customWidth="1"/>
    <col min="4369" max="4369" width="11.453125" style="767" customWidth="1"/>
    <col min="4370" max="4372" width="5.453125" style="767" customWidth="1"/>
    <col min="4373" max="4373" width="22.6328125" style="767" customWidth="1"/>
    <col min="4374" max="4374" width="5.90625" style="767" customWidth="1"/>
    <col min="4375" max="4375" width="3.453125" style="767" customWidth="1"/>
    <col min="4376" max="4376" width="11.54296875" style="767" bestFit="1" customWidth="1"/>
    <col min="4377" max="4377" width="5.54296875" style="767" customWidth="1"/>
    <col min="4378" max="4378" width="11" style="767" bestFit="1" customWidth="1"/>
    <col min="4379" max="4379" width="6.08984375" style="767" customWidth="1"/>
    <col min="4380" max="4614" width="9.08984375" style="767"/>
    <col min="4615" max="4615" width="3.6328125" style="767" customWidth="1"/>
    <col min="4616" max="4616" width="14.453125" style="767" customWidth="1"/>
    <col min="4617" max="4617" width="3.6328125" style="767" customWidth="1"/>
    <col min="4618" max="4618" width="22.6328125" style="767" customWidth="1"/>
    <col min="4619" max="4619" width="11.453125" style="767" customWidth="1"/>
    <col min="4620" max="4620" width="5.453125" style="767" customWidth="1"/>
    <col min="4621" max="4621" width="11.453125" style="767" customWidth="1"/>
    <col min="4622" max="4622" width="5.453125" style="767" customWidth="1"/>
    <col min="4623" max="4623" width="11.453125" style="767" customWidth="1"/>
    <col min="4624" max="4624" width="5.453125" style="767" customWidth="1"/>
    <col min="4625" max="4625" width="11.453125" style="767" customWidth="1"/>
    <col min="4626" max="4628" width="5.453125" style="767" customWidth="1"/>
    <col min="4629" max="4629" width="22.6328125" style="767" customWidth="1"/>
    <col min="4630" max="4630" width="5.90625" style="767" customWidth="1"/>
    <col min="4631" max="4631" width="3.453125" style="767" customWidth="1"/>
    <col min="4632" max="4632" width="11.54296875" style="767" bestFit="1" customWidth="1"/>
    <col min="4633" max="4633" width="5.54296875" style="767" customWidth="1"/>
    <col min="4634" max="4634" width="11" style="767" bestFit="1" customWidth="1"/>
    <col min="4635" max="4635" width="6.08984375" style="767" customWidth="1"/>
    <col min="4636" max="4870" width="9.08984375" style="767"/>
    <col min="4871" max="4871" width="3.6328125" style="767" customWidth="1"/>
    <col min="4872" max="4872" width="14.453125" style="767" customWidth="1"/>
    <col min="4873" max="4873" width="3.6328125" style="767" customWidth="1"/>
    <col min="4874" max="4874" width="22.6328125" style="767" customWidth="1"/>
    <col min="4875" max="4875" width="11.453125" style="767" customWidth="1"/>
    <col min="4876" max="4876" width="5.453125" style="767" customWidth="1"/>
    <col min="4877" max="4877" width="11.453125" style="767" customWidth="1"/>
    <col min="4878" max="4878" width="5.453125" style="767" customWidth="1"/>
    <col min="4879" max="4879" width="11.453125" style="767" customWidth="1"/>
    <col min="4880" max="4880" width="5.453125" style="767" customWidth="1"/>
    <col min="4881" max="4881" width="11.453125" style="767" customWidth="1"/>
    <col min="4882" max="4884" width="5.453125" style="767" customWidth="1"/>
    <col min="4885" max="4885" width="22.6328125" style="767" customWidth="1"/>
    <col min="4886" max="4886" width="5.90625" style="767" customWidth="1"/>
    <col min="4887" max="4887" width="3.453125" style="767" customWidth="1"/>
    <col min="4888" max="4888" width="11.54296875" style="767" bestFit="1" customWidth="1"/>
    <col min="4889" max="4889" width="5.54296875" style="767" customWidth="1"/>
    <col min="4890" max="4890" width="11" style="767" bestFit="1" customWidth="1"/>
    <col min="4891" max="4891" width="6.08984375" style="767" customWidth="1"/>
    <col min="4892" max="5126" width="9.08984375" style="767"/>
    <col min="5127" max="5127" width="3.6328125" style="767" customWidth="1"/>
    <col min="5128" max="5128" width="14.453125" style="767" customWidth="1"/>
    <col min="5129" max="5129" width="3.6328125" style="767" customWidth="1"/>
    <col min="5130" max="5130" width="22.6328125" style="767" customWidth="1"/>
    <col min="5131" max="5131" width="11.453125" style="767" customWidth="1"/>
    <col min="5132" max="5132" width="5.453125" style="767" customWidth="1"/>
    <col min="5133" max="5133" width="11.453125" style="767" customWidth="1"/>
    <col min="5134" max="5134" width="5.453125" style="767" customWidth="1"/>
    <col min="5135" max="5135" width="11.453125" style="767" customWidth="1"/>
    <col min="5136" max="5136" width="5.453125" style="767" customWidth="1"/>
    <col min="5137" max="5137" width="11.453125" style="767" customWidth="1"/>
    <col min="5138" max="5140" width="5.453125" style="767" customWidth="1"/>
    <col min="5141" max="5141" width="22.6328125" style="767" customWidth="1"/>
    <col min="5142" max="5142" width="5.90625" style="767" customWidth="1"/>
    <col min="5143" max="5143" width="3.453125" style="767" customWidth="1"/>
    <col min="5144" max="5144" width="11.54296875" style="767" bestFit="1" customWidth="1"/>
    <col min="5145" max="5145" width="5.54296875" style="767" customWidth="1"/>
    <col min="5146" max="5146" width="11" style="767" bestFit="1" customWidth="1"/>
    <col min="5147" max="5147" width="6.08984375" style="767" customWidth="1"/>
    <col min="5148" max="5382" width="9.08984375" style="767"/>
    <col min="5383" max="5383" width="3.6328125" style="767" customWidth="1"/>
    <col min="5384" max="5384" width="14.453125" style="767" customWidth="1"/>
    <col min="5385" max="5385" width="3.6328125" style="767" customWidth="1"/>
    <col min="5386" max="5386" width="22.6328125" style="767" customWidth="1"/>
    <col min="5387" max="5387" width="11.453125" style="767" customWidth="1"/>
    <col min="5388" max="5388" width="5.453125" style="767" customWidth="1"/>
    <col min="5389" max="5389" width="11.453125" style="767" customWidth="1"/>
    <col min="5390" max="5390" width="5.453125" style="767" customWidth="1"/>
    <col min="5391" max="5391" width="11.453125" style="767" customWidth="1"/>
    <col min="5392" max="5392" width="5.453125" style="767" customWidth="1"/>
    <col min="5393" max="5393" width="11.453125" style="767" customWidth="1"/>
    <col min="5394" max="5396" width="5.453125" style="767" customWidth="1"/>
    <col min="5397" max="5397" width="22.6328125" style="767" customWidth="1"/>
    <col min="5398" max="5398" width="5.90625" style="767" customWidth="1"/>
    <col min="5399" max="5399" width="3.453125" style="767" customWidth="1"/>
    <col min="5400" max="5400" width="11.54296875" style="767" bestFit="1" customWidth="1"/>
    <col min="5401" max="5401" width="5.54296875" style="767" customWidth="1"/>
    <col min="5402" max="5402" width="11" style="767" bestFit="1" customWidth="1"/>
    <col min="5403" max="5403" width="6.08984375" style="767" customWidth="1"/>
    <col min="5404" max="5638" width="9.08984375" style="767"/>
    <col min="5639" max="5639" width="3.6328125" style="767" customWidth="1"/>
    <col min="5640" max="5640" width="14.453125" style="767" customWidth="1"/>
    <col min="5641" max="5641" width="3.6328125" style="767" customWidth="1"/>
    <col min="5642" max="5642" width="22.6328125" style="767" customWidth="1"/>
    <col min="5643" max="5643" width="11.453125" style="767" customWidth="1"/>
    <col min="5644" max="5644" width="5.453125" style="767" customWidth="1"/>
    <col min="5645" max="5645" width="11.453125" style="767" customWidth="1"/>
    <col min="5646" max="5646" width="5.453125" style="767" customWidth="1"/>
    <col min="5647" max="5647" width="11.453125" style="767" customWidth="1"/>
    <col min="5648" max="5648" width="5.453125" style="767" customWidth="1"/>
    <col min="5649" max="5649" width="11.453125" style="767" customWidth="1"/>
    <col min="5650" max="5652" width="5.453125" style="767" customWidth="1"/>
    <col min="5653" max="5653" width="22.6328125" style="767" customWidth="1"/>
    <col min="5654" max="5654" width="5.90625" style="767" customWidth="1"/>
    <col min="5655" max="5655" width="3.453125" style="767" customWidth="1"/>
    <col min="5656" max="5656" width="11.54296875" style="767" bestFit="1" customWidth="1"/>
    <col min="5657" max="5657" width="5.54296875" style="767" customWidth="1"/>
    <col min="5658" max="5658" width="11" style="767" bestFit="1" customWidth="1"/>
    <col min="5659" max="5659" width="6.08984375" style="767" customWidth="1"/>
    <col min="5660" max="5894" width="9.08984375" style="767"/>
    <col min="5895" max="5895" width="3.6328125" style="767" customWidth="1"/>
    <col min="5896" max="5896" width="14.453125" style="767" customWidth="1"/>
    <col min="5897" max="5897" width="3.6328125" style="767" customWidth="1"/>
    <col min="5898" max="5898" width="22.6328125" style="767" customWidth="1"/>
    <col min="5899" max="5899" width="11.453125" style="767" customWidth="1"/>
    <col min="5900" max="5900" width="5.453125" style="767" customWidth="1"/>
    <col min="5901" max="5901" width="11.453125" style="767" customWidth="1"/>
    <col min="5902" max="5902" width="5.453125" style="767" customWidth="1"/>
    <col min="5903" max="5903" width="11.453125" style="767" customWidth="1"/>
    <col min="5904" max="5904" width="5.453125" style="767" customWidth="1"/>
    <col min="5905" max="5905" width="11.453125" style="767" customWidth="1"/>
    <col min="5906" max="5908" width="5.453125" style="767" customWidth="1"/>
    <col min="5909" max="5909" width="22.6328125" style="767" customWidth="1"/>
    <col min="5910" max="5910" width="5.90625" style="767" customWidth="1"/>
    <col min="5911" max="5911" width="3.453125" style="767" customWidth="1"/>
    <col min="5912" max="5912" width="11.54296875" style="767" bestFit="1" customWidth="1"/>
    <col min="5913" max="5913" width="5.54296875" style="767" customWidth="1"/>
    <col min="5914" max="5914" width="11" style="767" bestFit="1" customWidth="1"/>
    <col min="5915" max="5915" width="6.08984375" style="767" customWidth="1"/>
    <col min="5916" max="6150" width="9.08984375" style="767"/>
    <col min="6151" max="6151" width="3.6328125" style="767" customWidth="1"/>
    <col min="6152" max="6152" width="14.453125" style="767" customWidth="1"/>
    <col min="6153" max="6153" width="3.6328125" style="767" customWidth="1"/>
    <col min="6154" max="6154" width="22.6328125" style="767" customWidth="1"/>
    <col min="6155" max="6155" width="11.453125" style="767" customWidth="1"/>
    <col min="6156" max="6156" width="5.453125" style="767" customWidth="1"/>
    <col min="6157" max="6157" width="11.453125" style="767" customWidth="1"/>
    <col min="6158" max="6158" width="5.453125" style="767" customWidth="1"/>
    <col min="6159" max="6159" width="11.453125" style="767" customWidth="1"/>
    <col min="6160" max="6160" width="5.453125" style="767" customWidth="1"/>
    <col min="6161" max="6161" width="11.453125" style="767" customWidth="1"/>
    <col min="6162" max="6164" width="5.453125" style="767" customWidth="1"/>
    <col min="6165" max="6165" width="22.6328125" style="767" customWidth="1"/>
    <col min="6166" max="6166" width="5.90625" style="767" customWidth="1"/>
    <col min="6167" max="6167" width="3.453125" style="767" customWidth="1"/>
    <col min="6168" max="6168" width="11.54296875" style="767" bestFit="1" customWidth="1"/>
    <col min="6169" max="6169" width="5.54296875" style="767" customWidth="1"/>
    <col min="6170" max="6170" width="11" style="767" bestFit="1" customWidth="1"/>
    <col min="6171" max="6171" width="6.08984375" style="767" customWidth="1"/>
    <col min="6172" max="6406" width="9.08984375" style="767"/>
    <col min="6407" max="6407" width="3.6328125" style="767" customWidth="1"/>
    <col min="6408" max="6408" width="14.453125" style="767" customWidth="1"/>
    <col min="6409" max="6409" width="3.6328125" style="767" customWidth="1"/>
    <col min="6410" max="6410" width="22.6328125" style="767" customWidth="1"/>
    <col min="6411" max="6411" width="11.453125" style="767" customWidth="1"/>
    <col min="6412" max="6412" width="5.453125" style="767" customWidth="1"/>
    <col min="6413" max="6413" width="11.453125" style="767" customWidth="1"/>
    <col min="6414" max="6414" width="5.453125" style="767" customWidth="1"/>
    <col min="6415" max="6415" width="11.453125" style="767" customWidth="1"/>
    <col min="6416" max="6416" width="5.453125" style="767" customWidth="1"/>
    <col min="6417" max="6417" width="11.453125" style="767" customWidth="1"/>
    <col min="6418" max="6420" width="5.453125" style="767" customWidth="1"/>
    <col min="6421" max="6421" width="22.6328125" style="767" customWidth="1"/>
    <col min="6422" max="6422" width="5.90625" style="767" customWidth="1"/>
    <col min="6423" max="6423" width="3.453125" style="767" customWidth="1"/>
    <col min="6424" max="6424" width="11.54296875" style="767" bestFit="1" customWidth="1"/>
    <col min="6425" max="6425" width="5.54296875" style="767" customWidth="1"/>
    <col min="6426" max="6426" width="11" style="767" bestFit="1" customWidth="1"/>
    <col min="6427" max="6427" width="6.08984375" style="767" customWidth="1"/>
    <col min="6428" max="6662" width="9.08984375" style="767"/>
    <col min="6663" max="6663" width="3.6328125" style="767" customWidth="1"/>
    <col min="6664" max="6664" width="14.453125" style="767" customWidth="1"/>
    <col min="6665" max="6665" width="3.6328125" style="767" customWidth="1"/>
    <col min="6666" max="6666" width="22.6328125" style="767" customWidth="1"/>
    <col min="6667" max="6667" width="11.453125" style="767" customWidth="1"/>
    <col min="6668" max="6668" width="5.453125" style="767" customWidth="1"/>
    <col min="6669" max="6669" width="11.453125" style="767" customWidth="1"/>
    <col min="6670" max="6670" width="5.453125" style="767" customWidth="1"/>
    <col min="6671" max="6671" width="11.453125" style="767" customWidth="1"/>
    <col min="6672" max="6672" width="5.453125" style="767" customWidth="1"/>
    <col min="6673" max="6673" width="11.453125" style="767" customWidth="1"/>
    <col min="6674" max="6676" width="5.453125" style="767" customWidth="1"/>
    <col min="6677" max="6677" width="22.6328125" style="767" customWidth="1"/>
    <col min="6678" max="6678" width="5.90625" style="767" customWidth="1"/>
    <col min="6679" max="6679" width="3.453125" style="767" customWidth="1"/>
    <col min="6680" max="6680" width="11.54296875" style="767" bestFit="1" customWidth="1"/>
    <col min="6681" max="6681" width="5.54296875" style="767" customWidth="1"/>
    <col min="6682" max="6682" width="11" style="767" bestFit="1" customWidth="1"/>
    <col min="6683" max="6683" width="6.08984375" style="767" customWidth="1"/>
    <col min="6684" max="6918" width="9.08984375" style="767"/>
    <col min="6919" max="6919" width="3.6328125" style="767" customWidth="1"/>
    <col min="6920" max="6920" width="14.453125" style="767" customWidth="1"/>
    <col min="6921" max="6921" width="3.6328125" style="767" customWidth="1"/>
    <col min="6922" max="6922" width="22.6328125" style="767" customWidth="1"/>
    <col min="6923" max="6923" width="11.453125" style="767" customWidth="1"/>
    <col min="6924" max="6924" width="5.453125" style="767" customWidth="1"/>
    <col min="6925" max="6925" width="11.453125" style="767" customWidth="1"/>
    <col min="6926" max="6926" width="5.453125" style="767" customWidth="1"/>
    <col min="6927" max="6927" width="11.453125" style="767" customWidth="1"/>
    <col min="6928" max="6928" width="5.453125" style="767" customWidth="1"/>
    <col min="6929" max="6929" width="11.453125" style="767" customWidth="1"/>
    <col min="6930" max="6932" width="5.453125" style="767" customWidth="1"/>
    <col min="6933" max="6933" width="22.6328125" style="767" customWidth="1"/>
    <col min="6934" max="6934" width="5.90625" style="767" customWidth="1"/>
    <col min="6935" max="6935" width="3.453125" style="767" customWidth="1"/>
    <col min="6936" max="6936" width="11.54296875" style="767" bestFit="1" customWidth="1"/>
    <col min="6937" max="6937" width="5.54296875" style="767" customWidth="1"/>
    <col min="6938" max="6938" width="11" style="767" bestFit="1" customWidth="1"/>
    <col min="6939" max="6939" width="6.08984375" style="767" customWidth="1"/>
    <col min="6940" max="7174" width="9.08984375" style="767"/>
    <col min="7175" max="7175" width="3.6328125" style="767" customWidth="1"/>
    <col min="7176" max="7176" width="14.453125" style="767" customWidth="1"/>
    <col min="7177" max="7177" width="3.6328125" style="767" customWidth="1"/>
    <col min="7178" max="7178" width="22.6328125" style="767" customWidth="1"/>
    <col min="7179" max="7179" width="11.453125" style="767" customWidth="1"/>
    <col min="7180" max="7180" width="5.453125" style="767" customWidth="1"/>
    <col min="7181" max="7181" width="11.453125" style="767" customWidth="1"/>
    <col min="7182" max="7182" width="5.453125" style="767" customWidth="1"/>
    <col min="7183" max="7183" width="11.453125" style="767" customWidth="1"/>
    <col min="7184" max="7184" width="5.453125" style="767" customWidth="1"/>
    <col min="7185" max="7185" width="11.453125" style="767" customWidth="1"/>
    <col min="7186" max="7188" width="5.453125" style="767" customWidth="1"/>
    <col min="7189" max="7189" width="22.6328125" style="767" customWidth="1"/>
    <col min="7190" max="7190" width="5.90625" style="767" customWidth="1"/>
    <col min="7191" max="7191" width="3.453125" style="767" customWidth="1"/>
    <col min="7192" max="7192" width="11.54296875" style="767" bestFit="1" customWidth="1"/>
    <col min="7193" max="7193" width="5.54296875" style="767" customWidth="1"/>
    <col min="7194" max="7194" width="11" style="767" bestFit="1" customWidth="1"/>
    <col min="7195" max="7195" width="6.08984375" style="767" customWidth="1"/>
    <col min="7196" max="7430" width="9.08984375" style="767"/>
    <col min="7431" max="7431" width="3.6328125" style="767" customWidth="1"/>
    <col min="7432" max="7432" width="14.453125" style="767" customWidth="1"/>
    <col min="7433" max="7433" width="3.6328125" style="767" customWidth="1"/>
    <col min="7434" max="7434" width="22.6328125" style="767" customWidth="1"/>
    <col min="7435" max="7435" width="11.453125" style="767" customWidth="1"/>
    <col min="7436" max="7436" width="5.453125" style="767" customWidth="1"/>
    <col min="7437" max="7437" width="11.453125" style="767" customWidth="1"/>
    <col min="7438" max="7438" width="5.453125" style="767" customWidth="1"/>
    <col min="7439" max="7439" width="11.453125" style="767" customWidth="1"/>
    <col min="7440" max="7440" width="5.453125" style="767" customWidth="1"/>
    <col min="7441" max="7441" width="11.453125" style="767" customWidth="1"/>
    <col min="7442" max="7444" width="5.453125" style="767" customWidth="1"/>
    <col min="7445" max="7445" width="22.6328125" style="767" customWidth="1"/>
    <col min="7446" max="7446" width="5.90625" style="767" customWidth="1"/>
    <col min="7447" max="7447" width="3.453125" style="767" customWidth="1"/>
    <col min="7448" max="7448" width="11.54296875" style="767" bestFit="1" customWidth="1"/>
    <col min="7449" max="7449" width="5.54296875" style="767" customWidth="1"/>
    <col min="7450" max="7450" width="11" style="767" bestFit="1" customWidth="1"/>
    <col min="7451" max="7451" width="6.08984375" style="767" customWidth="1"/>
    <col min="7452" max="7686" width="9.08984375" style="767"/>
    <col min="7687" max="7687" width="3.6328125" style="767" customWidth="1"/>
    <col min="7688" max="7688" width="14.453125" style="767" customWidth="1"/>
    <col min="7689" max="7689" width="3.6328125" style="767" customWidth="1"/>
    <col min="7690" max="7690" width="22.6328125" style="767" customWidth="1"/>
    <col min="7691" max="7691" width="11.453125" style="767" customWidth="1"/>
    <col min="7692" max="7692" width="5.453125" style="767" customWidth="1"/>
    <col min="7693" max="7693" width="11.453125" style="767" customWidth="1"/>
    <col min="7694" max="7694" width="5.453125" style="767" customWidth="1"/>
    <col min="7695" max="7695" width="11.453125" style="767" customWidth="1"/>
    <col min="7696" max="7696" width="5.453125" style="767" customWidth="1"/>
    <col min="7697" max="7697" width="11.453125" style="767" customWidth="1"/>
    <col min="7698" max="7700" width="5.453125" style="767" customWidth="1"/>
    <col min="7701" max="7701" width="22.6328125" style="767" customWidth="1"/>
    <col min="7702" max="7702" width="5.90625" style="767" customWidth="1"/>
    <col min="7703" max="7703" width="3.453125" style="767" customWidth="1"/>
    <col min="7704" max="7704" width="11.54296875" style="767" bestFit="1" customWidth="1"/>
    <col min="7705" max="7705" width="5.54296875" style="767" customWidth="1"/>
    <col min="7706" max="7706" width="11" style="767" bestFit="1" customWidth="1"/>
    <col min="7707" max="7707" width="6.08984375" style="767" customWidth="1"/>
    <col min="7708" max="7942" width="9.08984375" style="767"/>
    <col min="7943" max="7943" width="3.6328125" style="767" customWidth="1"/>
    <col min="7944" max="7944" width="14.453125" style="767" customWidth="1"/>
    <col min="7945" max="7945" width="3.6328125" style="767" customWidth="1"/>
    <col min="7946" max="7946" width="22.6328125" style="767" customWidth="1"/>
    <col min="7947" max="7947" width="11.453125" style="767" customWidth="1"/>
    <col min="7948" max="7948" width="5.453125" style="767" customWidth="1"/>
    <col min="7949" max="7949" width="11.453125" style="767" customWidth="1"/>
    <col min="7950" max="7950" width="5.453125" style="767" customWidth="1"/>
    <col min="7951" max="7951" width="11.453125" style="767" customWidth="1"/>
    <col min="7952" max="7952" width="5.453125" style="767" customWidth="1"/>
    <col min="7953" max="7953" width="11.453125" style="767" customWidth="1"/>
    <col min="7954" max="7956" width="5.453125" style="767" customWidth="1"/>
    <col min="7957" max="7957" width="22.6328125" style="767" customWidth="1"/>
    <col min="7958" max="7958" width="5.90625" style="767" customWidth="1"/>
    <col min="7959" max="7959" width="3.453125" style="767" customWidth="1"/>
    <col min="7960" max="7960" width="11.54296875" style="767" bestFit="1" customWidth="1"/>
    <col min="7961" max="7961" width="5.54296875" style="767" customWidth="1"/>
    <col min="7962" max="7962" width="11" style="767" bestFit="1" customWidth="1"/>
    <col min="7963" max="7963" width="6.08984375" style="767" customWidth="1"/>
    <col min="7964" max="8198" width="9.08984375" style="767"/>
    <col min="8199" max="8199" width="3.6328125" style="767" customWidth="1"/>
    <col min="8200" max="8200" width="14.453125" style="767" customWidth="1"/>
    <col min="8201" max="8201" width="3.6328125" style="767" customWidth="1"/>
    <col min="8202" max="8202" width="22.6328125" style="767" customWidth="1"/>
    <col min="8203" max="8203" width="11.453125" style="767" customWidth="1"/>
    <col min="8204" max="8204" width="5.453125" style="767" customWidth="1"/>
    <col min="8205" max="8205" width="11.453125" style="767" customWidth="1"/>
    <col min="8206" max="8206" width="5.453125" style="767" customWidth="1"/>
    <col min="8207" max="8207" width="11.453125" style="767" customWidth="1"/>
    <col min="8208" max="8208" width="5.453125" style="767" customWidth="1"/>
    <col min="8209" max="8209" width="11.453125" style="767" customWidth="1"/>
    <col min="8210" max="8212" width="5.453125" style="767" customWidth="1"/>
    <col min="8213" max="8213" width="22.6328125" style="767" customWidth="1"/>
    <col min="8214" max="8214" width="5.90625" style="767" customWidth="1"/>
    <col min="8215" max="8215" width="3.453125" style="767" customWidth="1"/>
    <col min="8216" max="8216" width="11.54296875" style="767" bestFit="1" customWidth="1"/>
    <col min="8217" max="8217" width="5.54296875" style="767" customWidth="1"/>
    <col min="8218" max="8218" width="11" style="767" bestFit="1" customWidth="1"/>
    <col min="8219" max="8219" width="6.08984375" style="767" customWidth="1"/>
    <col min="8220" max="8454" width="9.08984375" style="767"/>
    <col min="8455" max="8455" width="3.6328125" style="767" customWidth="1"/>
    <col min="8456" max="8456" width="14.453125" style="767" customWidth="1"/>
    <col min="8457" max="8457" width="3.6328125" style="767" customWidth="1"/>
    <col min="8458" max="8458" width="22.6328125" style="767" customWidth="1"/>
    <col min="8459" max="8459" width="11.453125" style="767" customWidth="1"/>
    <col min="8460" max="8460" width="5.453125" style="767" customWidth="1"/>
    <col min="8461" max="8461" width="11.453125" style="767" customWidth="1"/>
    <col min="8462" max="8462" width="5.453125" style="767" customWidth="1"/>
    <col min="8463" max="8463" width="11.453125" style="767" customWidth="1"/>
    <col min="8464" max="8464" width="5.453125" style="767" customWidth="1"/>
    <col min="8465" max="8465" width="11.453125" style="767" customWidth="1"/>
    <col min="8466" max="8468" width="5.453125" style="767" customWidth="1"/>
    <col min="8469" max="8469" width="22.6328125" style="767" customWidth="1"/>
    <col min="8470" max="8470" width="5.90625" style="767" customWidth="1"/>
    <col min="8471" max="8471" width="3.453125" style="767" customWidth="1"/>
    <col min="8472" max="8472" width="11.54296875" style="767" bestFit="1" customWidth="1"/>
    <col min="8473" max="8473" width="5.54296875" style="767" customWidth="1"/>
    <col min="8474" max="8474" width="11" style="767" bestFit="1" customWidth="1"/>
    <col min="8475" max="8475" width="6.08984375" style="767" customWidth="1"/>
    <col min="8476" max="8710" width="9.08984375" style="767"/>
    <col min="8711" max="8711" width="3.6328125" style="767" customWidth="1"/>
    <col min="8712" max="8712" width="14.453125" style="767" customWidth="1"/>
    <col min="8713" max="8713" width="3.6328125" style="767" customWidth="1"/>
    <col min="8714" max="8714" width="22.6328125" style="767" customWidth="1"/>
    <col min="8715" max="8715" width="11.453125" style="767" customWidth="1"/>
    <col min="8716" max="8716" width="5.453125" style="767" customWidth="1"/>
    <col min="8717" max="8717" width="11.453125" style="767" customWidth="1"/>
    <col min="8718" max="8718" width="5.453125" style="767" customWidth="1"/>
    <col min="8719" max="8719" width="11.453125" style="767" customWidth="1"/>
    <col min="8720" max="8720" width="5.453125" style="767" customWidth="1"/>
    <col min="8721" max="8721" width="11.453125" style="767" customWidth="1"/>
    <col min="8722" max="8724" width="5.453125" style="767" customWidth="1"/>
    <col min="8725" max="8725" width="22.6328125" style="767" customWidth="1"/>
    <col min="8726" max="8726" width="5.90625" style="767" customWidth="1"/>
    <col min="8727" max="8727" width="3.453125" style="767" customWidth="1"/>
    <col min="8728" max="8728" width="11.54296875" style="767" bestFit="1" customWidth="1"/>
    <col min="8729" max="8729" width="5.54296875" style="767" customWidth="1"/>
    <col min="8730" max="8730" width="11" style="767" bestFit="1" customWidth="1"/>
    <col min="8731" max="8731" width="6.08984375" style="767" customWidth="1"/>
    <col min="8732" max="8966" width="9.08984375" style="767"/>
    <col min="8967" max="8967" width="3.6328125" style="767" customWidth="1"/>
    <col min="8968" max="8968" width="14.453125" style="767" customWidth="1"/>
    <col min="8969" max="8969" width="3.6328125" style="767" customWidth="1"/>
    <col min="8970" max="8970" width="22.6328125" style="767" customWidth="1"/>
    <col min="8971" max="8971" width="11.453125" style="767" customWidth="1"/>
    <col min="8972" max="8972" width="5.453125" style="767" customWidth="1"/>
    <col min="8973" max="8973" width="11.453125" style="767" customWidth="1"/>
    <col min="8974" max="8974" width="5.453125" style="767" customWidth="1"/>
    <col min="8975" max="8975" width="11.453125" style="767" customWidth="1"/>
    <col min="8976" max="8976" width="5.453125" style="767" customWidth="1"/>
    <col min="8977" max="8977" width="11.453125" style="767" customWidth="1"/>
    <col min="8978" max="8980" width="5.453125" style="767" customWidth="1"/>
    <col min="8981" max="8981" width="22.6328125" style="767" customWidth="1"/>
    <col min="8982" max="8982" width="5.90625" style="767" customWidth="1"/>
    <col min="8983" max="8983" width="3.453125" style="767" customWidth="1"/>
    <col min="8984" max="8984" width="11.54296875" style="767" bestFit="1" customWidth="1"/>
    <col min="8985" max="8985" width="5.54296875" style="767" customWidth="1"/>
    <col min="8986" max="8986" width="11" style="767" bestFit="1" customWidth="1"/>
    <col min="8987" max="8987" width="6.08984375" style="767" customWidth="1"/>
    <col min="8988" max="9222" width="9.08984375" style="767"/>
    <col min="9223" max="9223" width="3.6328125" style="767" customWidth="1"/>
    <col min="9224" max="9224" width="14.453125" style="767" customWidth="1"/>
    <col min="9225" max="9225" width="3.6328125" style="767" customWidth="1"/>
    <col min="9226" max="9226" width="22.6328125" style="767" customWidth="1"/>
    <col min="9227" max="9227" width="11.453125" style="767" customWidth="1"/>
    <col min="9228" max="9228" width="5.453125" style="767" customWidth="1"/>
    <col min="9229" max="9229" width="11.453125" style="767" customWidth="1"/>
    <col min="9230" max="9230" width="5.453125" style="767" customWidth="1"/>
    <col min="9231" max="9231" width="11.453125" style="767" customWidth="1"/>
    <col min="9232" max="9232" width="5.453125" style="767" customWidth="1"/>
    <col min="9233" max="9233" width="11.453125" style="767" customWidth="1"/>
    <col min="9234" max="9236" width="5.453125" style="767" customWidth="1"/>
    <col min="9237" max="9237" width="22.6328125" style="767" customWidth="1"/>
    <col min="9238" max="9238" width="5.90625" style="767" customWidth="1"/>
    <col min="9239" max="9239" width="3.453125" style="767" customWidth="1"/>
    <col min="9240" max="9240" width="11.54296875" style="767" bestFit="1" customWidth="1"/>
    <col min="9241" max="9241" width="5.54296875" style="767" customWidth="1"/>
    <col min="9242" max="9242" width="11" style="767" bestFit="1" customWidth="1"/>
    <col min="9243" max="9243" width="6.08984375" style="767" customWidth="1"/>
    <col min="9244" max="9478" width="9.08984375" style="767"/>
    <col min="9479" max="9479" width="3.6328125" style="767" customWidth="1"/>
    <col min="9480" max="9480" width="14.453125" style="767" customWidth="1"/>
    <col min="9481" max="9481" width="3.6328125" style="767" customWidth="1"/>
    <col min="9482" max="9482" width="22.6328125" style="767" customWidth="1"/>
    <col min="9483" max="9483" width="11.453125" style="767" customWidth="1"/>
    <col min="9484" max="9484" width="5.453125" style="767" customWidth="1"/>
    <col min="9485" max="9485" width="11.453125" style="767" customWidth="1"/>
    <col min="9486" max="9486" width="5.453125" style="767" customWidth="1"/>
    <col min="9487" max="9487" width="11.453125" style="767" customWidth="1"/>
    <col min="9488" max="9488" width="5.453125" style="767" customWidth="1"/>
    <col min="9489" max="9489" width="11.453125" style="767" customWidth="1"/>
    <col min="9490" max="9492" width="5.453125" style="767" customWidth="1"/>
    <col min="9493" max="9493" width="22.6328125" style="767" customWidth="1"/>
    <col min="9494" max="9494" width="5.90625" style="767" customWidth="1"/>
    <col min="9495" max="9495" width="3.453125" style="767" customWidth="1"/>
    <col min="9496" max="9496" width="11.54296875" style="767" bestFit="1" customWidth="1"/>
    <col min="9497" max="9497" width="5.54296875" style="767" customWidth="1"/>
    <col min="9498" max="9498" width="11" style="767" bestFit="1" customWidth="1"/>
    <col min="9499" max="9499" width="6.08984375" style="767" customWidth="1"/>
    <col min="9500" max="9734" width="9.08984375" style="767"/>
    <col min="9735" max="9735" width="3.6328125" style="767" customWidth="1"/>
    <col min="9736" max="9736" width="14.453125" style="767" customWidth="1"/>
    <col min="9737" max="9737" width="3.6328125" style="767" customWidth="1"/>
    <col min="9738" max="9738" width="22.6328125" style="767" customWidth="1"/>
    <col min="9739" max="9739" width="11.453125" style="767" customWidth="1"/>
    <col min="9740" max="9740" width="5.453125" style="767" customWidth="1"/>
    <col min="9741" max="9741" width="11.453125" style="767" customWidth="1"/>
    <col min="9742" max="9742" width="5.453125" style="767" customWidth="1"/>
    <col min="9743" max="9743" width="11.453125" style="767" customWidth="1"/>
    <col min="9744" max="9744" width="5.453125" style="767" customWidth="1"/>
    <col min="9745" max="9745" width="11.453125" style="767" customWidth="1"/>
    <col min="9746" max="9748" width="5.453125" style="767" customWidth="1"/>
    <col min="9749" max="9749" width="22.6328125" style="767" customWidth="1"/>
    <col min="9750" max="9750" width="5.90625" style="767" customWidth="1"/>
    <col min="9751" max="9751" width="3.453125" style="767" customWidth="1"/>
    <col min="9752" max="9752" width="11.54296875" style="767" bestFit="1" customWidth="1"/>
    <col min="9753" max="9753" width="5.54296875" style="767" customWidth="1"/>
    <col min="9754" max="9754" width="11" style="767" bestFit="1" customWidth="1"/>
    <col min="9755" max="9755" width="6.08984375" style="767" customWidth="1"/>
    <col min="9756" max="9990" width="9.08984375" style="767"/>
    <col min="9991" max="9991" width="3.6328125" style="767" customWidth="1"/>
    <col min="9992" max="9992" width="14.453125" style="767" customWidth="1"/>
    <col min="9993" max="9993" width="3.6328125" style="767" customWidth="1"/>
    <col min="9994" max="9994" width="22.6328125" style="767" customWidth="1"/>
    <col min="9995" max="9995" width="11.453125" style="767" customWidth="1"/>
    <col min="9996" max="9996" width="5.453125" style="767" customWidth="1"/>
    <col min="9997" max="9997" width="11.453125" style="767" customWidth="1"/>
    <col min="9998" max="9998" width="5.453125" style="767" customWidth="1"/>
    <col min="9999" max="9999" width="11.453125" style="767" customWidth="1"/>
    <col min="10000" max="10000" width="5.453125" style="767" customWidth="1"/>
    <col min="10001" max="10001" width="11.453125" style="767" customWidth="1"/>
    <col min="10002" max="10004" width="5.453125" style="767" customWidth="1"/>
    <col min="10005" max="10005" width="22.6328125" style="767" customWidth="1"/>
    <col min="10006" max="10006" width="5.90625" style="767" customWidth="1"/>
    <col min="10007" max="10007" width="3.453125" style="767" customWidth="1"/>
    <col min="10008" max="10008" width="11.54296875" style="767" bestFit="1" customWidth="1"/>
    <col min="10009" max="10009" width="5.54296875" style="767" customWidth="1"/>
    <col min="10010" max="10010" width="11" style="767" bestFit="1" customWidth="1"/>
    <col min="10011" max="10011" width="6.08984375" style="767" customWidth="1"/>
    <col min="10012" max="10246" width="9.08984375" style="767"/>
    <col min="10247" max="10247" width="3.6328125" style="767" customWidth="1"/>
    <col min="10248" max="10248" width="14.453125" style="767" customWidth="1"/>
    <col min="10249" max="10249" width="3.6328125" style="767" customWidth="1"/>
    <col min="10250" max="10250" width="22.6328125" style="767" customWidth="1"/>
    <col min="10251" max="10251" width="11.453125" style="767" customWidth="1"/>
    <col min="10252" max="10252" width="5.453125" style="767" customWidth="1"/>
    <col min="10253" max="10253" width="11.453125" style="767" customWidth="1"/>
    <col min="10254" max="10254" width="5.453125" style="767" customWidth="1"/>
    <col min="10255" max="10255" width="11.453125" style="767" customWidth="1"/>
    <col min="10256" max="10256" width="5.453125" style="767" customWidth="1"/>
    <col min="10257" max="10257" width="11.453125" style="767" customWidth="1"/>
    <col min="10258" max="10260" width="5.453125" style="767" customWidth="1"/>
    <col min="10261" max="10261" width="22.6328125" style="767" customWidth="1"/>
    <col min="10262" max="10262" width="5.90625" style="767" customWidth="1"/>
    <col min="10263" max="10263" width="3.453125" style="767" customWidth="1"/>
    <col min="10264" max="10264" width="11.54296875" style="767" bestFit="1" customWidth="1"/>
    <col min="10265" max="10265" width="5.54296875" style="767" customWidth="1"/>
    <col min="10266" max="10266" width="11" style="767" bestFit="1" customWidth="1"/>
    <col min="10267" max="10267" width="6.08984375" style="767" customWidth="1"/>
    <col min="10268" max="10502" width="9.08984375" style="767"/>
    <col min="10503" max="10503" width="3.6328125" style="767" customWidth="1"/>
    <col min="10504" max="10504" width="14.453125" style="767" customWidth="1"/>
    <col min="10505" max="10505" width="3.6328125" style="767" customWidth="1"/>
    <col min="10506" max="10506" width="22.6328125" style="767" customWidth="1"/>
    <col min="10507" max="10507" width="11.453125" style="767" customWidth="1"/>
    <col min="10508" max="10508" width="5.453125" style="767" customWidth="1"/>
    <col min="10509" max="10509" width="11.453125" style="767" customWidth="1"/>
    <col min="10510" max="10510" width="5.453125" style="767" customWidth="1"/>
    <col min="10511" max="10511" width="11.453125" style="767" customWidth="1"/>
    <col min="10512" max="10512" width="5.453125" style="767" customWidth="1"/>
    <col min="10513" max="10513" width="11.453125" style="767" customWidth="1"/>
    <col min="10514" max="10516" width="5.453125" style="767" customWidth="1"/>
    <col min="10517" max="10517" width="22.6328125" style="767" customWidth="1"/>
    <col min="10518" max="10518" width="5.90625" style="767" customWidth="1"/>
    <col min="10519" max="10519" width="3.453125" style="767" customWidth="1"/>
    <col min="10520" max="10520" width="11.54296875" style="767" bestFit="1" customWidth="1"/>
    <col min="10521" max="10521" width="5.54296875" style="767" customWidth="1"/>
    <col min="10522" max="10522" width="11" style="767" bestFit="1" customWidth="1"/>
    <col min="10523" max="10523" width="6.08984375" style="767" customWidth="1"/>
    <col min="10524" max="10758" width="9.08984375" style="767"/>
    <col min="10759" max="10759" width="3.6328125" style="767" customWidth="1"/>
    <col min="10760" max="10760" width="14.453125" style="767" customWidth="1"/>
    <col min="10761" max="10761" width="3.6328125" style="767" customWidth="1"/>
    <col min="10762" max="10762" width="22.6328125" style="767" customWidth="1"/>
    <col min="10763" max="10763" width="11.453125" style="767" customWidth="1"/>
    <col min="10764" max="10764" width="5.453125" style="767" customWidth="1"/>
    <col min="10765" max="10765" width="11.453125" style="767" customWidth="1"/>
    <col min="10766" max="10766" width="5.453125" style="767" customWidth="1"/>
    <col min="10767" max="10767" width="11.453125" style="767" customWidth="1"/>
    <col min="10768" max="10768" width="5.453125" style="767" customWidth="1"/>
    <col min="10769" max="10769" width="11.453125" style="767" customWidth="1"/>
    <col min="10770" max="10772" width="5.453125" style="767" customWidth="1"/>
    <col min="10773" max="10773" width="22.6328125" style="767" customWidth="1"/>
    <col min="10774" max="10774" width="5.90625" style="767" customWidth="1"/>
    <col min="10775" max="10775" width="3.453125" style="767" customWidth="1"/>
    <col min="10776" max="10776" width="11.54296875" style="767" bestFit="1" customWidth="1"/>
    <col min="10777" max="10777" width="5.54296875" style="767" customWidth="1"/>
    <col min="10778" max="10778" width="11" style="767" bestFit="1" customWidth="1"/>
    <col min="10779" max="10779" width="6.08984375" style="767" customWidth="1"/>
    <col min="10780" max="11014" width="9.08984375" style="767"/>
    <col min="11015" max="11015" width="3.6328125" style="767" customWidth="1"/>
    <col min="11016" max="11016" width="14.453125" style="767" customWidth="1"/>
    <col min="11017" max="11017" width="3.6328125" style="767" customWidth="1"/>
    <col min="11018" max="11018" width="22.6328125" style="767" customWidth="1"/>
    <col min="11019" max="11019" width="11.453125" style="767" customWidth="1"/>
    <col min="11020" max="11020" width="5.453125" style="767" customWidth="1"/>
    <col min="11021" max="11021" width="11.453125" style="767" customWidth="1"/>
    <col min="11022" max="11022" width="5.453125" style="767" customWidth="1"/>
    <col min="11023" max="11023" width="11.453125" style="767" customWidth="1"/>
    <col min="11024" max="11024" width="5.453125" style="767" customWidth="1"/>
    <col min="11025" max="11025" width="11.453125" style="767" customWidth="1"/>
    <col min="11026" max="11028" width="5.453125" style="767" customWidth="1"/>
    <col min="11029" max="11029" width="22.6328125" style="767" customWidth="1"/>
    <col min="11030" max="11030" width="5.90625" style="767" customWidth="1"/>
    <col min="11031" max="11031" width="3.453125" style="767" customWidth="1"/>
    <col min="11032" max="11032" width="11.54296875" style="767" bestFit="1" customWidth="1"/>
    <col min="11033" max="11033" width="5.54296875" style="767" customWidth="1"/>
    <col min="11034" max="11034" width="11" style="767" bestFit="1" customWidth="1"/>
    <col min="11035" max="11035" width="6.08984375" style="767" customWidth="1"/>
    <col min="11036" max="11270" width="9.08984375" style="767"/>
    <col min="11271" max="11271" width="3.6328125" style="767" customWidth="1"/>
    <col min="11272" max="11272" width="14.453125" style="767" customWidth="1"/>
    <col min="11273" max="11273" width="3.6328125" style="767" customWidth="1"/>
    <col min="11274" max="11274" width="22.6328125" style="767" customWidth="1"/>
    <col min="11275" max="11275" width="11.453125" style="767" customWidth="1"/>
    <col min="11276" max="11276" width="5.453125" style="767" customWidth="1"/>
    <col min="11277" max="11277" width="11.453125" style="767" customWidth="1"/>
    <col min="11278" max="11278" width="5.453125" style="767" customWidth="1"/>
    <col min="11279" max="11279" width="11.453125" style="767" customWidth="1"/>
    <col min="11280" max="11280" width="5.453125" style="767" customWidth="1"/>
    <col min="11281" max="11281" width="11.453125" style="767" customWidth="1"/>
    <col min="11282" max="11284" width="5.453125" style="767" customWidth="1"/>
    <col min="11285" max="11285" width="22.6328125" style="767" customWidth="1"/>
    <col min="11286" max="11286" width="5.90625" style="767" customWidth="1"/>
    <col min="11287" max="11287" width="3.453125" style="767" customWidth="1"/>
    <col min="11288" max="11288" width="11.54296875" style="767" bestFit="1" customWidth="1"/>
    <col min="11289" max="11289" width="5.54296875" style="767" customWidth="1"/>
    <col min="11290" max="11290" width="11" style="767" bestFit="1" customWidth="1"/>
    <col min="11291" max="11291" width="6.08984375" style="767" customWidth="1"/>
    <col min="11292" max="11526" width="9.08984375" style="767"/>
    <col min="11527" max="11527" width="3.6328125" style="767" customWidth="1"/>
    <col min="11528" max="11528" width="14.453125" style="767" customWidth="1"/>
    <col min="11529" max="11529" width="3.6328125" style="767" customWidth="1"/>
    <col min="11530" max="11530" width="22.6328125" style="767" customWidth="1"/>
    <col min="11531" max="11531" width="11.453125" style="767" customWidth="1"/>
    <col min="11532" max="11532" width="5.453125" style="767" customWidth="1"/>
    <col min="11533" max="11533" width="11.453125" style="767" customWidth="1"/>
    <col min="11534" max="11534" width="5.453125" style="767" customWidth="1"/>
    <col min="11535" max="11535" width="11.453125" style="767" customWidth="1"/>
    <col min="11536" max="11536" width="5.453125" style="767" customWidth="1"/>
    <col min="11537" max="11537" width="11.453125" style="767" customWidth="1"/>
    <col min="11538" max="11540" width="5.453125" style="767" customWidth="1"/>
    <col min="11541" max="11541" width="22.6328125" style="767" customWidth="1"/>
    <col min="11542" max="11542" width="5.90625" style="767" customWidth="1"/>
    <col min="11543" max="11543" width="3.453125" style="767" customWidth="1"/>
    <col min="11544" max="11544" width="11.54296875" style="767" bestFit="1" customWidth="1"/>
    <col min="11545" max="11545" width="5.54296875" style="767" customWidth="1"/>
    <col min="11546" max="11546" width="11" style="767" bestFit="1" customWidth="1"/>
    <col min="11547" max="11547" width="6.08984375" style="767" customWidth="1"/>
    <col min="11548" max="11782" width="9.08984375" style="767"/>
    <col min="11783" max="11783" width="3.6328125" style="767" customWidth="1"/>
    <col min="11784" max="11784" width="14.453125" style="767" customWidth="1"/>
    <col min="11785" max="11785" width="3.6328125" style="767" customWidth="1"/>
    <col min="11786" max="11786" width="22.6328125" style="767" customWidth="1"/>
    <col min="11787" max="11787" width="11.453125" style="767" customWidth="1"/>
    <col min="11788" max="11788" width="5.453125" style="767" customWidth="1"/>
    <col min="11789" max="11789" width="11.453125" style="767" customWidth="1"/>
    <col min="11790" max="11790" width="5.453125" style="767" customWidth="1"/>
    <col min="11791" max="11791" width="11.453125" style="767" customWidth="1"/>
    <col min="11792" max="11792" width="5.453125" style="767" customWidth="1"/>
    <col min="11793" max="11793" width="11.453125" style="767" customWidth="1"/>
    <col min="11794" max="11796" width="5.453125" style="767" customWidth="1"/>
    <col min="11797" max="11797" width="22.6328125" style="767" customWidth="1"/>
    <col min="11798" max="11798" width="5.90625" style="767" customWidth="1"/>
    <col min="11799" max="11799" width="3.453125" style="767" customWidth="1"/>
    <col min="11800" max="11800" width="11.54296875" style="767" bestFit="1" customWidth="1"/>
    <col min="11801" max="11801" width="5.54296875" style="767" customWidth="1"/>
    <col min="11802" max="11802" width="11" style="767" bestFit="1" customWidth="1"/>
    <col min="11803" max="11803" width="6.08984375" style="767" customWidth="1"/>
    <col min="11804" max="12038" width="9.08984375" style="767"/>
    <col min="12039" max="12039" width="3.6328125" style="767" customWidth="1"/>
    <col min="12040" max="12040" width="14.453125" style="767" customWidth="1"/>
    <col min="12041" max="12041" width="3.6328125" style="767" customWidth="1"/>
    <col min="12042" max="12042" width="22.6328125" style="767" customWidth="1"/>
    <col min="12043" max="12043" width="11.453125" style="767" customWidth="1"/>
    <col min="12044" max="12044" width="5.453125" style="767" customWidth="1"/>
    <col min="12045" max="12045" width="11.453125" style="767" customWidth="1"/>
    <col min="12046" max="12046" width="5.453125" style="767" customWidth="1"/>
    <col min="12047" max="12047" width="11.453125" style="767" customWidth="1"/>
    <col min="12048" max="12048" width="5.453125" style="767" customWidth="1"/>
    <col min="12049" max="12049" width="11.453125" style="767" customWidth="1"/>
    <col min="12050" max="12052" width="5.453125" style="767" customWidth="1"/>
    <col min="12053" max="12053" width="22.6328125" style="767" customWidth="1"/>
    <col min="12054" max="12054" width="5.90625" style="767" customWidth="1"/>
    <col min="12055" max="12055" width="3.453125" style="767" customWidth="1"/>
    <col min="12056" max="12056" width="11.54296875" style="767" bestFit="1" customWidth="1"/>
    <col min="12057" max="12057" width="5.54296875" style="767" customWidth="1"/>
    <col min="12058" max="12058" width="11" style="767" bestFit="1" customWidth="1"/>
    <col min="12059" max="12059" width="6.08984375" style="767" customWidth="1"/>
    <col min="12060" max="12294" width="9.08984375" style="767"/>
    <col min="12295" max="12295" width="3.6328125" style="767" customWidth="1"/>
    <col min="12296" max="12296" width="14.453125" style="767" customWidth="1"/>
    <col min="12297" max="12297" width="3.6328125" style="767" customWidth="1"/>
    <col min="12298" max="12298" width="22.6328125" style="767" customWidth="1"/>
    <col min="12299" max="12299" width="11.453125" style="767" customWidth="1"/>
    <col min="12300" max="12300" width="5.453125" style="767" customWidth="1"/>
    <col min="12301" max="12301" width="11.453125" style="767" customWidth="1"/>
    <col min="12302" max="12302" width="5.453125" style="767" customWidth="1"/>
    <col min="12303" max="12303" width="11.453125" style="767" customWidth="1"/>
    <col min="12304" max="12304" width="5.453125" style="767" customWidth="1"/>
    <col min="12305" max="12305" width="11.453125" style="767" customWidth="1"/>
    <col min="12306" max="12308" width="5.453125" style="767" customWidth="1"/>
    <col min="12309" max="12309" width="22.6328125" style="767" customWidth="1"/>
    <col min="12310" max="12310" width="5.90625" style="767" customWidth="1"/>
    <col min="12311" max="12311" width="3.453125" style="767" customWidth="1"/>
    <col min="12312" max="12312" width="11.54296875" style="767" bestFit="1" customWidth="1"/>
    <col min="12313" max="12313" width="5.54296875" style="767" customWidth="1"/>
    <col min="12314" max="12314" width="11" style="767" bestFit="1" customWidth="1"/>
    <col min="12315" max="12315" width="6.08984375" style="767" customWidth="1"/>
    <col min="12316" max="12550" width="9.08984375" style="767"/>
    <col min="12551" max="12551" width="3.6328125" style="767" customWidth="1"/>
    <col min="12552" max="12552" width="14.453125" style="767" customWidth="1"/>
    <col min="12553" max="12553" width="3.6328125" style="767" customWidth="1"/>
    <col min="12554" max="12554" width="22.6328125" style="767" customWidth="1"/>
    <col min="12555" max="12555" width="11.453125" style="767" customWidth="1"/>
    <col min="12556" max="12556" width="5.453125" style="767" customWidth="1"/>
    <col min="12557" max="12557" width="11.453125" style="767" customWidth="1"/>
    <col min="12558" max="12558" width="5.453125" style="767" customWidth="1"/>
    <col min="12559" max="12559" width="11.453125" style="767" customWidth="1"/>
    <col min="12560" max="12560" width="5.453125" style="767" customWidth="1"/>
    <col min="12561" max="12561" width="11.453125" style="767" customWidth="1"/>
    <col min="12562" max="12564" width="5.453125" style="767" customWidth="1"/>
    <col min="12565" max="12565" width="22.6328125" style="767" customWidth="1"/>
    <col min="12566" max="12566" width="5.90625" style="767" customWidth="1"/>
    <col min="12567" max="12567" width="3.453125" style="767" customWidth="1"/>
    <col min="12568" max="12568" width="11.54296875" style="767" bestFit="1" customWidth="1"/>
    <col min="12569" max="12569" width="5.54296875" style="767" customWidth="1"/>
    <col min="12570" max="12570" width="11" style="767" bestFit="1" customWidth="1"/>
    <col min="12571" max="12571" width="6.08984375" style="767" customWidth="1"/>
    <col min="12572" max="12806" width="9.08984375" style="767"/>
    <col min="12807" max="12807" width="3.6328125" style="767" customWidth="1"/>
    <col min="12808" max="12808" width="14.453125" style="767" customWidth="1"/>
    <col min="12809" max="12809" width="3.6328125" style="767" customWidth="1"/>
    <col min="12810" max="12810" width="22.6328125" style="767" customWidth="1"/>
    <col min="12811" max="12811" width="11.453125" style="767" customWidth="1"/>
    <col min="12812" max="12812" width="5.453125" style="767" customWidth="1"/>
    <col min="12813" max="12813" width="11.453125" style="767" customWidth="1"/>
    <col min="12814" max="12814" width="5.453125" style="767" customWidth="1"/>
    <col min="12815" max="12815" width="11.453125" style="767" customWidth="1"/>
    <col min="12816" max="12816" width="5.453125" style="767" customWidth="1"/>
    <col min="12817" max="12817" width="11.453125" style="767" customWidth="1"/>
    <col min="12818" max="12820" width="5.453125" style="767" customWidth="1"/>
    <col min="12821" max="12821" width="22.6328125" style="767" customWidth="1"/>
    <col min="12822" max="12822" width="5.90625" style="767" customWidth="1"/>
    <col min="12823" max="12823" width="3.453125" style="767" customWidth="1"/>
    <col min="12824" max="12824" width="11.54296875" style="767" bestFit="1" customWidth="1"/>
    <col min="12825" max="12825" width="5.54296875" style="767" customWidth="1"/>
    <col min="12826" max="12826" width="11" style="767" bestFit="1" customWidth="1"/>
    <col min="12827" max="12827" width="6.08984375" style="767" customWidth="1"/>
    <col min="12828" max="13062" width="9.08984375" style="767"/>
    <col min="13063" max="13063" width="3.6328125" style="767" customWidth="1"/>
    <col min="13064" max="13064" width="14.453125" style="767" customWidth="1"/>
    <col min="13065" max="13065" width="3.6328125" style="767" customWidth="1"/>
    <col min="13066" max="13066" width="22.6328125" style="767" customWidth="1"/>
    <col min="13067" max="13067" width="11.453125" style="767" customWidth="1"/>
    <col min="13068" max="13068" width="5.453125" style="767" customWidth="1"/>
    <col min="13069" max="13069" width="11.453125" style="767" customWidth="1"/>
    <col min="13070" max="13070" width="5.453125" style="767" customWidth="1"/>
    <col min="13071" max="13071" width="11.453125" style="767" customWidth="1"/>
    <col min="13072" max="13072" width="5.453125" style="767" customWidth="1"/>
    <col min="13073" max="13073" width="11.453125" style="767" customWidth="1"/>
    <col min="13074" max="13076" width="5.453125" style="767" customWidth="1"/>
    <col min="13077" max="13077" width="22.6328125" style="767" customWidth="1"/>
    <col min="13078" max="13078" width="5.90625" style="767" customWidth="1"/>
    <col min="13079" max="13079" width="3.453125" style="767" customWidth="1"/>
    <col min="13080" max="13080" width="11.54296875" style="767" bestFit="1" customWidth="1"/>
    <col min="13081" max="13081" width="5.54296875" style="767" customWidth="1"/>
    <col min="13082" max="13082" width="11" style="767" bestFit="1" customWidth="1"/>
    <col min="13083" max="13083" width="6.08984375" style="767" customWidth="1"/>
    <col min="13084" max="13318" width="9.08984375" style="767"/>
    <col min="13319" max="13319" width="3.6328125" style="767" customWidth="1"/>
    <col min="13320" max="13320" width="14.453125" style="767" customWidth="1"/>
    <col min="13321" max="13321" width="3.6328125" style="767" customWidth="1"/>
    <col min="13322" max="13322" width="22.6328125" style="767" customWidth="1"/>
    <col min="13323" max="13323" width="11.453125" style="767" customWidth="1"/>
    <col min="13324" max="13324" width="5.453125" style="767" customWidth="1"/>
    <col min="13325" max="13325" width="11.453125" style="767" customWidth="1"/>
    <col min="13326" max="13326" width="5.453125" style="767" customWidth="1"/>
    <col min="13327" max="13327" width="11.453125" style="767" customWidth="1"/>
    <col min="13328" max="13328" width="5.453125" style="767" customWidth="1"/>
    <col min="13329" max="13329" width="11.453125" style="767" customWidth="1"/>
    <col min="13330" max="13332" width="5.453125" style="767" customWidth="1"/>
    <col min="13333" max="13333" width="22.6328125" style="767" customWidth="1"/>
    <col min="13334" max="13334" width="5.90625" style="767" customWidth="1"/>
    <col min="13335" max="13335" width="3.453125" style="767" customWidth="1"/>
    <col min="13336" max="13336" width="11.54296875" style="767" bestFit="1" customWidth="1"/>
    <col min="13337" max="13337" width="5.54296875" style="767" customWidth="1"/>
    <col min="13338" max="13338" width="11" style="767" bestFit="1" customWidth="1"/>
    <col min="13339" max="13339" width="6.08984375" style="767" customWidth="1"/>
    <col min="13340" max="13574" width="9.08984375" style="767"/>
    <col min="13575" max="13575" width="3.6328125" style="767" customWidth="1"/>
    <col min="13576" max="13576" width="14.453125" style="767" customWidth="1"/>
    <col min="13577" max="13577" width="3.6328125" style="767" customWidth="1"/>
    <col min="13578" max="13578" width="22.6328125" style="767" customWidth="1"/>
    <col min="13579" max="13579" width="11.453125" style="767" customWidth="1"/>
    <col min="13580" max="13580" width="5.453125" style="767" customWidth="1"/>
    <col min="13581" max="13581" width="11.453125" style="767" customWidth="1"/>
    <col min="13582" max="13582" width="5.453125" style="767" customWidth="1"/>
    <col min="13583" max="13583" width="11.453125" style="767" customWidth="1"/>
    <col min="13584" max="13584" width="5.453125" style="767" customWidth="1"/>
    <col min="13585" max="13585" width="11.453125" style="767" customWidth="1"/>
    <col min="13586" max="13588" width="5.453125" style="767" customWidth="1"/>
    <col min="13589" max="13589" width="22.6328125" style="767" customWidth="1"/>
    <col min="13590" max="13590" width="5.90625" style="767" customWidth="1"/>
    <col min="13591" max="13591" width="3.453125" style="767" customWidth="1"/>
    <col min="13592" max="13592" width="11.54296875" style="767" bestFit="1" customWidth="1"/>
    <col min="13593" max="13593" width="5.54296875" style="767" customWidth="1"/>
    <col min="13594" max="13594" width="11" style="767" bestFit="1" customWidth="1"/>
    <col min="13595" max="13595" width="6.08984375" style="767" customWidth="1"/>
    <col min="13596" max="13830" width="9.08984375" style="767"/>
    <col min="13831" max="13831" width="3.6328125" style="767" customWidth="1"/>
    <col min="13832" max="13832" width="14.453125" style="767" customWidth="1"/>
    <col min="13833" max="13833" width="3.6328125" style="767" customWidth="1"/>
    <col min="13834" max="13834" width="22.6328125" style="767" customWidth="1"/>
    <col min="13835" max="13835" width="11.453125" style="767" customWidth="1"/>
    <col min="13836" max="13836" width="5.453125" style="767" customWidth="1"/>
    <col min="13837" max="13837" width="11.453125" style="767" customWidth="1"/>
    <col min="13838" max="13838" width="5.453125" style="767" customWidth="1"/>
    <col min="13839" max="13839" width="11.453125" style="767" customWidth="1"/>
    <col min="13840" max="13840" width="5.453125" style="767" customWidth="1"/>
    <col min="13841" max="13841" width="11.453125" style="767" customWidth="1"/>
    <col min="13842" max="13844" width="5.453125" style="767" customWidth="1"/>
    <col min="13845" max="13845" width="22.6328125" style="767" customWidth="1"/>
    <col min="13846" max="13846" width="5.90625" style="767" customWidth="1"/>
    <col min="13847" max="13847" width="3.453125" style="767" customWidth="1"/>
    <col min="13848" max="13848" width="11.54296875" style="767" bestFit="1" customWidth="1"/>
    <col min="13849" max="13849" width="5.54296875" style="767" customWidth="1"/>
    <col min="13850" max="13850" width="11" style="767" bestFit="1" customWidth="1"/>
    <col min="13851" max="13851" width="6.08984375" style="767" customWidth="1"/>
    <col min="13852" max="14086" width="9.08984375" style="767"/>
    <col min="14087" max="14087" width="3.6328125" style="767" customWidth="1"/>
    <col min="14088" max="14088" width="14.453125" style="767" customWidth="1"/>
    <col min="14089" max="14089" width="3.6328125" style="767" customWidth="1"/>
    <col min="14090" max="14090" width="22.6328125" style="767" customWidth="1"/>
    <col min="14091" max="14091" width="11.453125" style="767" customWidth="1"/>
    <col min="14092" max="14092" width="5.453125" style="767" customWidth="1"/>
    <col min="14093" max="14093" width="11.453125" style="767" customWidth="1"/>
    <col min="14094" max="14094" width="5.453125" style="767" customWidth="1"/>
    <col min="14095" max="14095" width="11.453125" style="767" customWidth="1"/>
    <col min="14096" max="14096" width="5.453125" style="767" customWidth="1"/>
    <col min="14097" max="14097" width="11.453125" style="767" customWidth="1"/>
    <col min="14098" max="14100" width="5.453125" style="767" customWidth="1"/>
    <col min="14101" max="14101" width="22.6328125" style="767" customWidth="1"/>
    <col min="14102" max="14102" width="5.90625" style="767" customWidth="1"/>
    <col min="14103" max="14103" width="3.453125" style="767" customWidth="1"/>
    <col min="14104" max="14104" width="11.54296875" style="767" bestFit="1" customWidth="1"/>
    <col min="14105" max="14105" width="5.54296875" style="767" customWidth="1"/>
    <col min="14106" max="14106" width="11" style="767" bestFit="1" customWidth="1"/>
    <col min="14107" max="14107" width="6.08984375" style="767" customWidth="1"/>
    <col min="14108" max="14342" width="9.08984375" style="767"/>
    <col min="14343" max="14343" width="3.6328125" style="767" customWidth="1"/>
    <col min="14344" max="14344" width="14.453125" style="767" customWidth="1"/>
    <col min="14345" max="14345" width="3.6328125" style="767" customWidth="1"/>
    <col min="14346" max="14346" width="22.6328125" style="767" customWidth="1"/>
    <col min="14347" max="14347" width="11.453125" style="767" customWidth="1"/>
    <col min="14348" max="14348" width="5.453125" style="767" customWidth="1"/>
    <col min="14349" max="14349" width="11.453125" style="767" customWidth="1"/>
    <col min="14350" max="14350" width="5.453125" style="767" customWidth="1"/>
    <col min="14351" max="14351" width="11.453125" style="767" customWidth="1"/>
    <col min="14352" max="14352" width="5.453125" style="767" customWidth="1"/>
    <col min="14353" max="14353" width="11.453125" style="767" customWidth="1"/>
    <col min="14354" max="14356" width="5.453125" style="767" customWidth="1"/>
    <col min="14357" max="14357" width="22.6328125" style="767" customWidth="1"/>
    <col min="14358" max="14358" width="5.90625" style="767" customWidth="1"/>
    <col min="14359" max="14359" width="3.453125" style="767" customWidth="1"/>
    <col min="14360" max="14360" width="11.54296875" style="767" bestFit="1" customWidth="1"/>
    <col min="14361" max="14361" width="5.54296875" style="767" customWidth="1"/>
    <col min="14362" max="14362" width="11" style="767" bestFit="1" customWidth="1"/>
    <col min="14363" max="14363" width="6.08984375" style="767" customWidth="1"/>
    <col min="14364" max="14598" width="9.08984375" style="767"/>
    <col min="14599" max="14599" width="3.6328125" style="767" customWidth="1"/>
    <col min="14600" max="14600" width="14.453125" style="767" customWidth="1"/>
    <col min="14601" max="14601" width="3.6328125" style="767" customWidth="1"/>
    <col min="14602" max="14602" width="22.6328125" style="767" customWidth="1"/>
    <col min="14603" max="14603" width="11.453125" style="767" customWidth="1"/>
    <col min="14604" max="14604" width="5.453125" style="767" customWidth="1"/>
    <col min="14605" max="14605" width="11.453125" style="767" customWidth="1"/>
    <col min="14606" max="14606" width="5.453125" style="767" customWidth="1"/>
    <col min="14607" max="14607" width="11.453125" style="767" customWidth="1"/>
    <col min="14608" max="14608" width="5.453125" style="767" customWidth="1"/>
    <col min="14609" max="14609" width="11.453125" style="767" customWidth="1"/>
    <col min="14610" max="14612" width="5.453125" style="767" customWidth="1"/>
    <col min="14613" max="14613" width="22.6328125" style="767" customWidth="1"/>
    <col min="14614" max="14614" width="5.90625" style="767" customWidth="1"/>
    <col min="14615" max="14615" width="3.453125" style="767" customWidth="1"/>
    <col min="14616" max="14616" width="11.54296875" style="767" bestFit="1" customWidth="1"/>
    <col min="14617" max="14617" width="5.54296875" style="767" customWidth="1"/>
    <col min="14618" max="14618" width="11" style="767" bestFit="1" customWidth="1"/>
    <col min="14619" max="14619" width="6.08984375" style="767" customWidth="1"/>
    <col min="14620" max="14854" width="9.08984375" style="767"/>
    <col min="14855" max="14855" width="3.6328125" style="767" customWidth="1"/>
    <col min="14856" max="14856" width="14.453125" style="767" customWidth="1"/>
    <col min="14857" max="14857" width="3.6328125" style="767" customWidth="1"/>
    <col min="14858" max="14858" width="22.6328125" style="767" customWidth="1"/>
    <col min="14859" max="14859" width="11.453125" style="767" customWidth="1"/>
    <col min="14860" max="14860" width="5.453125" style="767" customWidth="1"/>
    <col min="14861" max="14861" width="11.453125" style="767" customWidth="1"/>
    <col min="14862" max="14862" width="5.453125" style="767" customWidth="1"/>
    <col min="14863" max="14863" width="11.453125" style="767" customWidth="1"/>
    <col min="14864" max="14864" width="5.453125" style="767" customWidth="1"/>
    <col min="14865" max="14865" width="11.453125" style="767" customWidth="1"/>
    <col min="14866" max="14868" width="5.453125" style="767" customWidth="1"/>
    <col min="14869" max="14869" width="22.6328125" style="767" customWidth="1"/>
    <col min="14870" max="14870" width="5.90625" style="767" customWidth="1"/>
    <col min="14871" max="14871" width="3.453125" style="767" customWidth="1"/>
    <col min="14872" max="14872" width="11.54296875" style="767" bestFit="1" customWidth="1"/>
    <col min="14873" max="14873" width="5.54296875" style="767" customWidth="1"/>
    <col min="14874" max="14874" width="11" style="767" bestFit="1" customWidth="1"/>
    <col min="14875" max="14875" width="6.08984375" style="767" customWidth="1"/>
    <col min="14876" max="15110" width="9.08984375" style="767"/>
    <col min="15111" max="15111" width="3.6328125" style="767" customWidth="1"/>
    <col min="15112" max="15112" width="14.453125" style="767" customWidth="1"/>
    <col min="15113" max="15113" width="3.6328125" style="767" customWidth="1"/>
    <col min="15114" max="15114" width="22.6328125" style="767" customWidth="1"/>
    <col min="15115" max="15115" width="11.453125" style="767" customWidth="1"/>
    <col min="15116" max="15116" width="5.453125" style="767" customWidth="1"/>
    <col min="15117" max="15117" width="11.453125" style="767" customWidth="1"/>
    <col min="15118" max="15118" width="5.453125" style="767" customWidth="1"/>
    <col min="15119" max="15119" width="11.453125" style="767" customWidth="1"/>
    <col min="15120" max="15120" width="5.453125" style="767" customWidth="1"/>
    <col min="15121" max="15121" width="11.453125" style="767" customWidth="1"/>
    <col min="15122" max="15124" width="5.453125" style="767" customWidth="1"/>
    <col min="15125" max="15125" width="22.6328125" style="767" customWidth="1"/>
    <col min="15126" max="15126" width="5.90625" style="767" customWidth="1"/>
    <col min="15127" max="15127" width="3.453125" style="767" customWidth="1"/>
    <col min="15128" max="15128" width="11.54296875" style="767" bestFit="1" customWidth="1"/>
    <col min="15129" max="15129" width="5.54296875" style="767" customWidth="1"/>
    <col min="15130" max="15130" width="11" style="767" bestFit="1" customWidth="1"/>
    <col min="15131" max="15131" width="6.08984375" style="767" customWidth="1"/>
    <col min="15132" max="15366" width="9.08984375" style="767"/>
    <col min="15367" max="15367" width="3.6328125" style="767" customWidth="1"/>
    <col min="15368" max="15368" width="14.453125" style="767" customWidth="1"/>
    <col min="15369" max="15369" width="3.6328125" style="767" customWidth="1"/>
    <col min="15370" max="15370" width="22.6328125" style="767" customWidth="1"/>
    <col min="15371" max="15371" width="11.453125" style="767" customWidth="1"/>
    <col min="15372" max="15372" width="5.453125" style="767" customWidth="1"/>
    <col min="15373" max="15373" width="11.453125" style="767" customWidth="1"/>
    <col min="15374" max="15374" width="5.453125" style="767" customWidth="1"/>
    <col min="15375" max="15375" width="11.453125" style="767" customWidth="1"/>
    <col min="15376" max="15376" width="5.453125" style="767" customWidth="1"/>
    <col min="15377" max="15377" width="11.453125" style="767" customWidth="1"/>
    <col min="15378" max="15380" width="5.453125" style="767" customWidth="1"/>
    <col min="15381" max="15381" width="22.6328125" style="767" customWidth="1"/>
    <col min="15382" max="15382" width="5.90625" style="767" customWidth="1"/>
    <col min="15383" max="15383" width="3.453125" style="767" customWidth="1"/>
    <col min="15384" max="15384" width="11.54296875" style="767" bestFit="1" customWidth="1"/>
    <col min="15385" max="15385" width="5.54296875" style="767" customWidth="1"/>
    <col min="15386" max="15386" width="11" style="767" bestFit="1" customWidth="1"/>
    <col min="15387" max="15387" width="6.08984375" style="767" customWidth="1"/>
    <col min="15388" max="15622" width="9.08984375" style="767"/>
    <col min="15623" max="15623" width="3.6328125" style="767" customWidth="1"/>
    <col min="15624" max="15624" width="14.453125" style="767" customWidth="1"/>
    <col min="15625" max="15625" width="3.6328125" style="767" customWidth="1"/>
    <col min="15626" max="15626" width="22.6328125" style="767" customWidth="1"/>
    <col min="15627" max="15627" width="11.453125" style="767" customWidth="1"/>
    <col min="15628" max="15628" width="5.453125" style="767" customWidth="1"/>
    <col min="15629" max="15629" width="11.453125" style="767" customWidth="1"/>
    <col min="15630" max="15630" width="5.453125" style="767" customWidth="1"/>
    <col min="15631" max="15631" width="11.453125" style="767" customWidth="1"/>
    <col min="15632" max="15632" width="5.453125" style="767" customWidth="1"/>
    <col min="15633" max="15633" width="11.453125" style="767" customWidth="1"/>
    <col min="15634" max="15636" width="5.453125" style="767" customWidth="1"/>
    <col min="15637" max="15637" width="22.6328125" style="767" customWidth="1"/>
    <col min="15638" max="15638" width="5.90625" style="767" customWidth="1"/>
    <col min="15639" max="15639" width="3.453125" style="767" customWidth="1"/>
    <col min="15640" max="15640" width="11.54296875" style="767" bestFit="1" customWidth="1"/>
    <col min="15641" max="15641" width="5.54296875" style="767" customWidth="1"/>
    <col min="15642" max="15642" width="11" style="767" bestFit="1" customWidth="1"/>
    <col min="15643" max="15643" width="6.08984375" style="767" customWidth="1"/>
    <col min="15644" max="15878" width="9.08984375" style="767"/>
    <col min="15879" max="15879" width="3.6328125" style="767" customWidth="1"/>
    <col min="15880" max="15880" width="14.453125" style="767" customWidth="1"/>
    <col min="15881" max="15881" width="3.6328125" style="767" customWidth="1"/>
    <col min="15882" max="15882" width="22.6328125" style="767" customWidth="1"/>
    <col min="15883" max="15883" width="11.453125" style="767" customWidth="1"/>
    <col min="15884" max="15884" width="5.453125" style="767" customWidth="1"/>
    <col min="15885" max="15885" width="11.453125" style="767" customWidth="1"/>
    <col min="15886" max="15886" width="5.453125" style="767" customWidth="1"/>
    <col min="15887" max="15887" width="11.453125" style="767" customWidth="1"/>
    <col min="15888" max="15888" width="5.453125" style="767" customWidth="1"/>
    <col min="15889" max="15889" width="11.453125" style="767" customWidth="1"/>
    <col min="15890" max="15892" width="5.453125" style="767" customWidth="1"/>
    <col min="15893" max="15893" width="22.6328125" style="767" customWidth="1"/>
    <col min="15894" max="15894" width="5.90625" style="767" customWidth="1"/>
    <col min="15895" max="15895" width="3.453125" style="767" customWidth="1"/>
    <col min="15896" max="15896" width="11.54296875" style="767" bestFit="1" customWidth="1"/>
    <col min="15897" max="15897" width="5.54296875" style="767" customWidth="1"/>
    <col min="15898" max="15898" width="11" style="767" bestFit="1" customWidth="1"/>
    <col min="15899" max="15899" width="6.08984375" style="767" customWidth="1"/>
    <col min="15900" max="16134" width="9.08984375" style="767"/>
    <col min="16135" max="16135" width="3.6328125" style="767" customWidth="1"/>
    <col min="16136" max="16136" width="14.453125" style="767" customWidth="1"/>
    <col min="16137" max="16137" width="3.6328125" style="767" customWidth="1"/>
    <col min="16138" max="16138" width="22.6328125" style="767" customWidth="1"/>
    <col min="16139" max="16139" width="11.453125" style="767" customWidth="1"/>
    <col min="16140" max="16140" width="5.453125" style="767" customWidth="1"/>
    <col min="16141" max="16141" width="11.453125" style="767" customWidth="1"/>
    <col min="16142" max="16142" width="5.453125" style="767" customWidth="1"/>
    <col min="16143" max="16143" width="11.453125" style="767" customWidth="1"/>
    <col min="16144" max="16144" width="5.453125" style="767" customWidth="1"/>
    <col min="16145" max="16145" width="11.453125" style="767" customWidth="1"/>
    <col min="16146" max="16148" width="5.453125" style="767" customWidth="1"/>
    <col min="16149" max="16149" width="22.6328125" style="767" customWidth="1"/>
    <col min="16150" max="16150" width="5.90625" style="767" customWidth="1"/>
    <col min="16151" max="16151" width="3.453125" style="767" customWidth="1"/>
    <col min="16152" max="16152" width="11.54296875" style="767" bestFit="1" customWidth="1"/>
    <col min="16153" max="16153" width="5.54296875" style="767" customWidth="1"/>
    <col min="16154" max="16154" width="11" style="767" bestFit="1" customWidth="1"/>
    <col min="16155" max="16155" width="6.08984375" style="767" customWidth="1"/>
    <col min="16156" max="16384" width="9.08984375" style="767"/>
  </cols>
  <sheetData>
    <row r="2" spans="1:31" s="1764" customFormat="1" ht="15" customHeight="1" x14ac:dyDescent="0.3">
      <c r="A2" s="1255">
        <v>1</v>
      </c>
      <c r="B2" s="1255" t="s">
        <v>0</v>
      </c>
      <c r="C2" s="1255">
        <v>53</v>
      </c>
      <c r="D2" s="4764" t="s">
        <v>1219</v>
      </c>
      <c r="E2" s="4765"/>
      <c r="F2" s="4765"/>
      <c r="G2" s="4765"/>
      <c r="H2" s="4765"/>
      <c r="I2" s="4765"/>
      <c r="J2" s="4765"/>
      <c r="K2" s="4765"/>
      <c r="L2" s="4765"/>
      <c r="M2" s="4765"/>
      <c r="N2" s="4765"/>
      <c r="O2" s="4765"/>
      <c r="P2" s="4765"/>
      <c r="Q2" s="4765"/>
      <c r="R2" s="4765"/>
      <c r="S2" s="4765"/>
      <c r="T2" s="4765"/>
      <c r="U2" s="4765"/>
      <c r="V2" s="4765"/>
      <c r="W2" s="4765"/>
      <c r="X2" s="4765"/>
      <c r="Y2" s="4765"/>
      <c r="Z2" s="4765"/>
      <c r="AA2" s="4765"/>
      <c r="AB2" s="4765"/>
      <c r="AC2" s="4765"/>
      <c r="AD2" s="4765"/>
      <c r="AE2" s="4766"/>
    </row>
    <row r="3" spans="1:31" s="1764" customFormat="1" ht="15" customHeight="1" x14ac:dyDescent="0.3">
      <c r="A3" s="1255">
        <v>2</v>
      </c>
      <c r="B3" s="1255" t="s">
        <v>2</v>
      </c>
      <c r="C3" s="1255"/>
      <c r="D3" s="4733" t="s">
        <v>1201</v>
      </c>
      <c r="E3" s="4734"/>
      <c r="F3" s="4734"/>
      <c r="G3" s="4734"/>
      <c r="H3" s="4734"/>
      <c r="I3" s="4734"/>
      <c r="J3" s="4734"/>
      <c r="K3" s="4734"/>
      <c r="L3" s="4734"/>
      <c r="M3" s="4734"/>
      <c r="N3" s="4734"/>
      <c r="O3" s="4734"/>
      <c r="P3" s="4734"/>
      <c r="Q3" s="4734"/>
      <c r="R3" s="4734"/>
      <c r="S3" s="4734"/>
      <c r="T3" s="4734"/>
      <c r="U3" s="4734"/>
      <c r="V3" s="4734"/>
      <c r="W3" s="4734"/>
      <c r="X3" s="4734"/>
      <c r="Y3" s="4734"/>
      <c r="Z3" s="4734"/>
      <c r="AA3" s="4734"/>
      <c r="AB3" s="4734"/>
      <c r="AC3" s="4734"/>
      <c r="AD3" s="4734"/>
      <c r="AE3" s="4735"/>
    </row>
    <row r="4" spans="1:31" s="1764" customFormat="1" ht="15" customHeight="1" x14ac:dyDescent="0.3">
      <c r="A4" s="1255">
        <v>3</v>
      </c>
      <c r="B4" s="1255" t="s">
        <v>4</v>
      </c>
      <c r="C4" s="1255"/>
      <c r="D4" s="4733" t="s">
        <v>1220</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4"/>
      <c r="AC4" s="4734"/>
      <c r="AD4" s="4734"/>
      <c r="AE4" s="4735"/>
    </row>
    <row r="5" spans="1:31" s="1764" customFormat="1" ht="15" customHeight="1" x14ac:dyDescent="0.3">
      <c r="A5" s="1255"/>
      <c r="B5" s="1255"/>
      <c r="C5" s="1255"/>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row>
    <row r="6" spans="1:31" s="1764" customFormat="1" ht="15" customHeight="1" x14ac:dyDescent="0.3">
      <c r="A6" s="1255"/>
      <c r="B6" s="1255"/>
      <c r="C6" s="1255"/>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row>
    <row r="7" spans="1:31" ht="13" x14ac:dyDescent="0.3">
      <c r="C7" s="1255"/>
      <c r="H7" s="1979"/>
      <c r="I7" s="1257"/>
    </row>
    <row r="8" spans="1:31" s="1265" customFormat="1" ht="13" x14ac:dyDescent="0.25">
      <c r="A8" s="1255">
        <v>4</v>
      </c>
      <c r="B8" s="1255" t="s">
        <v>6</v>
      </c>
      <c r="C8" s="1260"/>
      <c r="D8" s="1261" t="s">
        <v>85</v>
      </c>
      <c r="E8" s="1484" t="s">
        <v>1221</v>
      </c>
      <c r="F8" s="3016"/>
      <c r="G8" s="1484"/>
      <c r="H8" s="3016"/>
      <c r="I8" s="2044"/>
      <c r="J8" s="3017"/>
      <c r="K8" s="2044"/>
      <c r="L8" s="3017"/>
      <c r="M8" s="3017"/>
      <c r="N8" s="3017"/>
      <c r="O8" s="3017"/>
      <c r="P8" s="3017"/>
      <c r="Q8" s="3017"/>
      <c r="R8" s="3017"/>
      <c r="S8" s="3017"/>
      <c r="T8" s="3018"/>
      <c r="U8" s="1261" t="s">
        <v>85</v>
      </c>
      <c r="V8" s="1484" t="s">
        <v>1222</v>
      </c>
      <c r="W8" s="3016"/>
      <c r="X8" s="1484"/>
      <c r="Y8" s="3016"/>
      <c r="Z8" s="2044"/>
      <c r="AA8" s="3017"/>
    </row>
    <row r="9" spans="1:31" s="1268" customFormat="1" ht="14.25" customHeight="1" x14ac:dyDescent="0.25">
      <c r="A9" s="3019"/>
      <c r="B9" s="3020"/>
      <c r="C9" s="3020"/>
      <c r="D9" s="3021"/>
      <c r="E9" s="2177">
        <v>1994</v>
      </c>
      <c r="F9" s="2177" t="s">
        <v>97</v>
      </c>
      <c r="G9" s="2177">
        <v>1999</v>
      </c>
      <c r="H9" s="2177" t="s">
        <v>97</v>
      </c>
      <c r="I9" s="2177">
        <v>2004</v>
      </c>
      <c r="J9" s="2177" t="s">
        <v>97</v>
      </c>
      <c r="K9" s="2177">
        <v>2009</v>
      </c>
      <c r="L9" s="2177" t="s">
        <v>97</v>
      </c>
      <c r="M9" s="2177">
        <v>2014</v>
      </c>
      <c r="N9" s="2178" t="s">
        <v>97</v>
      </c>
      <c r="O9" s="3022">
        <v>2019</v>
      </c>
      <c r="P9" s="3022" t="s">
        <v>97</v>
      </c>
      <c r="Q9" s="1622"/>
      <c r="R9" s="1622"/>
      <c r="S9" s="1622"/>
      <c r="T9" s="3023"/>
      <c r="U9" s="3021"/>
      <c r="V9" s="1519">
        <v>1995</v>
      </c>
      <c r="W9" s="2176" t="s">
        <v>97</v>
      </c>
      <c r="X9" s="3024">
        <v>2000</v>
      </c>
      <c r="Y9" s="3024" t="s">
        <v>97</v>
      </c>
      <c r="Z9" s="3024">
        <v>2006</v>
      </c>
      <c r="AA9" s="3024" t="s">
        <v>97</v>
      </c>
      <c r="AB9" s="3024">
        <v>2011</v>
      </c>
      <c r="AC9" s="3024" t="s">
        <v>97</v>
      </c>
      <c r="AD9" s="3024">
        <v>2016</v>
      </c>
      <c r="AE9" s="3025" t="s">
        <v>97</v>
      </c>
    </row>
    <row r="10" spans="1:31" s="1265" customFormat="1" ht="22.5" customHeight="1" x14ac:dyDescent="0.2">
      <c r="A10" s="1259"/>
      <c r="B10" s="2181"/>
      <c r="C10" s="1260"/>
      <c r="D10" s="1783" t="s">
        <v>1223</v>
      </c>
      <c r="E10" s="1933">
        <v>22709152</v>
      </c>
      <c r="F10" s="2411"/>
      <c r="G10" s="1933">
        <v>22798845</v>
      </c>
      <c r="H10" s="2411"/>
      <c r="I10" s="1933">
        <v>27436898</v>
      </c>
      <c r="J10" s="1933"/>
      <c r="K10" s="1933">
        <v>27574414</v>
      </c>
      <c r="L10" s="1933"/>
      <c r="M10" s="1933">
        <v>31434035</v>
      </c>
      <c r="N10" s="3026"/>
      <c r="O10" s="3027">
        <v>35900190</v>
      </c>
      <c r="P10" s="3028"/>
      <c r="Q10" s="1592"/>
      <c r="R10" s="1592"/>
      <c r="S10" s="1592"/>
      <c r="T10" s="1826"/>
      <c r="U10" s="3029" t="s">
        <v>1223</v>
      </c>
      <c r="V10" s="3030"/>
      <c r="W10" s="2967"/>
      <c r="X10" s="1854">
        <v>23532308</v>
      </c>
      <c r="Y10" s="3031"/>
      <c r="Z10" s="1854">
        <v>25364801</v>
      </c>
      <c r="AA10" s="3031"/>
      <c r="AB10" s="1854">
        <v>33702588.646421582</v>
      </c>
      <c r="AC10" s="3031"/>
      <c r="AD10" s="1854">
        <v>36198770.139200002</v>
      </c>
      <c r="AE10" s="3032"/>
    </row>
    <row r="11" spans="1:31" s="1265" customFormat="1" ht="15.75" customHeight="1" x14ac:dyDescent="0.2">
      <c r="A11" s="1259"/>
      <c r="B11" s="1260"/>
      <c r="C11" s="1260"/>
      <c r="D11" s="1783" t="s">
        <v>1224</v>
      </c>
      <c r="E11" s="1933" t="s">
        <v>1225</v>
      </c>
      <c r="F11" s="2411"/>
      <c r="G11" s="3033">
        <v>18177751</v>
      </c>
      <c r="H11" s="3034">
        <f>G11/G10</f>
        <v>0.79731017075645716</v>
      </c>
      <c r="I11" s="1933">
        <v>20674926</v>
      </c>
      <c r="J11" s="3034">
        <f>I11/I10</f>
        <v>0.75354458802157587</v>
      </c>
      <c r="K11" s="1933">
        <v>23181997</v>
      </c>
      <c r="L11" s="3034">
        <f>K11/K10</f>
        <v>0.84070678709618274</v>
      </c>
      <c r="M11" s="1933">
        <v>25390150</v>
      </c>
      <c r="N11" s="3034">
        <f>M11/M10</f>
        <v>0.80772799292232134</v>
      </c>
      <c r="O11" s="3027">
        <v>26756649</v>
      </c>
      <c r="P11" s="3035" t="s">
        <v>1968</v>
      </c>
      <c r="Q11" s="1730"/>
      <c r="R11" s="1730"/>
      <c r="S11" s="1730"/>
      <c r="T11" s="1825"/>
      <c r="U11" s="1783" t="s">
        <v>1224</v>
      </c>
      <c r="V11" s="1632"/>
      <c r="W11" s="1632"/>
      <c r="X11" s="1858">
        <v>18476516</v>
      </c>
      <c r="Y11" s="3036">
        <f>X11/X10</f>
        <v>0.78515528523594036</v>
      </c>
      <c r="Z11" s="1858">
        <v>21054957</v>
      </c>
      <c r="AA11" s="3036">
        <f>Z11/Z10</f>
        <v>0.83008563717886052</v>
      </c>
      <c r="AB11" s="1858">
        <v>23655046</v>
      </c>
      <c r="AC11" s="3036">
        <f>AB11/AB10</f>
        <v>0.70187623414237665</v>
      </c>
      <c r="AD11" s="1858">
        <v>26333353</v>
      </c>
      <c r="AE11" s="3037">
        <f>AD11/AD10</f>
        <v>0.72746540555761463</v>
      </c>
    </row>
    <row r="12" spans="1:31" s="1265" customFormat="1" ht="15.75" customHeight="1" x14ac:dyDescent="0.2">
      <c r="A12" s="1259"/>
      <c r="B12" s="1260"/>
      <c r="C12" s="1260"/>
      <c r="D12" s="1783" t="s">
        <v>1226</v>
      </c>
      <c r="E12" s="3033">
        <v>19533498</v>
      </c>
      <c r="F12" s="2411"/>
      <c r="G12" s="3033">
        <v>16228462</v>
      </c>
      <c r="H12" s="3033"/>
      <c r="I12" s="3033">
        <v>15863558</v>
      </c>
      <c r="J12" s="3033"/>
      <c r="K12" s="3033">
        <v>17919966</v>
      </c>
      <c r="L12" s="3033"/>
      <c r="M12" s="3033">
        <v>18654771</v>
      </c>
      <c r="N12" s="3033"/>
      <c r="O12" s="3027">
        <v>17671615</v>
      </c>
      <c r="P12" s="3028"/>
      <c r="Q12" s="3038"/>
      <c r="R12" s="3038"/>
      <c r="S12" s="3038"/>
      <c r="T12" s="3039"/>
      <c r="U12" s="3040" t="s">
        <v>1227</v>
      </c>
      <c r="V12" s="3041"/>
      <c r="W12" s="3041"/>
      <c r="X12" s="3042">
        <v>8882734</v>
      </c>
      <c r="Y12" s="3042"/>
      <c r="Z12" s="3042">
        <v>10186795</v>
      </c>
      <c r="AA12" s="3042"/>
      <c r="AB12" s="3042">
        <v>13664914</v>
      </c>
      <c r="AC12" s="3042"/>
      <c r="AD12" s="3042">
        <v>15296759</v>
      </c>
      <c r="AE12" s="3043"/>
    </row>
    <row r="13" spans="1:31" s="3016" customFormat="1" ht="15.75" customHeight="1" x14ac:dyDescent="0.2">
      <c r="A13" s="3044"/>
      <c r="B13" s="3045"/>
      <c r="C13" s="3045"/>
      <c r="D13" s="1783" t="s">
        <v>1228</v>
      </c>
      <c r="E13" s="3046"/>
      <c r="F13" s="3034">
        <f>E12/E10</f>
        <v>0.86015972767279025</v>
      </c>
      <c r="G13" s="3046"/>
      <c r="H13" s="3034">
        <f>G12/G10</f>
        <v>0.71181070795472312</v>
      </c>
      <c r="I13" s="3046"/>
      <c r="J13" s="3034">
        <f>I12/I10</f>
        <v>0.57818336460630504</v>
      </c>
      <c r="K13" s="3046"/>
      <c r="L13" s="3034">
        <f>K12/K10</f>
        <v>0.64987658486595579</v>
      </c>
      <c r="M13" s="3046"/>
      <c r="N13" s="3034">
        <f>M12/M10</f>
        <v>0.59345772822356402</v>
      </c>
      <c r="O13" s="3047"/>
      <c r="P13" s="3048">
        <v>0.49199999999999999</v>
      </c>
      <c r="Q13" s="1730"/>
      <c r="R13" s="1730"/>
      <c r="S13" s="1730"/>
      <c r="T13" s="1825"/>
      <c r="U13" s="1783" t="s">
        <v>1229</v>
      </c>
      <c r="V13" s="3049"/>
      <c r="W13" s="1632"/>
      <c r="X13" s="3050"/>
      <c r="Y13" s="3036">
        <f>X12/X10</f>
        <v>0.37746973225065727</v>
      </c>
      <c r="Z13" s="3050"/>
      <c r="AA13" s="3036">
        <f>Z12/Z10</f>
        <v>0.40161146937442954</v>
      </c>
      <c r="AB13" s="3050"/>
      <c r="AC13" s="3036">
        <f>AB12/AB10</f>
        <v>0.40545591744778009</v>
      </c>
      <c r="AD13" s="3050"/>
      <c r="AE13" s="3037">
        <f>AD12/AD10</f>
        <v>0.42257675996110683</v>
      </c>
    </row>
    <row r="14" spans="1:31" s="3016" customFormat="1" ht="15.75" customHeight="1" x14ac:dyDescent="0.2">
      <c r="A14" s="3044"/>
      <c r="B14" s="3051"/>
      <c r="C14" s="3051"/>
      <c r="D14" s="1795" t="s">
        <v>1230</v>
      </c>
      <c r="E14" s="3052"/>
      <c r="F14" s="1731" t="s">
        <v>1225</v>
      </c>
      <c r="G14" s="3053"/>
      <c r="H14" s="1731">
        <f>G12/G11</f>
        <v>0.8927651170928681</v>
      </c>
      <c r="I14" s="3053"/>
      <c r="J14" s="1731">
        <f>I12/I11</f>
        <v>0.7672848744416304</v>
      </c>
      <c r="K14" s="3053"/>
      <c r="L14" s="1731">
        <f>K12/K11</f>
        <v>0.77301217837272607</v>
      </c>
      <c r="M14" s="3053"/>
      <c r="N14" s="1731">
        <f>M12/M11</f>
        <v>0.73472472592718041</v>
      </c>
      <c r="O14" s="3053"/>
      <c r="P14" s="3054" t="s">
        <v>1231</v>
      </c>
      <c r="Q14" s="1730"/>
      <c r="R14" s="1730"/>
      <c r="S14" s="1730"/>
      <c r="T14" s="1825"/>
      <c r="U14" s="1783" t="s">
        <v>1230</v>
      </c>
      <c r="V14" s="3049"/>
      <c r="W14" s="1632"/>
      <c r="X14" s="3050"/>
      <c r="Y14" s="3036">
        <f>X12/X11</f>
        <v>0.48075806066468374</v>
      </c>
      <c r="Z14" s="3050"/>
      <c r="AA14" s="3036">
        <f>Z12/Z11</f>
        <v>0.48381932102734765</v>
      </c>
      <c r="AB14" s="3050"/>
      <c r="AC14" s="3036">
        <f>AB12/AB11</f>
        <v>0.5776743786505425</v>
      </c>
      <c r="AD14" s="3050"/>
      <c r="AE14" s="3037">
        <v>0.57969999999999999</v>
      </c>
    </row>
    <row r="15" spans="1:31" s="1265" customFormat="1" ht="15.75" customHeight="1" x14ac:dyDescent="0.25">
      <c r="A15" s="1259"/>
      <c r="B15" s="3055"/>
      <c r="C15" s="3055"/>
      <c r="D15" s="3056" t="s">
        <v>1232</v>
      </c>
      <c r="E15" s="3057"/>
      <c r="F15" s="3058"/>
      <c r="G15" s="3057"/>
      <c r="H15" s="3058"/>
      <c r="I15" s="3057"/>
      <c r="J15" s="3058"/>
      <c r="K15" s="3057"/>
      <c r="L15" s="3058"/>
      <c r="M15" s="3057"/>
      <c r="N15" s="3059"/>
      <c r="O15" s="3057"/>
      <c r="P15" s="3059"/>
      <c r="Q15" s="3023"/>
      <c r="R15" s="3023"/>
      <c r="S15" s="3023"/>
      <c r="T15" s="3023"/>
      <c r="U15" s="3060" t="s">
        <v>1233</v>
      </c>
      <c r="V15" s="3002"/>
      <c r="W15" s="3061"/>
      <c r="X15" s="2177">
        <v>2000</v>
      </c>
      <c r="Y15" s="3062" t="s">
        <v>97</v>
      </c>
      <c r="Z15" s="2177">
        <v>2006</v>
      </c>
      <c r="AA15" s="3062" t="s">
        <v>97</v>
      </c>
      <c r="AB15" s="3062">
        <v>2011</v>
      </c>
      <c r="AC15" s="3062" t="s">
        <v>97</v>
      </c>
      <c r="AD15" s="3062">
        <v>2016</v>
      </c>
      <c r="AE15" s="3063" t="s">
        <v>97</v>
      </c>
    </row>
    <row r="16" spans="1:31" s="1265" customFormat="1" ht="15.75" customHeight="1" x14ac:dyDescent="0.2">
      <c r="A16" s="1259"/>
      <c r="B16" s="3055"/>
      <c r="C16" s="3055"/>
      <c r="D16" s="1783" t="s">
        <v>1234</v>
      </c>
      <c r="E16" s="1933"/>
      <c r="F16" s="3046"/>
      <c r="G16" s="1933">
        <v>11768544</v>
      </c>
      <c r="H16" s="3046"/>
      <c r="I16" s="1933">
        <v>14162663</v>
      </c>
      <c r="J16" s="3064"/>
      <c r="K16" s="1933">
        <v>13923366.001898218</v>
      </c>
      <c r="L16" s="3064"/>
      <c r="M16" s="1933">
        <v>15749520</v>
      </c>
      <c r="N16" s="3065"/>
      <c r="O16" s="1933">
        <v>15851354</v>
      </c>
      <c r="P16" s="3065"/>
      <c r="Q16" s="1826"/>
      <c r="R16" s="1826"/>
      <c r="S16" s="1826"/>
      <c r="T16" s="1826"/>
      <c r="U16" s="1783" t="s">
        <v>1234</v>
      </c>
      <c r="V16" s="3066"/>
      <c r="W16" s="3067"/>
      <c r="X16" s="3068">
        <v>12147151</v>
      </c>
      <c r="Y16" s="3069"/>
      <c r="Z16" s="3068">
        <v>13093066</v>
      </c>
      <c r="AA16" s="3069"/>
      <c r="AB16" s="3068">
        <v>16498464.006729301</v>
      </c>
      <c r="AC16" s="3069"/>
      <c r="AD16" s="3068">
        <v>17372684.139200009</v>
      </c>
      <c r="AE16" s="3070"/>
    </row>
    <row r="17" spans="1:31" s="1265" customFormat="1" ht="15.75" customHeight="1" x14ac:dyDescent="0.2">
      <c r="A17" s="1259"/>
      <c r="B17" s="3055"/>
      <c r="C17" s="3055"/>
      <c r="D17" s="1783" t="s">
        <v>1235</v>
      </c>
      <c r="E17" s="3071"/>
      <c r="F17" s="3046"/>
      <c r="G17" s="1933">
        <v>8667832</v>
      </c>
      <c r="H17" s="3034">
        <f>G17/G16</f>
        <v>0.73652543594177833</v>
      </c>
      <c r="I17" s="1933">
        <v>9193845</v>
      </c>
      <c r="J17" s="3034">
        <f>I17/I16</f>
        <v>0.64916075458407785</v>
      </c>
      <c r="K17" s="1933">
        <v>9253537</v>
      </c>
      <c r="L17" s="3034">
        <f>K17/K16</f>
        <v>0.66460488065446499</v>
      </c>
      <c r="M17" s="1933">
        <v>10236061</v>
      </c>
      <c r="N17" s="3072">
        <f>M17/M16</f>
        <v>0.64992844226363722</v>
      </c>
      <c r="O17" s="1933"/>
      <c r="P17" s="3072"/>
      <c r="Q17" s="1730"/>
      <c r="R17" s="1730"/>
      <c r="S17" s="1730"/>
      <c r="T17" s="1825"/>
      <c r="U17" s="1783" t="s">
        <v>1235</v>
      </c>
      <c r="V17" s="3066"/>
      <c r="W17" s="3067"/>
      <c r="X17" s="1858">
        <v>8327816</v>
      </c>
      <c r="Y17" s="3036">
        <f>X17/X16</f>
        <v>0.68557771283159319</v>
      </c>
      <c r="Z17" s="1858">
        <v>8899915</v>
      </c>
      <c r="AA17" s="3036">
        <f>Z17/Z16</f>
        <v>0.67974262101787308</v>
      </c>
      <c r="AB17" s="1858">
        <v>9820251</v>
      </c>
      <c r="AC17" s="3036">
        <f>AB17/AB16</f>
        <v>0.59522213679979974</v>
      </c>
      <c r="AD17" s="1858">
        <v>10321966</v>
      </c>
      <c r="AE17" s="3037">
        <f>AD17/AD16</f>
        <v>0.59414917794477984</v>
      </c>
    </row>
    <row r="18" spans="1:31" s="1265" customFormat="1" ht="15.75" customHeight="1" x14ac:dyDescent="0.2">
      <c r="A18" s="1259"/>
      <c r="B18" s="3055"/>
      <c r="C18" s="3055"/>
      <c r="D18" s="3073" t="s">
        <v>1236</v>
      </c>
      <c r="E18" s="3074"/>
      <c r="F18" s="3075"/>
      <c r="G18" s="3076"/>
      <c r="H18" s="3075"/>
      <c r="I18" s="3076"/>
      <c r="J18" s="3077"/>
      <c r="K18" s="3076"/>
      <c r="L18" s="3077"/>
      <c r="M18" s="3076"/>
      <c r="N18" s="3078"/>
      <c r="O18" s="3076"/>
      <c r="P18" s="3078"/>
      <c r="Q18" s="3018"/>
      <c r="R18" s="3018"/>
      <c r="S18" s="3018"/>
      <c r="T18" s="3018"/>
      <c r="U18" s="1783" t="s">
        <v>1237</v>
      </c>
      <c r="V18" s="1632"/>
      <c r="W18" s="3067"/>
      <c r="X18" s="3069"/>
      <c r="Y18" s="3050"/>
      <c r="Z18" s="1858">
        <v>3169752</v>
      </c>
      <c r="AA18" s="3036"/>
      <c r="AB18" s="1858">
        <v>4681600</v>
      </c>
      <c r="AC18" s="3036"/>
      <c r="AD18" s="1858">
        <v>5682922.2146270555</v>
      </c>
      <c r="AE18" s="3037"/>
    </row>
    <row r="19" spans="1:31" s="3016" customFormat="1" ht="15.75" customHeight="1" x14ac:dyDescent="0.2">
      <c r="A19" s="3044"/>
      <c r="B19" s="3045"/>
      <c r="C19" s="3045"/>
      <c r="D19" s="3079"/>
      <c r="F19" s="3080"/>
      <c r="G19" s="3080"/>
      <c r="H19" s="3080"/>
      <c r="I19" s="3080"/>
      <c r="J19" s="3080"/>
      <c r="K19" s="3080"/>
      <c r="L19" s="3080"/>
      <c r="M19" s="3080"/>
      <c r="N19" s="3080"/>
      <c r="O19" s="3080"/>
      <c r="P19" s="3080"/>
      <c r="Q19" s="3080"/>
      <c r="R19" s="3080"/>
      <c r="S19" s="3080"/>
      <c r="T19" s="3080"/>
      <c r="U19" s="1783" t="s">
        <v>1238</v>
      </c>
      <c r="V19" s="3049"/>
      <c r="W19" s="3067"/>
      <c r="X19" s="3050"/>
      <c r="Y19" s="3081"/>
      <c r="Z19" s="3050"/>
      <c r="AA19" s="3036">
        <f>Z18/Z16</f>
        <v>0.24209394499347975</v>
      </c>
      <c r="AB19" s="3050"/>
      <c r="AC19" s="3036">
        <f>AB18/AB16</f>
        <v>0.28375974867057291</v>
      </c>
      <c r="AD19" s="3050"/>
      <c r="AE19" s="3037">
        <f>AD18/AD16</f>
        <v>0.32711826043069631</v>
      </c>
    </row>
    <row r="20" spans="1:31" ht="21" x14ac:dyDescent="0.3">
      <c r="E20" s="3012"/>
      <c r="F20" s="3015"/>
      <c r="G20" s="3012"/>
      <c r="H20" s="3015"/>
      <c r="I20" s="3012"/>
      <c r="J20" s="3015"/>
      <c r="K20" s="3015"/>
      <c r="L20" s="3015"/>
      <c r="M20" s="3015"/>
      <c r="N20" s="3015"/>
      <c r="O20" s="3015"/>
      <c r="P20" s="3015"/>
      <c r="Q20" s="3015"/>
      <c r="R20" s="3015"/>
      <c r="S20" s="3015"/>
      <c r="U20" s="3073" t="s">
        <v>1239</v>
      </c>
      <c r="V20" s="3082"/>
      <c r="W20" s="3083"/>
      <c r="X20" s="3084"/>
      <c r="Y20" s="3085"/>
      <c r="Z20" s="3084"/>
      <c r="AA20" s="3076">
        <f>Z18/Z17</f>
        <v>0.35615531159567254</v>
      </c>
      <c r="AB20" s="3084"/>
      <c r="AC20" s="3076">
        <f>AB18/AB17</f>
        <v>0.47672915895937895</v>
      </c>
      <c r="AD20" s="3084"/>
      <c r="AE20" s="3086">
        <f>AD18/AD17</f>
        <v>0.55056587229865472</v>
      </c>
    </row>
    <row r="21" spans="1:31" x14ac:dyDescent="0.3">
      <c r="E21" s="3012"/>
      <c r="F21" s="3015"/>
      <c r="G21" s="3012"/>
      <c r="H21" s="3015"/>
      <c r="I21" s="3012"/>
      <c r="J21" s="3015"/>
      <c r="K21" s="3015"/>
      <c r="L21" s="3015"/>
      <c r="M21" s="3015"/>
      <c r="N21" s="3015"/>
      <c r="O21" s="3015"/>
      <c r="P21" s="3015"/>
      <c r="Q21" s="3015"/>
      <c r="R21" s="3015"/>
      <c r="S21" s="3015"/>
      <c r="U21" s="3087"/>
      <c r="V21" s="3088"/>
      <c r="W21" s="3012"/>
      <c r="X21" s="3012"/>
      <c r="Y21" s="3088"/>
      <c r="Z21" s="3012"/>
      <c r="AA21" s="3088"/>
    </row>
    <row r="22" spans="1:31" s="1764" customFormat="1" ht="14.25" customHeight="1" x14ac:dyDescent="0.3">
      <c r="A22" s="1255">
        <v>5</v>
      </c>
      <c r="B22" s="1255" t="s">
        <v>58</v>
      </c>
      <c r="C22" s="1255"/>
      <c r="D22" s="4733" t="s">
        <v>1240</v>
      </c>
      <c r="E22" s="4734"/>
      <c r="F22" s="4734"/>
      <c r="G22" s="4734"/>
      <c r="H22" s="4734"/>
      <c r="I22" s="4734"/>
      <c r="J22" s="4734"/>
      <c r="K22" s="4734"/>
      <c r="L22" s="4734"/>
      <c r="M22" s="4734"/>
      <c r="N22" s="4734"/>
      <c r="O22" s="4734"/>
      <c r="P22" s="4734"/>
      <c r="Q22" s="4734"/>
      <c r="R22" s="4734"/>
      <c r="S22" s="4734"/>
      <c r="T22" s="4734"/>
      <c r="U22" s="4734"/>
      <c r="V22" s="4734"/>
      <c r="W22" s="4734"/>
      <c r="X22" s="4734"/>
      <c r="Y22" s="4734"/>
      <c r="Z22" s="4734"/>
      <c r="AA22" s="4734"/>
      <c r="AB22" s="4734"/>
      <c r="AC22" s="4734"/>
      <c r="AD22" s="4734"/>
      <c r="AE22" s="4735"/>
    </row>
    <row r="23" spans="1:31" s="1764" customFormat="1" ht="27.75" customHeight="1" x14ac:dyDescent="0.3">
      <c r="A23" s="1255">
        <v>6</v>
      </c>
      <c r="B23" s="1255" t="s">
        <v>60</v>
      </c>
      <c r="C23" s="1255"/>
      <c r="D23" s="4733" t="s">
        <v>1241</v>
      </c>
      <c r="E23" s="4734"/>
      <c r="F23" s="4734"/>
      <c r="G23" s="4734"/>
      <c r="H23" s="4734"/>
      <c r="I23" s="4734"/>
      <c r="J23" s="4734"/>
      <c r="K23" s="4734"/>
      <c r="L23" s="4734"/>
      <c r="M23" s="4734"/>
      <c r="N23" s="4734"/>
      <c r="O23" s="4734"/>
      <c r="P23" s="4734"/>
      <c r="Q23" s="4734"/>
      <c r="R23" s="4734"/>
      <c r="S23" s="4734"/>
      <c r="T23" s="4734"/>
      <c r="U23" s="4734"/>
      <c r="V23" s="4734"/>
      <c r="W23" s="4734"/>
      <c r="X23" s="4734"/>
      <c r="Y23" s="4734"/>
      <c r="Z23" s="4734"/>
      <c r="AA23" s="4734"/>
      <c r="AB23" s="4734"/>
      <c r="AC23" s="4734"/>
      <c r="AD23" s="4734"/>
      <c r="AE23" s="4735"/>
    </row>
    <row r="24" spans="1:31" s="1764" customFormat="1" ht="27.75" customHeight="1" x14ac:dyDescent="0.3">
      <c r="A24" s="1255">
        <v>7</v>
      </c>
      <c r="B24" s="1255" t="s">
        <v>62</v>
      </c>
      <c r="C24" s="1255"/>
      <c r="D24" s="4733" t="s">
        <v>1242</v>
      </c>
      <c r="E24" s="4734"/>
      <c r="F24" s="4734"/>
      <c r="G24" s="4734"/>
      <c r="H24" s="4734"/>
      <c r="I24" s="4734"/>
      <c r="J24" s="4734"/>
      <c r="K24" s="4734"/>
      <c r="L24" s="4734"/>
      <c r="M24" s="4734"/>
      <c r="N24" s="4734"/>
      <c r="O24" s="4734"/>
      <c r="P24" s="4734"/>
      <c r="Q24" s="4734"/>
      <c r="R24" s="4734"/>
      <c r="S24" s="4734"/>
      <c r="T24" s="4734"/>
      <c r="U24" s="4734"/>
      <c r="V24" s="4734"/>
      <c r="W24" s="4734"/>
      <c r="X24" s="4734"/>
      <c r="Y24" s="4734"/>
      <c r="Z24" s="4734"/>
      <c r="AA24" s="4734"/>
      <c r="AB24" s="4734"/>
      <c r="AC24" s="4734"/>
      <c r="AD24" s="4734"/>
      <c r="AE24" s="4735"/>
    </row>
    <row r="25" spans="1:31" ht="34.25" customHeight="1" x14ac:dyDescent="0.25">
      <c r="A25" s="3000">
        <v>8</v>
      </c>
      <c r="B25" s="1255" t="s">
        <v>64</v>
      </c>
      <c r="D25" s="4733" t="s">
        <v>1243</v>
      </c>
      <c r="E25" s="4734"/>
      <c r="F25" s="4734"/>
      <c r="G25" s="4734"/>
      <c r="H25" s="4734"/>
      <c r="I25" s="4734"/>
      <c r="J25" s="4734"/>
      <c r="K25" s="4734"/>
      <c r="L25" s="4734"/>
      <c r="M25" s="4734"/>
      <c r="N25" s="4734"/>
      <c r="O25" s="4734"/>
      <c r="P25" s="4734"/>
      <c r="Q25" s="4734"/>
      <c r="R25" s="4734"/>
      <c r="S25" s="4734"/>
      <c r="T25" s="4734"/>
      <c r="U25" s="4734"/>
      <c r="V25" s="4734"/>
      <c r="W25" s="4734"/>
      <c r="X25" s="4734"/>
      <c r="Y25" s="4734"/>
      <c r="Z25" s="4734"/>
      <c r="AA25" s="4734"/>
      <c r="AB25" s="4734"/>
      <c r="AC25" s="4734"/>
      <c r="AD25" s="4734"/>
      <c r="AE25" s="4735"/>
    </row>
    <row r="31" spans="1:31" ht="15" customHeight="1" x14ac:dyDescent="0.3"/>
    <row r="32" spans="1:31" ht="13.5" customHeight="1" x14ac:dyDescent="0.3"/>
    <row r="33" ht="15" customHeight="1" x14ac:dyDescent="0.3"/>
  </sheetData>
  <mergeCells count="7">
    <mergeCell ref="D25:AE25"/>
    <mergeCell ref="D2:AE2"/>
    <mergeCell ref="D3:AE3"/>
    <mergeCell ref="D4:AE4"/>
    <mergeCell ref="D22:AE22"/>
    <mergeCell ref="D23:AE23"/>
    <mergeCell ref="D24:AE24"/>
  </mergeCells>
  <pageMargins left="0.74803149606299202" right="0.74803149606299202" top="0.98425196850393704" bottom="0.98425196850393704" header="0.511811023622047" footer="0.511811023622047"/>
  <pageSetup paperSize="9" scale="46" orientation="landscape" r:id="rId1"/>
  <headerFooter alignWithMargins="0">
    <oddHeader>&amp;C&amp;"-,Bold"DEVELOPMENT INDICATORS 2017</oddHeader>
    <oddFooter>&amp;LDepartment of Planning, Monitoring and Evaluation (DPME). &amp;CPage &amp;P of &amp;N&amp;R&amp;D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pageSetUpPr fitToPage="1"/>
  </sheetPr>
  <dimension ref="A1:Y40"/>
  <sheetViews>
    <sheetView showGridLines="0" view="pageBreakPreview" zoomScaleNormal="100" zoomScaleSheetLayoutView="100" workbookViewId="0">
      <selection activeCell="A19" sqref="A19"/>
    </sheetView>
  </sheetViews>
  <sheetFormatPr defaultColWidth="9.08984375" defaultRowHeight="12" x14ac:dyDescent="0.3"/>
  <cols>
    <col min="1" max="1" width="3.6328125" style="3000" customWidth="1"/>
    <col min="2" max="2" width="14.453125" style="3001" customWidth="1"/>
    <col min="3" max="3" width="3.6328125" style="3001" customWidth="1"/>
    <col min="4" max="4" width="11.453125" style="767" customWidth="1"/>
    <col min="5" max="5" width="12" style="767" customWidth="1"/>
    <col min="6" max="6" width="10.90625" style="3089" customWidth="1"/>
    <col min="7" max="7" width="12.6328125" style="767" customWidth="1"/>
    <col min="8" max="8" width="8.08984375" style="3014" customWidth="1"/>
    <col min="9" max="9" width="13.36328125" style="3089" customWidth="1"/>
    <col min="10" max="10" width="12.6328125" style="767" customWidth="1"/>
    <col min="11" max="11" width="8.08984375" style="3014" customWidth="1"/>
    <col min="12" max="13" width="10.90625" style="767" customWidth="1"/>
    <col min="14" max="14" width="8.08984375" style="767" customWidth="1"/>
    <col min="15" max="16" width="10.90625" style="767" customWidth="1"/>
    <col min="17" max="17" width="8.08984375" style="767" customWidth="1"/>
    <col min="18" max="18" width="13.36328125" style="767" customWidth="1"/>
    <col min="19" max="19" width="11" style="767" customWidth="1"/>
    <col min="20" max="259" width="9.08984375" style="767"/>
    <col min="260" max="260" width="3.6328125" style="767" customWidth="1"/>
    <col min="261" max="261" width="14.453125" style="767" customWidth="1"/>
    <col min="262" max="262" width="3.6328125" style="767" customWidth="1"/>
    <col min="263" max="263" width="11.453125" style="767" customWidth="1"/>
    <col min="264" max="264" width="12" style="767" customWidth="1"/>
    <col min="265" max="266" width="10.90625" style="767" customWidth="1"/>
    <col min="267" max="267" width="8.08984375" style="767" customWidth="1"/>
    <col min="268" max="269" width="10.90625" style="767" customWidth="1"/>
    <col min="270" max="270" width="8.08984375" style="767" customWidth="1"/>
    <col min="271" max="272" width="10.90625" style="767" customWidth="1"/>
    <col min="273" max="273" width="8.08984375" style="767" customWidth="1"/>
    <col min="274" max="515" width="9.08984375" style="767"/>
    <col min="516" max="516" width="3.6328125" style="767" customWidth="1"/>
    <col min="517" max="517" width="14.453125" style="767" customWidth="1"/>
    <col min="518" max="518" width="3.6328125" style="767" customWidth="1"/>
    <col min="519" max="519" width="11.453125" style="767" customWidth="1"/>
    <col min="520" max="520" width="12" style="767" customWidth="1"/>
    <col min="521" max="522" width="10.90625" style="767" customWidth="1"/>
    <col min="523" max="523" width="8.08984375" style="767" customWidth="1"/>
    <col min="524" max="525" width="10.90625" style="767" customWidth="1"/>
    <col min="526" max="526" width="8.08984375" style="767" customWidth="1"/>
    <col min="527" max="528" width="10.90625" style="767" customWidth="1"/>
    <col min="529" max="529" width="8.08984375" style="767" customWidth="1"/>
    <col min="530" max="771" width="9.08984375" style="767"/>
    <col min="772" max="772" width="3.6328125" style="767" customWidth="1"/>
    <col min="773" max="773" width="14.453125" style="767" customWidth="1"/>
    <col min="774" max="774" width="3.6328125" style="767" customWidth="1"/>
    <col min="775" max="775" width="11.453125" style="767" customWidth="1"/>
    <col min="776" max="776" width="12" style="767" customWidth="1"/>
    <col min="777" max="778" width="10.90625" style="767" customWidth="1"/>
    <col min="779" max="779" width="8.08984375" style="767" customWidth="1"/>
    <col min="780" max="781" width="10.90625" style="767" customWidth="1"/>
    <col min="782" max="782" width="8.08984375" style="767" customWidth="1"/>
    <col min="783" max="784" width="10.90625" style="767" customWidth="1"/>
    <col min="785" max="785" width="8.08984375" style="767" customWidth="1"/>
    <col min="786" max="1027" width="9.08984375" style="767"/>
    <col min="1028" max="1028" width="3.6328125" style="767" customWidth="1"/>
    <col min="1029" max="1029" width="14.453125" style="767" customWidth="1"/>
    <col min="1030" max="1030" width="3.6328125" style="767" customWidth="1"/>
    <col min="1031" max="1031" width="11.453125" style="767" customWidth="1"/>
    <col min="1032" max="1032" width="12" style="767" customWidth="1"/>
    <col min="1033" max="1034" width="10.90625" style="767" customWidth="1"/>
    <col min="1035" max="1035" width="8.08984375" style="767" customWidth="1"/>
    <col min="1036" max="1037" width="10.90625" style="767" customWidth="1"/>
    <col min="1038" max="1038" width="8.08984375" style="767" customWidth="1"/>
    <col min="1039" max="1040" width="10.90625" style="767" customWidth="1"/>
    <col min="1041" max="1041" width="8.08984375" style="767" customWidth="1"/>
    <col min="1042" max="1283" width="9.08984375" style="767"/>
    <col min="1284" max="1284" width="3.6328125" style="767" customWidth="1"/>
    <col min="1285" max="1285" width="14.453125" style="767" customWidth="1"/>
    <col min="1286" max="1286" width="3.6328125" style="767" customWidth="1"/>
    <col min="1287" max="1287" width="11.453125" style="767" customWidth="1"/>
    <col min="1288" max="1288" width="12" style="767" customWidth="1"/>
    <col min="1289" max="1290" width="10.90625" style="767" customWidth="1"/>
    <col min="1291" max="1291" width="8.08984375" style="767" customWidth="1"/>
    <col min="1292" max="1293" width="10.90625" style="767" customWidth="1"/>
    <col min="1294" max="1294" width="8.08984375" style="767" customWidth="1"/>
    <col min="1295" max="1296" width="10.90625" style="767" customWidth="1"/>
    <col min="1297" max="1297" width="8.08984375" style="767" customWidth="1"/>
    <col min="1298" max="1539" width="9.08984375" style="767"/>
    <col min="1540" max="1540" width="3.6328125" style="767" customWidth="1"/>
    <col min="1541" max="1541" width="14.453125" style="767" customWidth="1"/>
    <col min="1542" max="1542" width="3.6328125" style="767" customWidth="1"/>
    <col min="1543" max="1543" width="11.453125" style="767" customWidth="1"/>
    <col min="1544" max="1544" width="12" style="767" customWidth="1"/>
    <col min="1545" max="1546" width="10.90625" style="767" customWidth="1"/>
    <col min="1547" max="1547" width="8.08984375" style="767" customWidth="1"/>
    <col min="1548" max="1549" width="10.90625" style="767" customWidth="1"/>
    <col min="1550" max="1550" width="8.08984375" style="767" customWidth="1"/>
    <col min="1551" max="1552" width="10.90625" style="767" customWidth="1"/>
    <col min="1553" max="1553" width="8.08984375" style="767" customWidth="1"/>
    <col min="1554" max="1795" width="9.08984375" style="767"/>
    <col min="1796" max="1796" width="3.6328125" style="767" customWidth="1"/>
    <col min="1797" max="1797" width="14.453125" style="767" customWidth="1"/>
    <col min="1798" max="1798" width="3.6328125" style="767" customWidth="1"/>
    <col min="1799" max="1799" width="11.453125" style="767" customWidth="1"/>
    <col min="1800" max="1800" width="12" style="767" customWidth="1"/>
    <col min="1801" max="1802" width="10.90625" style="767" customWidth="1"/>
    <col min="1803" max="1803" width="8.08984375" style="767" customWidth="1"/>
    <col min="1804" max="1805" width="10.90625" style="767" customWidth="1"/>
    <col min="1806" max="1806" width="8.08984375" style="767" customWidth="1"/>
    <col min="1807" max="1808" width="10.90625" style="767" customWidth="1"/>
    <col min="1809" max="1809" width="8.08984375" style="767" customWidth="1"/>
    <col min="1810" max="2051" width="9.08984375" style="767"/>
    <col min="2052" max="2052" width="3.6328125" style="767" customWidth="1"/>
    <col min="2053" max="2053" width="14.453125" style="767" customWidth="1"/>
    <col min="2054" max="2054" width="3.6328125" style="767" customWidth="1"/>
    <col min="2055" max="2055" width="11.453125" style="767" customWidth="1"/>
    <col min="2056" max="2056" width="12" style="767" customWidth="1"/>
    <col min="2057" max="2058" width="10.90625" style="767" customWidth="1"/>
    <col min="2059" max="2059" width="8.08984375" style="767" customWidth="1"/>
    <col min="2060" max="2061" width="10.90625" style="767" customWidth="1"/>
    <col min="2062" max="2062" width="8.08984375" style="767" customWidth="1"/>
    <col min="2063" max="2064" width="10.90625" style="767" customWidth="1"/>
    <col min="2065" max="2065" width="8.08984375" style="767" customWidth="1"/>
    <col min="2066" max="2307" width="9.08984375" style="767"/>
    <col min="2308" max="2308" width="3.6328125" style="767" customWidth="1"/>
    <col min="2309" max="2309" width="14.453125" style="767" customWidth="1"/>
    <col min="2310" max="2310" width="3.6328125" style="767" customWidth="1"/>
    <col min="2311" max="2311" width="11.453125" style="767" customWidth="1"/>
    <col min="2312" max="2312" width="12" style="767" customWidth="1"/>
    <col min="2313" max="2314" width="10.90625" style="767" customWidth="1"/>
    <col min="2315" max="2315" width="8.08984375" style="767" customWidth="1"/>
    <col min="2316" max="2317" width="10.90625" style="767" customWidth="1"/>
    <col min="2318" max="2318" width="8.08984375" style="767" customWidth="1"/>
    <col min="2319" max="2320" width="10.90625" style="767" customWidth="1"/>
    <col min="2321" max="2321" width="8.08984375" style="767" customWidth="1"/>
    <col min="2322" max="2563" width="9.08984375" style="767"/>
    <col min="2564" max="2564" width="3.6328125" style="767" customWidth="1"/>
    <col min="2565" max="2565" width="14.453125" style="767" customWidth="1"/>
    <col min="2566" max="2566" width="3.6328125" style="767" customWidth="1"/>
    <col min="2567" max="2567" width="11.453125" style="767" customWidth="1"/>
    <col min="2568" max="2568" width="12" style="767" customWidth="1"/>
    <col min="2569" max="2570" width="10.90625" style="767" customWidth="1"/>
    <col min="2571" max="2571" width="8.08984375" style="767" customWidth="1"/>
    <col min="2572" max="2573" width="10.90625" style="767" customWidth="1"/>
    <col min="2574" max="2574" width="8.08984375" style="767" customWidth="1"/>
    <col min="2575" max="2576" width="10.90625" style="767" customWidth="1"/>
    <col min="2577" max="2577" width="8.08984375" style="767" customWidth="1"/>
    <col min="2578" max="2819" width="9.08984375" style="767"/>
    <col min="2820" max="2820" width="3.6328125" style="767" customWidth="1"/>
    <col min="2821" max="2821" width="14.453125" style="767" customWidth="1"/>
    <col min="2822" max="2822" width="3.6328125" style="767" customWidth="1"/>
    <col min="2823" max="2823" width="11.453125" style="767" customWidth="1"/>
    <col min="2824" max="2824" width="12" style="767" customWidth="1"/>
    <col min="2825" max="2826" width="10.90625" style="767" customWidth="1"/>
    <col min="2827" max="2827" width="8.08984375" style="767" customWidth="1"/>
    <col min="2828" max="2829" width="10.90625" style="767" customWidth="1"/>
    <col min="2830" max="2830" width="8.08984375" style="767" customWidth="1"/>
    <col min="2831" max="2832" width="10.90625" style="767" customWidth="1"/>
    <col min="2833" max="2833" width="8.08984375" style="767" customWidth="1"/>
    <col min="2834" max="3075" width="9.08984375" style="767"/>
    <col min="3076" max="3076" width="3.6328125" style="767" customWidth="1"/>
    <col min="3077" max="3077" width="14.453125" style="767" customWidth="1"/>
    <col min="3078" max="3078" width="3.6328125" style="767" customWidth="1"/>
    <col min="3079" max="3079" width="11.453125" style="767" customWidth="1"/>
    <col min="3080" max="3080" width="12" style="767" customWidth="1"/>
    <col min="3081" max="3082" width="10.90625" style="767" customWidth="1"/>
    <col min="3083" max="3083" width="8.08984375" style="767" customWidth="1"/>
    <col min="3084" max="3085" width="10.90625" style="767" customWidth="1"/>
    <col min="3086" max="3086" width="8.08984375" style="767" customWidth="1"/>
    <col min="3087" max="3088" width="10.90625" style="767" customWidth="1"/>
    <col min="3089" max="3089" width="8.08984375" style="767" customWidth="1"/>
    <col min="3090" max="3331" width="9.08984375" style="767"/>
    <col min="3332" max="3332" width="3.6328125" style="767" customWidth="1"/>
    <col min="3333" max="3333" width="14.453125" style="767" customWidth="1"/>
    <col min="3334" max="3334" width="3.6328125" style="767" customWidth="1"/>
    <col min="3335" max="3335" width="11.453125" style="767" customWidth="1"/>
    <col min="3336" max="3336" width="12" style="767" customWidth="1"/>
    <col min="3337" max="3338" width="10.90625" style="767" customWidth="1"/>
    <col min="3339" max="3339" width="8.08984375" style="767" customWidth="1"/>
    <col min="3340" max="3341" width="10.90625" style="767" customWidth="1"/>
    <col min="3342" max="3342" width="8.08984375" style="767" customWidth="1"/>
    <col min="3343" max="3344" width="10.90625" style="767" customWidth="1"/>
    <col min="3345" max="3345" width="8.08984375" style="767" customWidth="1"/>
    <col min="3346" max="3587" width="9.08984375" style="767"/>
    <col min="3588" max="3588" width="3.6328125" style="767" customWidth="1"/>
    <col min="3589" max="3589" width="14.453125" style="767" customWidth="1"/>
    <col min="3590" max="3590" width="3.6328125" style="767" customWidth="1"/>
    <col min="3591" max="3591" width="11.453125" style="767" customWidth="1"/>
    <col min="3592" max="3592" width="12" style="767" customWidth="1"/>
    <col min="3593" max="3594" width="10.90625" style="767" customWidth="1"/>
    <col min="3595" max="3595" width="8.08984375" style="767" customWidth="1"/>
    <col min="3596" max="3597" width="10.90625" style="767" customWidth="1"/>
    <col min="3598" max="3598" width="8.08984375" style="767" customWidth="1"/>
    <col min="3599" max="3600" width="10.90625" style="767" customWidth="1"/>
    <col min="3601" max="3601" width="8.08984375" style="767" customWidth="1"/>
    <col min="3602" max="3843" width="9.08984375" style="767"/>
    <col min="3844" max="3844" width="3.6328125" style="767" customWidth="1"/>
    <col min="3845" max="3845" width="14.453125" style="767" customWidth="1"/>
    <col min="3846" max="3846" width="3.6328125" style="767" customWidth="1"/>
    <col min="3847" max="3847" width="11.453125" style="767" customWidth="1"/>
    <col min="3848" max="3848" width="12" style="767" customWidth="1"/>
    <col min="3849" max="3850" width="10.90625" style="767" customWidth="1"/>
    <col min="3851" max="3851" width="8.08984375" style="767" customWidth="1"/>
    <col min="3852" max="3853" width="10.90625" style="767" customWidth="1"/>
    <col min="3854" max="3854" width="8.08984375" style="767" customWidth="1"/>
    <col min="3855" max="3856" width="10.90625" style="767" customWidth="1"/>
    <col min="3857" max="3857" width="8.08984375" style="767" customWidth="1"/>
    <col min="3858" max="4099" width="9.08984375" style="767"/>
    <col min="4100" max="4100" width="3.6328125" style="767" customWidth="1"/>
    <col min="4101" max="4101" width="14.453125" style="767" customWidth="1"/>
    <col min="4102" max="4102" width="3.6328125" style="767" customWidth="1"/>
    <col min="4103" max="4103" width="11.453125" style="767" customWidth="1"/>
    <col min="4104" max="4104" width="12" style="767" customWidth="1"/>
    <col min="4105" max="4106" width="10.90625" style="767" customWidth="1"/>
    <col min="4107" max="4107" width="8.08984375" style="767" customWidth="1"/>
    <col min="4108" max="4109" width="10.90625" style="767" customWidth="1"/>
    <col min="4110" max="4110" width="8.08984375" style="767" customWidth="1"/>
    <col min="4111" max="4112" width="10.90625" style="767" customWidth="1"/>
    <col min="4113" max="4113" width="8.08984375" style="767" customWidth="1"/>
    <col min="4114" max="4355" width="9.08984375" style="767"/>
    <col min="4356" max="4356" width="3.6328125" style="767" customWidth="1"/>
    <col min="4357" max="4357" width="14.453125" style="767" customWidth="1"/>
    <col min="4358" max="4358" width="3.6328125" style="767" customWidth="1"/>
    <col min="4359" max="4359" width="11.453125" style="767" customWidth="1"/>
    <col min="4360" max="4360" width="12" style="767" customWidth="1"/>
    <col min="4361" max="4362" width="10.90625" style="767" customWidth="1"/>
    <col min="4363" max="4363" width="8.08984375" style="767" customWidth="1"/>
    <col min="4364" max="4365" width="10.90625" style="767" customWidth="1"/>
    <col min="4366" max="4366" width="8.08984375" style="767" customWidth="1"/>
    <col min="4367" max="4368" width="10.90625" style="767" customWidth="1"/>
    <col min="4369" max="4369" width="8.08984375" style="767" customWidth="1"/>
    <col min="4370" max="4611" width="9.08984375" style="767"/>
    <col min="4612" max="4612" width="3.6328125" style="767" customWidth="1"/>
    <col min="4613" max="4613" width="14.453125" style="767" customWidth="1"/>
    <col min="4614" max="4614" width="3.6328125" style="767" customWidth="1"/>
    <col min="4615" max="4615" width="11.453125" style="767" customWidth="1"/>
    <col min="4616" max="4616" width="12" style="767" customWidth="1"/>
    <col min="4617" max="4618" width="10.90625" style="767" customWidth="1"/>
    <col min="4619" max="4619" width="8.08984375" style="767" customWidth="1"/>
    <col min="4620" max="4621" width="10.90625" style="767" customWidth="1"/>
    <col min="4622" max="4622" width="8.08984375" style="767" customWidth="1"/>
    <col min="4623" max="4624" width="10.90625" style="767" customWidth="1"/>
    <col min="4625" max="4625" width="8.08984375" style="767" customWidth="1"/>
    <col min="4626" max="4867" width="9.08984375" style="767"/>
    <col min="4868" max="4868" width="3.6328125" style="767" customWidth="1"/>
    <col min="4869" max="4869" width="14.453125" style="767" customWidth="1"/>
    <col min="4870" max="4870" width="3.6328125" style="767" customWidth="1"/>
    <col min="4871" max="4871" width="11.453125" style="767" customWidth="1"/>
    <col min="4872" max="4872" width="12" style="767" customWidth="1"/>
    <col min="4873" max="4874" width="10.90625" style="767" customWidth="1"/>
    <col min="4875" max="4875" width="8.08984375" style="767" customWidth="1"/>
    <col min="4876" max="4877" width="10.90625" style="767" customWidth="1"/>
    <col min="4878" max="4878" width="8.08984375" style="767" customWidth="1"/>
    <col min="4879" max="4880" width="10.90625" style="767" customWidth="1"/>
    <col min="4881" max="4881" width="8.08984375" style="767" customWidth="1"/>
    <col min="4882" max="5123" width="9.08984375" style="767"/>
    <col min="5124" max="5124" width="3.6328125" style="767" customWidth="1"/>
    <col min="5125" max="5125" width="14.453125" style="767" customWidth="1"/>
    <col min="5126" max="5126" width="3.6328125" style="767" customWidth="1"/>
    <col min="5127" max="5127" width="11.453125" style="767" customWidth="1"/>
    <col min="5128" max="5128" width="12" style="767" customWidth="1"/>
    <col min="5129" max="5130" width="10.90625" style="767" customWidth="1"/>
    <col min="5131" max="5131" width="8.08984375" style="767" customWidth="1"/>
    <col min="5132" max="5133" width="10.90625" style="767" customWidth="1"/>
    <col min="5134" max="5134" width="8.08984375" style="767" customWidth="1"/>
    <col min="5135" max="5136" width="10.90625" style="767" customWidth="1"/>
    <col min="5137" max="5137" width="8.08984375" style="767" customWidth="1"/>
    <col min="5138" max="5379" width="9.08984375" style="767"/>
    <col min="5380" max="5380" width="3.6328125" style="767" customWidth="1"/>
    <col min="5381" max="5381" width="14.453125" style="767" customWidth="1"/>
    <col min="5382" max="5382" width="3.6328125" style="767" customWidth="1"/>
    <col min="5383" max="5383" width="11.453125" style="767" customWidth="1"/>
    <col min="5384" max="5384" width="12" style="767" customWidth="1"/>
    <col min="5385" max="5386" width="10.90625" style="767" customWidth="1"/>
    <col min="5387" max="5387" width="8.08984375" style="767" customWidth="1"/>
    <col min="5388" max="5389" width="10.90625" style="767" customWidth="1"/>
    <col min="5390" max="5390" width="8.08984375" style="767" customWidth="1"/>
    <col min="5391" max="5392" width="10.90625" style="767" customWidth="1"/>
    <col min="5393" max="5393" width="8.08984375" style="767" customWidth="1"/>
    <col min="5394" max="5635" width="9.08984375" style="767"/>
    <col min="5636" max="5636" width="3.6328125" style="767" customWidth="1"/>
    <col min="5637" max="5637" width="14.453125" style="767" customWidth="1"/>
    <col min="5638" max="5638" width="3.6328125" style="767" customWidth="1"/>
    <col min="5639" max="5639" width="11.453125" style="767" customWidth="1"/>
    <col min="5640" max="5640" width="12" style="767" customWidth="1"/>
    <col min="5641" max="5642" width="10.90625" style="767" customWidth="1"/>
    <col min="5643" max="5643" width="8.08984375" style="767" customWidth="1"/>
    <col min="5644" max="5645" width="10.90625" style="767" customWidth="1"/>
    <col min="5646" max="5646" width="8.08984375" style="767" customWidth="1"/>
    <col min="5647" max="5648" width="10.90625" style="767" customWidth="1"/>
    <col min="5649" max="5649" width="8.08984375" style="767" customWidth="1"/>
    <col min="5650" max="5891" width="9.08984375" style="767"/>
    <col min="5892" max="5892" width="3.6328125" style="767" customWidth="1"/>
    <col min="5893" max="5893" width="14.453125" style="767" customWidth="1"/>
    <col min="5894" max="5894" width="3.6328125" style="767" customWidth="1"/>
    <col min="5895" max="5895" width="11.453125" style="767" customWidth="1"/>
    <col min="5896" max="5896" width="12" style="767" customWidth="1"/>
    <col min="5897" max="5898" width="10.90625" style="767" customWidth="1"/>
    <col min="5899" max="5899" width="8.08984375" style="767" customWidth="1"/>
    <col min="5900" max="5901" width="10.90625" style="767" customWidth="1"/>
    <col min="5902" max="5902" width="8.08984375" style="767" customWidth="1"/>
    <col min="5903" max="5904" width="10.90625" style="767" customWidth="1"/>
    <col min="5905" max="5905" width="8.08984375" style="767" customWidth="1"/>
    <col min="5906" max="6147" width="9.08984375" style="767"/>
    <col min="6148" max="6148" width="3.6328125" style="767" customWidth="1"/>
    <col min="6149" max="6149" width="14.453125" style="767" customWidth="1"/>
    <col min="6150" max="6150" width="3.6328125" style="767" customWidth="1"/>
    <col min="6151" max="6151" width="11.453125" style="767" customWidth="1"/>
    <col min="6152" max="6152" width="12" style="767" customWidth="1"/>
    <col min="6153" max="6154" width="10.90625" style="767" customWidth="1"/>
    <col min="6155" max="6155" width="8.08984375" style="767" customWidth="1"/>
    <col min="6156" max="6157" width="10.90625" style="767" customWidth="1"/>
    <col min="6158" max="6158" width="8.08984375" style="767" customWidth="1"/>
    <col min="6159" max="6160" width="10.90625" style="767" customWidth="1"/>
    <col min="6161" max="6161" width="8.08984375" style="767" customWidth="1"/>
    <col min="6162" max="6403" width="9.08984375" style="767"/>
    <col min="6404" max="6404" width="3.6328125" style="767" customWidth="1"/>
    <col min="6405" max="6405" width="14.453125" style="767" customWidth="1"/>
    <col min="6406" max="6406" width="3.6328125" style="767" customWidth="1"/>
    <col min="6407" max="6407" width="11.453125" style="767" customWidth="1"/>
    <col min="6408" max="6408" width="12" style="767" customWidth="1"/>
    <col min="6409" max="6410" width="10.90625" style="767" customWidth="1"/>
    <col min="6411" max="6411" width="8.08984375" style="767" customWidth="1"/>
    <col min="6412" max="6413" width="10.90625" style="767" customWidth="1"/>
    <col min="6414" max="6414" width="8.08984375" style="767" customWidth="1"/>
    <col min="6415" max="6416" width="10.90625" style="767" customWidth="1"/>
    <col min="6417" max="6417" width="8.08984375" style="767" customWidth="1"/>
    <col min="6418" max="6659" width="9.08984375" style="767"/>
    <col min="6660" max="6660" width="3.6328125" style="767" customWidth="1"/>
    <col min="6661" max="6661" width="14.453125" style="767" customWidth="1"/>
    <col min="6662" max="6662" width="3.6328125" style="767" customWidth="1"/>
    <col min="6663" max="6663" width="11.453125" style="767" customWidth="1"/>
    <col min="6664" max="6664" width="12" style="767" customWidth="1"/>
    <col min="6665" max="6666" width="10.90625" style="767" customWidth="1"/>
    <col min="6667" max="6667" width="8.08984375" style="767" customWidth="1"/>
    <col min="6668" max="6669" width="10.90625" style="767" customWidth="1"/>
    <col min="6670" max="6670" width="8.08984375" style="767" customWidth="1"/>
    <col min="6671" max="6672" width="10.90625" style="767" customWidth="1"/>
    <col min="6673" max="6673" width="8.08984375" style="767" customWidth="1"/>
    <col min="6674" max="6915" width="9.08984375" style="767"/>
    <col min="6916" max="6916" width="3.6328125" style="767" customWidth="1"/>
    <col min="6917" max="6917" width="14.453125" style="767" customWidth="1"/>
    <col min="6918" max="6918" width="3.6328125" style="767" customWidth="1"/>
    <col min="6919" max="6919" width="11.453125" style="767" customWidth="1"/>
    <col min="6920" max="6920" width="12" style="767" customWidth="1"/>
    <col min="6921" max="6922" width="10.90625" style="767" customWidth="1"/>
    <col min="6923" max="6923" width="8.08984375" style="767" customWidth="1"/>
    <col min="6924" max="6925" width="10.90625" style="767" customWidth="1"/>
    <col min="6926" max="6926" width="8.08984375" style="767" customWidth="1"/>
    <col min="6927" max="6928" width="10.90625" style="767" customWidth="1"/>
    <col min="6929" max="6929" width="8.08984375" style="767" customWidth="1"/>
    <col min="6930" max="7171" width="9.08984375" style="767"/>
    <col min="7172" max="7172" width="3.6328125" style="767" customWidth="1"/>
    <col min="7173" max="7173" width="14.453125" style="767" customWidth="1"/>
    <col min="7174" max="7174" width="3.6328125" style="767" customWidth="1"/>
    <col min="7175" max="7175" width="11.453125" style="767" customWidth="1"/>
    <col min="7176" max="7176" width="12" style="767" customWidth="1"/>
    <col min="7177" max="7178" width="10.90625" style="767" customWidth="1"/>
    <col min="7179" max="7179" width="8.08984375" style="767" customWidth="1"/>
    <col min="7180" max="7181" width="10.90625" style="767" customWidth="1"/>
    <col min="7182" max="7182" width="8.08984375" style="767" customWidth="1"/>
    <col min="7183" max="7184" width="10.90625" style="767" customWidth="1"/>
    <col min="7185" max="7185" width="8.08984375" style="767" customWidth="1"/>
    <col min="7186" max="7427" width="9.08984375" style="767"/>
    <col min="7428" max="7428" width="3.6328125" style="767" customWidth="1"/>
    <col min="7429" max="7429" width="14.453125" style="767" customWidth="1"/>
    <col min="7430" max="7430" width="3.6328125" style="767" customWidth="1"/>
    <col min="7431" max="7431" width="11.453125" style="767" customWidth="1"/>
    <col min="7432" max="7432" width="12" style="767" customWidth="1"/>
    <col min="7433" max="7434" width="10.90625" style="767" customWidth="1"/>
    <col min="7435" max="7435" width="8.08984375" style="767" customWidth="1"/>
    <col min="7436" max="7437" width="10.90625" style="767" customWidth="1"/>
    <col min="7438" max="7438" width="8.08984375" style="767" customWidth="1"/>
    <col min="7439" max="7440" width="10.90625" style="767" customWidth="1"/>
    <col min="7441" max="7441" width="8.08984375" style="767" customWidth="1"/>
    <col min="7442" max="7683" width="9.08984375" style="767"/>
    <col min="7684" max="7684" width="3.6328125" style="767" customWidth="1"/>
    <col min="7685" max="7685" width="14.453125" style="767" customWidth="1"/>
    <col min="7686" max="7686" width="3.6328125" style="767" customWidth="1"/>
    <col min="7687" max="7687" width="11.453125" style="767" customWidth="1"/>
    <col min="7688" max="7688" width="12" style="767" customWidth="1"/>
    <col min="7689" max="7690" width="10.90625" style="767" customWidth="1"/>
    <col min="7691" max="7691" width="8.08984375" style="767" customWidth="1"/>
    <col min="7692" max="7693" width="10.90625" style="767" customWidth="1"/>
    <col min="7694" max="7694" width="8.08984375" style="767" customWidth="1"/>
    <col min="7695" max="7696" width="10.90625" style="767" customWidth="1"/>
    <col min="7697" max="7697" width="8.08984375" style="767" customWidth="1"/>
    <col min="7698" max="7939" width="9.08984375" style="767"/>
    <col min="7940" max="7940" width="3.6328125" style="767" customWidth="1"/>
    <col min="7941" max="7941" width="14.453125" style="767" customWidth="1"/>
    <col min="7942" max="7942" width="3.6328125" style="767" customWidth="1"/>
    <col min="7943" max="7943" width="11.453125" style="767" customWidth="1"/>
    <col min="7944" max="7944" width="12" style="767" customWidth="1"/>
    <col min="7945" max="7946" width="10.90625" style="767" customWidth="1"/>
    <col min="7947" max="7947" width="8.08984375" style="767" customWidth="1"/>
    <col min="7948" max="7949" width="10.90625" style="767" customWidth="1"/>
    <col min="7950" max="7950" width="8.08984375" style="767" customWidth="1"/>
    <col min="7951" max="7952" width="10.90625" style="767" customWidth="1"/>
    <col min="7953" max="7953" width="8.08984375" style="767" customWidth="1"/>
    <col min="7954" max="8195" width="9.08984375" style="767"/>
    <col min="8196" max="8196" width="3.6328125" style="767" customWidth="1"/>
    <col min="8197" max="8197" width="14.453125" style="767" customWidth="1"/>
    <col min="8198" max="8198" width="3.6328125" style="767" customWidth="1"/>
    <col min="8199" max="8199" width="11.453125" style="767" customWidth="1"/>
    <col min="8200" max="8200" width="12" style="767" customWidth="1"/>
    <col min="8201" max="8202" width="10.90625" style="767" customWidth="1"/>
    <col min="8203" max="8203" width="8.08984375" style="767" customWidth="1"/>
    <col min="8204" max="8205" width="10.90625" style="767" customWidth="1"/>
    <col min="8206" max="8206" width="8.08984375" style="767" customWidth="1"/>
    <col min="8207" max="8208" width="10.90625" style="767" customWidth="1"/>
    <col min="8209" max="8209" width="8.08984375" style="767" customWidth="1"/>
    <col min="8210" max="8451" width="9.08984375" style="767"/>
    <col min="8452" max="8452" width="3.6328125" style="767" customWidth="1"/>
    <col min="8453" max="8453" width="14.453125" style="767" customWidth="1"/>
    <col min="8454" max="8454" width="3.6328125" style="767" customWidth="1"/>
    <col min="8455" max="8455" width="11.453125" style="767" customWidth="1"/>
    <col min="8456" max="8456" width="12" style="767" customWidth="1"/>
    <col min="8457" max="8458" width="10.90625" style="767" customWidth="1"/>
    <col min="8459" max="8459" width="8.08984375" style="767" customWidth="1"/>
    <col min="8460" max="8461" width="10.90625" style="767" customWidth="1"/>
    <col min="8462" max="8462" width="8.08984375" style="767" customWidth="1"/>
    <col min="8463" max="8464" width="10.90625" style="767" customWidth="1"/>
    <col min="8465" max="8465" width="8.08984375" style="767" customWidth="1"/>
    <col min="8466" max="8707" width="9.08984375" style="767"/>
    <col min="8708" max="8708" width="3.6328125" style="767" customWidth="1"/>
    <col min="8709" max="8709" width="14.453125" style="767" customWidth="1"/>
    <col min="8710" max="8710" width="3.6328125" style="767" customWidth="1"/>
    <col min="8711" max="8711" width="11.453125" style="767" customWidth="1"/>
    <col min="8712" max="8712" width="12" style="767" customWidth="1"/>
    <col min="8713" max="8714" width="10.90625" style="767" customWidth="1"/>
    <col min="8715" max="8715" width="8.08984375" style="767" customWidth="1"/>
    <col min="8716" max="8717" width="10.90625" style="767" customWidth="1"/>
    <col min="8718" max="8718" width="8.08984375" style="767" customWidth="1"/>
    <col min="8719" max="8720" width="10.90625" style="767" customWidth="1"/>
    <col min="8721" max="8721" width="8.08984375" style="767" customWidth="1"/>
    <col min="8722" max="8963" width="9.08984375" style="767"/>
    <col min="8964" max="8964" width="3.6328125" style="767" customWidth="1"/>
    <col min="8965" max="8965" width="14.453125" style="767" customWidth="1"/>
    <col min="8966" max="8966" width="3.6328125" style="767" customWidth="1"/>
    <col min="8967" max="8967" width="11.453125" style="767" customWidth="1"/>
    <col min="8968" max="8968" width="12" style="767" customWidth="1"/>
    <col min="8969" max="8970" width="10.90625" style="767" customWidth="1"/>
    <col min="8971" max="8971" width="8.08984375" style="767" customWidth="1"/>
    <col min="8972" max="8973" width="10.90625" style="767" customWidth="1"/>
    <col min="8974" max="8974" width="8.08984375" style="767" customWidth="1"/>
    <col min="8975" max="8976" width="10.90625" style="767" customWidth="1"/>
    <col min="8977" max="8977" width="8.08984375" style="767" customWidth="1"/>
    <col min="8978" max="9219" width="9.08984375" style="767"/>
    <col min="9220" max="9220" width="3.6328125" style="767" customWidth="1"/>
    <col min="9221" max="9221" width="14.453125" style="767" customWidth="1"/>
    <col min="9222" max="9222" width="3.6328125" style="767" customWidth="1"/>
    <col min="9223" max="9223" width="11.453125" style="767" customWidth="1"/>
    <col min="9224" max="9224" width="12" style="767" customWidth="1"/>
    <col min="9225" max="9226" width="10.90625" style="767" customWidth="1"/>
    <col min="9227" max="9227" width="8.08984375" style="767" customWidth="1"/>
    <col min="9228" max="9229" width="10.90625" style="767" customWidth="1"/>
    <col min="9230" max="9230" width="8.08984375" style="767" customWidth="1"/>
    <col min="9231" max="9232" width="10.90625" style="767" customWidth="1"/>
    <col min="9233" max="9233" width="8.08984375" style="767" customWidth="1"/>
    <col min="9234" max="9475" width="9.08984375" style="767"/>
    <col min="9476" max="9476" width="3.6328125" style="767" customWidth="1"/>
    <col min="9477" max="9477" width="14.453125" style="767" customWidth="1"/>
    <col min="9478" max="9478" width="3.6328125" style="767" customWidth="1"/>
    <col min="9479" max="9479" width="11.453125" style="767" customWidth="1"/>
    <col min="9480" max="9480" width="12" style="767" customWidth="1"/>
    <col min="9481" max="9482" width="10.90625" style="767" customWidth="1"/>
    <col min="9483" max="9483" width="8.08984375" style="767" customWidth="1"/>
    <col min="9484" max="9485" width="10.90625" style="767" customWidth="1"/>
    <col min="9486" max="9486" width="8.08984375" style="767" customWidth="1"/>
    <col min="9487" max="9488" width="10.90625" style="767" customWidth="1"/>
    <col min="9489" max="9489" width="8.08984375" style="767" customWidth="1"/>
    <col min="9490" max="9731" width="9.08984375" style="767"/>
    <col min="9732" max="9732" width="3.6328125" style="767" customWidth="1"/>
    <col min="9733" max="9733" width="14.453125" style="767" customWidth="1"/>
    <col min="9734" max="9734" width="3.6328125" style="767" customWidth="1"/>
    <col min="9735" max="9735" width="11.453125" style="767" customWidth="1"/>
    <col min="9736" max="9736" width="12" style="767" customWidth="1"/>
    <col min="9737" max="9738" width="10.90625" style="767" customWidth="1"/>
    <col min="9739" max="9739" width="8.08984375" style="767" customWidth="1"/>
    <col min="9740" max="9741" width="10.90625" style="767" customWidth="1"/>
    <col min="9742" max="9742" width="8.08984375" style="767" customWidth="1"/>
    <col min="9743" max="9744" width="10.90625" style="767" customWidth="1"/>
    <col min="9745" max="9745" width="8.08984375" style="767" customWidth="1"/>
    <col min="9746" max="9987" width="9.08984375" style="767"/>
    <col min="9988" max="9988" width="3.6328125" style="767" customWidth="1"/>
    <col min="9989" max="9989" width="14.453125" style="767" customWidth="1"/>
    <col min="9990" max="9990" width="3.6328125" style="767" customWidth="1"/>
    <col min="9991" max="9991" width="11.453125" style="767" customWidth="1"/>
    <col min="9992" max="9992" width="12" style="767" customWidth="1"/>
    <col min="9993" max="9994" width="10.90625" style="767" customWidth="1"/>
    <col min="9995" max="9995" width="8.08984375" style="767" customWidth="1"/>
    <col min="9996" max="9997" width="10.90625" style="767" customWidth="1"/>
    <col min="9998" max="9998" width="8.08984375" style="767" customWidth="1"/>
    <col min="9999" max="10000" width="10.90625" style="767" customWidth="1"/>
    <col min="10001" max="10001" width="8.08984375" style="767" customWidth="1"/>
    <col min="10002" max="10243" width="9.08984375" style="767"/>
    <col min="10244" max="10244" width="3.6328125" style="767" customWidth="1"/>
    <col min="10245" max="10245" width="14.453125" style="767" customWidth="1"/>
    <col min="10246" max="10246" width="3.6328125" style="767" customWidth="1"/>
    <col min="10247" max="10247" width="11.453125" style="767" customWidth="1"/>
    <col min="10248" max="10248" width="12" style="767" customWidth="1"/>
    <col min="10249" max="10250" width="10.90625" style="767" customWidth="1"/>
    <col min="10251" max="10251" width="8.08984375" style="767" customWidth="1"/>
    <col min="10252" max="10253" width="10.90625" style="767" customWidth="1"/>
    <col min="10254" max="10254" width="8.08984375" style="767" customWidth="1"/>
    <col min="10255" max="10256" width="10.90625" style="767" customWidth="1"/>
    <col min="10257" max="10257" width="8.08984375" style="767" customWidth="1"/>
    <col min="10258" max="10499" width="9.08984375" style="767"/>
    <col min="10500" max="10500" width="3.6328125" style="767" customWidth="1"/>
    <col min="10501" max="10501" width="14.453125" style="767" customWidth="1"/>
    <col min="10502" max="10502" width="3.6328125" style="767" customWidth="1"/>
    <col min="10503" max="10503" width="11.453125" style="767" customWidth="1"/>
    <col min="10504" max="10504" width="12" style="767" customWidth="1"/>
    <col min="10505" max="10506" width="10.90625" style="767" customWidth="1"/>
    <col min="10507" max="10507" width="8.08984375" style="767" customWidth="1"/>
    <col min="10508" max="10509" width="10.90625" style="767" customWidth="1"/>
    <col min="10510" max="10510" width="8.08984375" style="767" customWidth="1"/>
    <col min="10511" max="10512" width="10.90625" style="767" customWidth="1"/>
    <col min="10513" max="10513" width="8.08984375" style="767" customWidth="1"/>
    <col min="10514" max="10755" width="9.08984375" style="767"/>
    <col min="10756" max="10756" width="3.6328125" style="767" customWidth="1"/>
    <col min="10757" max="10757" width="14.453125" style="767" customWidth="1"/>
    <col min="10758" max="10758" width="3.6328125" style="767" customWidth="1"/>
    <col min="10759" max="10759" width="11.453125" style="767" customWidth="1"/>
    <col min="10760" max="10760" width="12" style="767" customWidth="1"/>
    <col min="10761" max="10762" width="10.90625" style="767" customWidth="1"/>
    <col min="10763" max="10763" width="8.08984375" style="767" customWidth="1"/>
    <col min="10764" max="10765" width="10.90625" style="767" customWidth="1"/>
    <col min="10766" max="10766" width="8.08984375" style="767" customWidth="1"/>
    <col min="10767" max="10768" width="10.90625" style="767" customWidth="1"/>
    <col min="10769" max="10769" width="8.08984375" style="767" customWidth="1"/>
    <col min="10770" max="11011" width="9.08984375" style="767"/>
    <col min="11012" max="11012" width="3.6328125" style="767" customWidth="1"/>
    <col min="11013" max="11013" width="14.453125" style="767" customWidth="1"/>
    <col min="11014" max="11014" width="3.6328125" style="767" customWidth="1"/>
    <col min="11015" max="11015" width="11.453125" style="767" customWidth="1"/>
    <col min="11016" max="11016" width="12" style="767" customWidth="1"/>
    <col min="11017" max="11018" width="10.90625" style="767" customWidth="1"/>
    <col min="11019" max="11019" width="8.08984375" style="767" customWidth="1"/>
    <col min="11020" max="11021" width="10.90625" style="767" customWidth="1"/>
    <col min="11022" max="11022" width="8.08984375" style="767" customWidth="1"/>
    <col min="11023" max="11024" width="10.90625" style="767" customWidth="1"/>
    <col min="11025" max="11025" width="8.08984375" style="767" customWidth="1"/>
    <col min="11026" max="11267" width="9.08984375" style="767"/>
    <col min="11268" max="11268" width="3.6328125" style="767" customWidth="1"/>
    <col min="11269" max="11269" width="14.453125" style="767" customWidth="1"/>
    <col min="11270" max="11270" width="3.6328125" style="767" customWidth="1"/>
    <col min="11271" max="11271" width="11.453125" style="767" customWidth="1"/>
    <col min="11272" max="11272" width="12" style="767" customWidth="1"/>
    <col min="11273" max="11274" width="10.90625" style="767" customWidth="1"/>
    <col min="11275" max="11275" width="8.08984375" style="767" customWidth="1"/>
    <col min="11276" max="11277" width="10.90625" style="767" customWidth="1"/>
    <col min="11278" max="11278" width="8.08984375" style="767" customWidth="1"/>
    <col min="11279" max="11280" width="10.90625" style="767" customWidth="1"/>
    <col min="11281" max="11281" width="8.08984375" style="767" customWidth="1"/>
    <col min="11282" max="11523" width="9.08984375" style="767"/>
    <col min="11524" max="11524" width="3.6328125" style="767" customWidth="1"/>
    <col min="11525" max="11525" width="14.453125" style="767" customWidth="1"/>
    <col min="11526" max="11526" width="3.6328125" style="767" customWidth="1"/>
    <col min="11527" max="11527" width="11.453125" style="767" customWidth="1"/>
    <col min="11528" max="11528" width="12" style="767" customWidth="1"/>
    <col min="11529" max="11530" width="10.90625" style="767" customWidth="1"/>
    <col min="11531" max="11531" width="8.08984375" style="767" customWidth="1"/>
    <col min="11532" max="11533" width="10.90625" style="767" customWidth="1"/>
    <col min="11534" max="11534" width="8.08984375" style="767" customWidth="1"/>
    <col min="11535" max="11536" width="10.90625" style="767" customWidth="1"/>
    <col min="11537" max="11537" width="8.08984375" style="767" customWidth="1"/>
    <col min="11538" max="11779" width="9.08984375" style="767"/>
    <col min="11780" max="11780" width="3.6328125" style="767" customWidth="1"/>
    <col min="11781" max="11781" width="14.453125" style="767" customWidth="1"/>
    <col min="11782" max="11782" width="3.6328125" style="767" customWidth="1"/>
    <col min="11783" max="11783" width="11.453125" style="767" customWidth="1"/>
    <col min="11784" max="11784" width="12" style="767" customWidth="1"/>
    <col min="11785" max="11786" width="10.90625" style="767" customWidth="1"/>
    <col min="11787" max="11787" width="8.08984375" style="767" customWidth="1"/>
    <col min="11788" max="11789" width="10.90625" style="767" customWidth="1"/>
    <col min="11790" max="11790" width="8.08984375" style="767" customWidth="1"/>
    <col min="11791" max="11792" width="10.90625" style="767" customWidth="1"/>
    <col min="11793" max="11793" width="8.08984375" style="767" customWidth="1"/>
    <col min="11794" max="12035" width="9.08984375" style="767"/>
    <col min="12036" max="12036" width="3.6328125" style="767" customWidth="1"/>
    <col min="12037" max="12037" width="14.453125" style="767" customWidth="1"/>
    <col min="12038" max="12038" width="3.6328125" style="767" customWidth="1"/>
    <col min="12039" max="12039" width="11.453125" style="767" customWidth="1"/>
    <col min="12040" max="12040" width="12" style="767" customWidth="1"/>
    <col min="12041" max="12042" width="10.90625" style="767" customWidth="1"/>
    <col min="12043" max="12043" width="8.08984375" style="767" customWidth="1"/>
    <col min="12044" max="12045" width="10.90625" style="767" customWidth="1"/>
    <col min="12046" max="12046" width="8.08984375" style="767" customWidth="1"/>
    <col min="12047" max="12048" width="10.90625" style="767" customWidth="1"/>
    <col min="12049" max="12049" width="8.08984375" style="767" customWidth="1"/>
    <col min="12050" max="12291" width="9.08984375" style="767"/>
    <col min="12292" max="12292" width="3.6328125" style="767" customWidth="1"/>
    <col min="12293" max="12293" width="14.453125" style="767" customWidth="1"/>
    <col min="12294" max="12294" width="3.6328125" style="767" customWidth="1"/>
    <col min="12295" max="12295" width="11.453125" style="767" customWidth="1"/>
    <col min="12296" max="12296" width="12" style="767" customWidth="1"/>
    <col min="12297" max="12298" width="10.90625" style="767" customWidth="1"/>
    <col min="12299" max="12299" width="8.08984375" style="767" customWidth="1"/>
    <col min="12300" max="12301" width="10.90625" style="767" customWidth="1"/>
    <col min="12302" max="12302" width="8.08984375" style="767" customWidth="1"/>
    <col min="12303" max="12304" width="10.90625" style="767" customWidth="1"/>
    <col min="12305" max="12305" width="8.08984375" style="767" customWidth="1"/>
    <col min="12306" max="12547" width="9.08984375" style="767"/>
    <col min="12548" max="12548" width="3.6328125" style="767" customWidth="1"/>
    <col min="12549" max="12549" width="14.453125" style="767" customWidth="1"/>
    <col min="12550" max="12550" width="3.6328125" style="767" customWidth="1"/>
    <col min="12551" max="12551" width="11.453125" style="767" customWidth="1"/>
    <col min="12552" max="12552" width="12" style="767" customWidth="1"/>
    <col min="12553" max="12554" width="10.90625" style="767" customWidth="1"/>
    <col min="12555" max="12555" width="8.08984375" style="767" customWidth="1"/>
    <col min="12556" max="12557" width="10.90625" style="767" customWidth="1"/>
    <col min="12558" max="12558" width="8.08984375" style="767" customWidth="1"/>
    <col min="12559" max="12560" width="10.90625" style="767" customWidth="1"/>
    <col min="12561" max="12561" width="8.08984375" style="767" customWidth="1"/>
    <col min="12562" max="12803" width="9.08984375" style="767"/>
    <col min="12804" max="12804" width="3.6328125" style="767" customWidth="1"/>
    <col min="12805" max="12805" width="14.453125" style="767" customWidth="1"/>
    <col min="12806" max="12806" width="3.6328125" style="767" customWidth="1"/>
    <col min="12807" max="12807" width="11.453125" style="767" customWidth="1"/>
    <col min="12808" max="12808" width="12" style="767" customWidth="1"/>
    <col min="12809" max="12810" width="10.90625" style="767" customWidth="1"/>
    <col min="12811" max="12811" width="8.08984375" style="767" customWidth="1"/>
    <col min="12812" max="12813" width="10.90625" style="767" customWidth="1"/>
    <col min="12814" max="12814" width="8.08984375" style="767" customWidth="1"/>
    <col min="12815" max="12816" width="10.90625" style="767" customWidth="1"/>
    <col min="12817" max="12817" width="8.08984375" style="767" customWidth="1"/>
    <col min="12818" max="13059" width="9.08984375" style="767"/>
    <col min="13060" max="13060" width="3.6328125" style="767" customWidth="1"/>
    <col min="13061" max="13061" width="14.453125" style="767" customWidth="1"/>
    <col min="13062" max="13062" width="3.6328125" style="767" customWidth="1"/>
    <col min="13063" max="13063" width="11.453125" style="767" customWidth="1"/>
    <col min="13064" max="13064" width="12" style="767" customWidth="1"/>
    <col min="13065" max="13066" width="10.90625" style="767" customWidth="1"/>
    <col min="13067" max="13067" width="8.08984375" style="767" customWidth="1"/>
    <col min="13068" max="13069" width="10.90625" style="767" customWidth="1"/>
    <col min="13070" max="13070" width="8.08984375" style="767" customWidth="1"/>
    <col min="13071" max="13072" width="10.90625" style="767" customWidth="1"/>
    <col min="13073" max="13073" width="8.08984375" style="767" customWidth="1"/>
    <col min="13074" max="13315" width="9.08984375" style="767"/>
    <col min="13316" max="13316" width="3.6328125" style="767" customWidth="1"/>
    <col min="13317" max="13317" width="14.453125" style="767" customWidth="1"/>
    <col min="13318" max="13318" width="3.6328125" style="767" customWidth="1"/>
    <col min="13319" max="13319" width="11.453125" style="767" customWidth="1"/>
    <col min="13320" max="13320" width="12" style="767" customWidth="1"/>
    <col min="13321" max="13322" width="10.90625" style="767" customWidth="1"/>
    <col min="13323" max="13323" width="8.08984375" style="767" customWidth="1"/>
    <col min="13324" max="13325" width="10.90625" style="767" customWidth="1"/>
    <col min="13326" max="13326" width="8.08984375" style="767" customWidth="1"/>
    <col min="13327" max="13328" width="10.90625" style="767" customWidth="1"/>
    <col min="13329" max="13329" width="8.08984375" style="767" customWidth="1"/>
    <col min="13330" max="13571" width="9.08984375" style="767"/>
    <col min="13572" max="13572" width="3.6328125" style="767" customWidth="1"/>
    <col min="13573" max="13573" width="14.453125" style="767" customWidth="1"/>
    <col min="13574" max="13574" width="3.6328125" style="767" customWidth="1"/>
    <col min="13575" max="13575" width="11.453125" style="767" customWidth="1"/>
    <col min="13576" max="13576" width="12" style="767" customWidth="1"/>
    <col min="13577" max="13578" width="10.90625" style="767" customWidth="1"/>
    <col min="13579" max="13579" width="8.08984375" style="767" customWidth="1"/>
    <col min="13580" max="13581" width="10.90625" style="767" customWidth="1"/>
    <col min="13582" max="13582" width="8.08984375" style="767" customWidth="1"/>
    <col min="13583" max="13584" width="10.90625" style="767" customWidth="1"/>
    <col min="13585" max="13585" width="8.08984375" style="767" customWidth="1"/>
    <col min="13586" max="13827" width="9.08984375" style="767"/>
    <col min="13828" max="13828" width="3.6328125" style="767" customWidth="1"/>
    <col min="13829" max="13829" width="14.453125" style="767" customWidth="1"/>
    <col min="13830" max="13830" width="3.6328125" style="767" customWidth="1"/>
    <col min="13831" max="13831" width="11.453125" style="767" customWidth="1"/>
    <col min="13832" max="13832" width="12" style="767" customWidth="1"/>
    <col min="13833" max="13834" width="10.90625" style="767" customWidth="1"/>
    <col min="13835" max="13835" width="8.08984375" style="767" customWidth="1"/>
    <col min="13836" max="13837" width="10.90625" style="767" customWidth="1"/>
    <col min="13838" max="13838" width="8.08984375" style="767" customWidth="1"/>
    <col min="13839" max="13840" width="10.90625" style="767" customWidth="1"/>
    <col min="13841" max="13841" width="8.08984375" style="767" customWidth="1"/>
    <col min="13842" max="14083" width="9.08984375" style="767"/>
    <col min="14084" max="14084" width="3.6328125" style="767" customWidth="1"/>
    <col min="14085" max="14085" width="14.453125" style="767" customWidth="1"/>
    <col min="14086" max="14086" width="3.6328125" style="767" customWidth="1"/>
    <col min="14087" max="14087" width="11.453125" style="767" customWidth="1"/>
    <col min="14088" max="14088" width="12" style="767" customWidth="1"/>
    <col min="14089" max="14090" width="10.90625" style="767" customWidth="1"/>
    <col min="14091" max="14091" width="8.08984375" style="767" customWidth="1"/>
    <col min="14092" max="14093" width="10.90625" style="767" customWidth="1"/>
    <col min="14094" max="14094" width="8.08984375" style="767" customWidth="1"/>
    <col min="14095" max="14096" width="10.90625" style="767" customWidth="1"/>
    <col min="14097" max="14097" width="8.08984375" style="767" customWidth="1"/>
    <col min="14098" max="14339" width="9.08984375" style="767"/>
    <col min="14340" max="14340" width="3.6328125" style="767" customWidth="1"/>
    <col min="14341" max="14341" width="14.453125" style="767" customWidth="1"/>
    <col min="14342" max="14342" width="3.6328125" style="767" customWidth="1"/>
    <col min="14343" max="14343" width="11.453125" style="767" customWidth="1"/>
    <col min="14344" max="14344" width="12" style="767" customWidth="1"/>
    <col min="14345" max="14346" width="10.90625" style="767" customWidth="1"/>
    <col min="14347" max="14347" width="8.08984375" style="767" customWidth="1"/>
    <col min="14348" max="14349" width="10.90625" style="767" customWidth="1"/>
    <col min="14350" max="14350" width="8.08984375" style="767" customWidth="1"/>
    <col min="14351" max="14352" width="10.90625" style="767" customWidth="1"/>
    <col min="14353" max="14353" width="8.08984375" style="767" customWidth="1"/>
    <col min="14354" max="14595" width="9.08984375" style="767"/>
    <col min="14596" max="14596" width="3.6328125" style="767" customWidth="1"/>
    <col min="14597" max="14597" width="14.453125" style="767" customWidth="1"/>
    <col min="14598" max="14598" width="3.6328125" style="767" customWidth="1"/>
    <col min="14599" max="14599" width="11.453125" style="767" customWidth="1"/>
    <col min="14600" max="14600" width="12" style="767" customWidth="1"/>
    <col min="14601" max="14602" width="10.90625" style="767" customWidth="1"/>
    <col min="14603" max="14603" width="8.08984375" style="767" customWidth="1"/>
    <col min="14604" max="14605" width="10.90625" style="767" customWidth="1"/>
    <col min="14606" max="14606" width="8.08984375" style="767" customWidth="1"/>
    <col min="14607" max="14608" width="10.90625" style="767" customWidth="1"/>
    <col min="14609" max="14609" width="8.08984375" style="767" customWidth="1"/>
    <col min="14610" max="14851" width="9.08984375" style="767"/>
    <col min="14852" max="14852" width="3.6328125" style="767" customWidth="1"/>
    <col min="14853" max="14853" width="14.453125" style="767" customWidth="1"/>
    <col min="14854" max="14854" width="3.6328125" style="767" customWidth="1"/>
    <col min="14855" max="14855" width="11.453125" style="767" customWidth="1"/>
    <col min="14856" max="14856" width="12" style="767" customWidth="1"/>
    <col min="14857" max="14858" width="10.90625" style="767" customWidth="1"/>
    <col min="14859" max="14859" width="8.08984375" style="767" customWidth="1"/>
    <col min="14860" max="14861" width="10.90625" style="767" customWidth="1"/>
    <col min="14862" max="14862" width="8.08984375" style="767" customWidth="1"/>
    <col min="14863" max="14864" width="10.90625" style="767" customWidth="1"/>
    <col min="14865" max="14865" width="8.08984375" style="767" customWidth="1"/>
    <col min="14866" max="15107" width="9.08984375" style="767"/>
    <col min="15108" max="15108" width="3.6328125" style="767" customWidth="1"/>
    <col min="15109" max="15109" width="14.453125" style="767" customWidth="1"/>
    <col min="15110" max="15110" width="3.6328125" style="767" customWidth="1"/>
    <col min="15111" max="15111" width="11.453125" style="767" customWidth="1"/>
    <col min="15112" max="15112" width="12" style="767" customWidth="1"/>
    <col min="15113" max="15114" width="10.90625" style="767" customWidth="1"/>
    <col min="15115" max="15115" width="8.08984375" style="767" customWidth="1"/>
    <col min="15116" max="15117" width="10.90625" style="767" customWidth="1"/>
    <col min="15118" max="15118" width="8.08984375" style="767" customWidth="1"/>
    <col min="15119" max="15120" width="10.90625" style="767" customWidth="1"/>
    <col min="15121" max="15121" width="8.08984375" style="767" customWidth="1"/>
    <col min="15122" max="15363" width="9.08984375" style="767"/>
    <col min="15364" max="15364" width="3.6328125" style="767" customWidth="1"/>
    <col min="15365" max="15365" width="14.453125" style="767" customWidth="1"/>
    <col min="15366" max="15366" width="3.6328125" style="767" customWidth="1"/>
    <col min="15367" max="15367" width="11.453125" style="767" customWidth="1"/>
    <col min="15368" max="15368" width="12" style="767" customWidth="1"/>
    <col min="15369" max="15370" width="10.90625" style="767" customWidth="1"/>
    <col min="15371" max="15371" width="8.08984375" style="767" customWidth="1"/>
    <col min="15372" max="15373" width="10.90625" style="767" customWidth="1"/>
    <col min="15374" max="15374" width="8.08984375" style="767" customWidth="1"/>
    <col min="15375" max="15376" width="10.90625" style="767" customWidth="1"/>
    <col min="15377" max="15377" width="8.08984375" style="767" customWidth="1"/>
    <col min="15378" max="15619" width="9.08984375" style="767"/>
    <col min="15620" max="15620" width="3.6328125" style="767" customWidth="1"/>
    <col min="15621" max="15621" width="14.453125" style="767" customWidth="1"/>
    <col min="15622" max="15622" width="3.6328125" style="767" customWidth="1"/>
    <col min="15623" max="15623" width="11.453125" style="767" customWidth="1"/>
    <col min="15624" max="15624" width="12" style="767" customWidth="1"/>
    <col min="15625" max="15626" width="10.90625" style="767" customWidth="1"/>
    <col min="15627" max="15627" width="8.08984375" style="767" customWidth="1"/>
    <col min="15628" max="15629" width="10.90625" style="767" customWidth="1"/>
    <col min="15630" max="15630" width="8.08984375" style="767" customWidth="1"/>
    <col min="15631" max="15632" width="10.90625" style="767" customWidth="1"/>
    <col min="15633" max="15633" width="8.08984375" style="767" customWidth="1"/>
    <col min="15634" max="15875" width="9.08984375" style="767"/>
    <col min="15876" max="15876" width="3.6328125" style="767" customWidth="1"/>
    <col min="15877" max="15877" width="14.453125" style="767" customWidth="1"/>
    <col min="15878" max="15878" width="3.6328125" style="767" customWidth="1"/>
    <col min="15879" max="15879" width="11.453125" style="767" customWidth="1"/>
    <col min="15880" max="15880" width="12" style="767" customWidth="1"/>
    <col min="15881" max="15882" width="10.90625" style="767" customWidth="1"/>
    <col min="15883" max="15883" width="8.08984375" style="767" customWidth="1"/>
    <col min="15884" max="15885" width="10.90625" style="767" customWidth="1"/>
    <col min="15886" max="15886" width="8.08984375" style="767" customWidth="1"/>
    <col min="15887" max="15888" width="10.90625" style="767" customWidth="1"/>
    <col min="15889" max="15889" width="8.08984375" style="767" customWidth="1"/>
    <col min="15890" max="16131" width="9.08984375" style="767"/>
    <col min="16132" max="16132" width="3.6328125" style="767" customWidth="1"/>
    <col min="16133" max="16133" width="14.453125" style="767" customWidth="1"/>
    <col min="16134" max="16134" width="3.6328125" style="767" customWidth="1"/>
    <col min="16135" max="16135" width="11.453125" style="767" customWidth="1"/>
    <col min="16136" max="16136" width="12" style="767" customWidth="1"/>
    <col min="16137" max="16138" width="10.90625" style="767" customWidth="1"/>
    <col min="16139" max="16139" width="8.08984375" style="767" customWidth="1"/>
    <col min="16140" max="16141" width="10.90625" style="767" customWidth="1"/>
    <col min="16142" max="16142" width="8.08984375" style="767" customWidth="1"/>
    <col min="16143" max="16144" width="10.90625" style="767" customWidth="1"/>
    <col min="16145" max="16145" width="8.08984375" style="767" customWidth="1"/>
    <col min="16146" max="16384" width="9.08984375" style="767"/>
  </cols>
  <sheetData>
    <row r="1" spans="1:22" x14ac:dyDescent="0.3">
      <c r="B1" s="1522"/>
    </row>
    <row r="2" spans="1:22" s="1764" customFormat="1" ht="15" customHeight="1" x14ac:dyDescent="0.3">
      <c r="A2" s="1255">
        <v>1</v>
      </c>
      <c r="B2" s="1255" t="s">
        <v>0</v>
      </c>
      <c r="C2" s="1255">
        <v>54</v>
      </c>
      <c r="D2" s="4733" t="s">
        <v>1244</v>
      </c>
      <c r="E2" s="4734"/>
      <c r="F2" s="4734"/>
      <c r="G2" s="4734"/>
      <c r="H2" s="4734"/>
      <c r="I2" s="4734"/>
      <c r="J2" s="4734"/>
      <c r="K2" s="4734"/>
      <c r="L2" s="4734"/>
      <c r="M2" s="4734"/>
      <c r="N2" s="4734"/>
      <c r="O2" s="4734"/>
      <c r="P2" s="4734"/>
      <c r="Q2" s="4734"/>
      <c r="R2" s="4734"/>
      <c r="S2" s="4734"/>
      <c r="T2" s="4735"/>
      <c r="U2" s="2999"/>
      <c r="V2" s="2999"/>
    </row>
    <row r="3" spans="1:22" s="1764" customFormat="1" ht="15" customHeight="1" x14ac:dyDescent="0.3">
      <c r="A3" s="1255">
        <v>2</v>
      </c>
      <c r="B3" s="1255" t="s">
        <v>2</v>
      </c>
      <c r="C3" s="1255"/>
      <c r="D3" s="4733" t="s">
        <v>1201</v>
      </c>
      <c r="E3" s="4734"/>
      <c r="F3" s="4734"/>
      <c r="G3" s="4734"/>
      <c r="H3" s="4734"/>
      <c r="I3" s="4734"/>
      <c r="J3" s="4734"/>
      <c r="K3" s="4734"/>
      <c r="L3" s="4734"/>
      <c r="M3" s="4734"/>
      <c r="N3" s="4734"/>
      <c r="O3" s="4734"/>
      <c r="P3" s="4734"/>
      <c r="Q3" s="4734"/>
      <c r="R3" s="4734"/>
      <c r="S3" s="4734"/>
      <c r="T3" s="4735"/>
    </row>
    <row r="4" spans="1:22" s="1764" customFormat="1" ht="15" customHeight="1" x14ac:dyDescent="0.3">
      <c r="A4" s="1255">
        <v>3</v>
      </c>
      <c r="B4" s="1255" t="s">
        <v>4</v>
      </c>
      <c r="C4" s="1255"/>
      <c r="D4" s="4733" t="s">
        <v>1245</v>
      </c>
      <c r="E4" s="4734"/>
      <c r="F4" s="4734"/>
      <c r="G4" s="4734"/>
      <c r="H4" s="4734"/>
      <c r="I4" s="4734"/>
      <c r="J4" s="4734"/>
      <c r="K4" s="4734"/>
      <c r="L4" s="4734"/>
      <c r="M4" s="4734"/>
      <c r="N4" s="4734"/>
      <c r="O4" s="4734"/>
      <c r="P4" s="4734"/>
      <c r="Q4" s="4734"/>
      <c r="R4" s="4734"/>
      <c r="S4" s="4734"/>
      <c r="T4" s="4735"/>
    </row>
    <row r="5" spans="1:22" s="1764" customFormat="1" ht="15" customHeight="1" x14ac:dyDescent="0.35">
      <c r="A5" s="1255"/>
      <c r="B5" s="1255"/>
      <c r="C5" s="1255"/>
      <c r="D5" s="1513"/>
      <c r="E5" s="1513"/>
      <c r="F5" s="1513"/>
      <c r="G5" s="1513"/>
      <c r="H5" s="1513"/>
      <c r="I5" s="1513"/>
      <c r="J5" s="1513"/>
      <c r="K5" s="1513"/>
      <c r="L5" s="1513"/>
      <c r="M5" s="1513"/>
      <c r="N5" s="1513"/>
      <c r="O5" s="1513"/>
      <c r="P5" s="1513"/>
      <c r="Q5" s="3090"/>
      <c r="R5" s="3090"/>
      <c r="S5" s="3090"/>
    </row>
    <row r="6" spans="1:22" ht="13" x14ac:dyDescent="0.3">
      <c r="A6" s="1255">
        <v>4</v>
      </c>
      <c r="B6" s="1255" t="s">
        <v>6</v>
      </c>
      <c r="C6" s="1255"/>
      <c r="D6" s="3012"/>
      <c r="E6" s="3012"/>
      <c r="F6" s="3091"/>
      <c r="G6" s="3012"/>
      <c r="H6" s="3015"/>
      <c r="I6" s="3091"/>
    </row>
    <row r="7" spans="1:22" s="1265" customFormat="1" ht="13" x14ac:dyDescent="0.3">
      <c r="A7" s="1259"/>
      <c r="B7" s="1260"/>
      <c r="C7" s="1260"/>
      <c r="D7" s="1770" t="s">
        <v>7</v>
      </c>
      <c r="E7" s="1770" t="s">
        <v>1246</v>
      </c>
      <c r="F7" s="1770"/>
      <c r="G7" s="3092"/>
      <c r="H7" s="3093"/>
      <c r="I7" s="1272"/>
      <c r="J7" s="1272"/>
      <c r="K7" s="3094"/>
      <c r="L7" s="1270"/>
      <c r="M7" s="1270"/>
      <c r="N7" s="1270"/>
      <c r="O7" s="1270"/>
      <c r="P7" s="1270"/>
      <c r="Q7" s="1270"/>
    </row>
    <row r="8" spans="1:22" s="1265" customFormat="1" ht="14.5" x14ac:dyDescent="0.35">
      <c r="A8" s="1259"/>
      <c r="B8" s="1260"/>
      <c r="C8" s="1260"/>
      <c r="D8" s="3095"/>
      <c r="E8" s="3096"/>
      <c r="F8" s="4926">
        <v>1999</v>
      </c>
      <c r="G8" s="4927"/>
      <c r="H8" s="4928"/>
      <c r="I8" s="4926">
        <v>2004</v>
      </c>
      <c r="J8" s="4927"/>
      <c r="K8" s="4927"/>
      <c r="L8" s="4926">
        <v>2009</v>
      </c>
      <c r="M8" s="4927"/>
      <c r="N8" s="4927"/>
      <c r="O8" s="4926">
        <v>2014</v>
      </c>
      <c r="P8" s="4927"/>
      <c r="Q8" s="4927"/>
      <c r="R8" s="4926">
        <v>2019</v>
      </c>
      <c r="S8" s="4927"/>
      <c r="T8" s="4930"/>
    </row>
    <row r="9" spans="1:22" s="1265" customFormat="1" ht="17.25" customHeight="1" x14ac:dyDescent="0.25">
      <c r="A9" s="1259"/>
      <c r="B9" s="1260"/>
      <c r="C9" s="1260"/>
      <c r="D9" s="3097"/>
      <c r="E9" s="1429"/>
      <c r="F9" s="3098" t="s">
        <v>1247</v>
      </c>
      <c r="G9" s="3099" t="s">
        <v>1248</v>
      </c>
      <c r="H9" s="3100" t="s">
        <v>97</v>
      </c>
      <c r="I9" s="3101" t="s">
        <v>1247</v>
      </c>
      <c r="J9" s="3099" t="s">
        <v>1248</v>
      </c>
      <c r="K9" s="3102" t="s">
        <v>97</v>
      </c>
      <c r="L9" s="3098" t="s">
        <v>1247</v>
      </c>
      <c r="M9" s="3099" t="s">
        <v>1249</v>
      </c>
      <c r="N9" s="3102" t="s">
        <v>97</v>
      </c>
      <c r="O9" s="3098" t="s">
        <v>1247</v>
      </c>
      <c r="P9" s="3099" t="s">
        <v>1249</v>
      </c>
      <c r="Q9" s="3102" t="s">
        <v>97</v>
      </c>
      <c r="R9" s="3098" t="s">
        <v>1247</v>
      </c>
      <c r="S9" s="3099" t="s">
        <v>1249</v>
      </c>
      <c r="T9" s="3103" t="s">
        <v>97</v>
      </c>
    </row>
    <row r="10" spans="1:22" s="1265" customFormat="1" ht="10.5" x14ac:dyDescent="0.2">
      <c r="A10" s="1259"/>
      <c r="B10" s="1260"/>
      <c r="C10" s="1260"/>
      <c r="D10" s="3104" t="s">
        <v>402</v>
      </c>
      <c r="E10" s="2149"/>
      <c r="F10" s="3105">
        <v>2454543</v>
      </c>
      <c r="G10" s="1282">
        <v>2177266</v>
      </c>
      <c r="H10" s="3106">
        <f t="shared" ref="H10:H18" si="0">G10/F10</f>
        <v>0.88703518333147968</v>
      </c>
      <c r="I10" s="1282">
        <v>2849486</v>
      </c>
      <c r="J10" s="3107">
        <v>2310226</v>
      </c>
      <c r="K10" s="3108">
        <f t="shared" ref="K10:K18" si="1">J10/I10</f>
        <v>0.81075183383950644</v>
      </c>
      <c r="L10" s="3105">
        <v>3056559</v>
      </c>
      <c r="M10" s="3107">
        <v>2344098</v>
      </c>
      <c r="N10" s="3108">
        <f t="shared" ref="N10:N18" si="2">M10/L10</f>
        <v>0.7669074930338331</v>
      </c>
      <c r="O10" s="3105">
        <v>3240059</v>
      </c>
      <c r="P10" s="3107">
        <v>2278555</v>
      </c>
      <c r="Q10" s="3109">
        <f t="shared" ref="Q10:Q18" si="3">P10/O10</f>
        <v>0.70324491004639111</v>
      </c>
      <c r="R10" s="3110">
        <v>3363161</v>
      </c>
      <c r="S10" s="3110">
        <v>2001262</v>
      </c>
      <c r="T10" s="3111">
        <v>0.59499999999999997</v>
      </c>
    </row>
    <row r="11" spans="1:22" s="1265" customFormat="1" ht="10.5" x14ac:dyDescent="0.2">
      <c r="A11" s="1259"/>
      <c r="B11" s="1260"/>
      <c r="C11" s="1260"/>
      <c r="D11" s="1281" t="s">
        <v>404</v>
      </c>
      <c r="E11" s="1270"/>
      <c r="F11" s="3105">
        <v>1226730</v>
      </c>
      <c r="G11" s="1282">
        <v>1090908</v>
      </c>
      <c r="H11" s="3106">
        <f t="shared" si="0"/>
        <v>0.889281259934949</v>
      </c>
      <c r="I11" s="1282">
        <v>1321195</v>
      </c>
      <c r="J11" s="3107">
        <v>1042120</v>
      </c>
      <c r="K11" s="3108">
        <f t="shared" si="1"/>
        <v>0.78877077191481959</v>
      </c>
      <c r="L11" s="3105">
        <v>1388588</v>
      </c>
      <c r="M11" s="3107">
        <v>1069127</v>
      </c>
      <c r="N11" s="3108">
        <f t="shared" si="2"/>
        <v>0.76993823942018802</v>
      </c>
      <c r="O11" s="3105">
        <v>1449488</v>
      </c>
      <c r="P11" s="3107">
        <v>1051027</v>
      </c>
      <c r="Q11" s="3106">
        <f t="shared" si="3"/>
        <v>0.72510224299890724</v>
      </c>
      <c r="R11" s="3110">
        <v>1462508</v>
      </c>
      <c r="S11" s="3110">
        <v>897185</v>
      </c>
      <c r="T11" s="3112">
        <v>0.61299999999999999</v>
      </c>
    </row>
    <row r="12" spans="1:22" s="1265" customFormat="1" ht="10.5" x14ac:dyDescent="0.2">
      <c r="A12" s="1259"/>
      <c r="B12" s="1260"/>
      <c r="C12" s="1260"/>
      <c r="D12" s="1281" t="s">
        <v>407</v>
      </c>
      <c r="E12" s="1270"/>
      <c r="F12" s="3105">
        <v>4158087</v>
      </c>
      <c r="G12" s="1282">
        <v>3662790</v>
      </c>
      <c r="H12" s="3106">
        <f t="shared" si="0"/>
        <v>0.88088344471868918</v>
      </c>
      <c r="I12" s="1282">
        <v>4650594</v>
      </c>
      <c r="J12" s="3107">
        <v>3553098</v>
      </c>
      <c r="K12" s="3108">
        <f t="shared" si="1"/>
        <v>0.76400950072184326</v>
      </c>
      <c r="L12" s="3105">
        <v>5555159</v>
      </c>
      <c r="M12" s="3107">
        <v>4391699</v>
      </c>
      <c r="N12" s="3108">
        <f t="shared" si="2"/>
        <v>0.79056225033342875</v>
      </c>
      <c r="O12" s="3105">
        <v>6063739</v>
      </c>
      <c r="P12" s="3107">
        <v>4638981</v>
      </c>
      <c r="Q12" s="3106">
        <f t="shared" si="3"/>
        <v>0.76503639091326325</v>
      </c>
      <c r="R12" s="3110">
        <v>6381220</v>
      </c>
      <c r="S12" s="3110">
        <v>4357348</v>
      </c>
      <c r="T12" s="3112">
        <v>0.68200000000000005</v>
      </c>
    </row>
    <row r="13" spans="1:22" s="1265" customFormat="1" ht="10.5" x14ac:dyDescent="0.2">
      <c r="A13" s="1259"/>
      <c r="B13" s="1260"/>
      <c r="C13" s="1260"/>
      <c r="D13" s="1281" t="s">
        <v>405</v>
      </c>
      <c r="E13" s="1270"/>
      <c r="F13" s="3105">
        <v>3443978</v>
      </c>
      <c r="G13" s="1282">
        <v>2963358</v>
      </c>
      <c r="H13" s="3106">
        <f t="shared" si="0"/>
        <v>0.86044626301329452</v>
      </c>
      <c r="I13" s="1282">
        <v>3819864</v>
      </c>
      <c r="J13" s="3107">
        <v>2807885</v>
      </c>
      <c r="K13" s="3108">
        <f t="shared" si="1"/>
        <v>0.73507459951453769</v>
      </c>
      <c r="L13" s="3105">
        <v>4475217</v>
      </c>
      <c r="M13" s="3107">
        <v>3574326</v>
      </c>
      <c r="N13" s="3108">
        <f t="shared" si="2"/>
        <v>0.7986933371052175</v>
      </c>
      <c r="O13" s="3105">
        <v>5117131</v>
      </c>
      <c r="P13" s="3107">
        <v>3935771</v>
      </c>
      <c r="Q13" s="3106">
        <f t="shared" si="3"/>
        <v>0.76913626014264636</v>
      </c>
      <c r="R13" s="3110">
        <v>5524666</v>
      </c>
      <c r="S13" s="3110">
        <v>3654701</v>
      </c>
      <c r="T13" s="3112">
        <v>0.66200000000000003</v>
      </c>
    </row>
    <row r="14" spans="1:22" s="1265" customFormat="1" ht="10.5" x14ac:dyDescent="0.2">
      <c r="A14" s="1259"/>
      <c r="B14" s="1260"/>
      <c r="C14" s="1260"/>
      <c r="D14" s="1281" t="s">
        <v>409</v>
      </c>
      <c r="E14" s="1270"/>
      <c r="F14" s="3105">
        <v>1847766</v>
      </c>
      <c r="G14" s="1282">
        <v>1658694</v>
      </c>
      <c r="H14" s="3106">
        <f t="shared" si="0"/>
        <v>0.89767535499624951</v>
      </c>
      <c r="I14" s="1282">
        <v>2187912</v>
      </c>
      <c r="J14" s="3107">
        <v>1686757</v>
      </c>
      <c r="K14" s="3108">
        <f t="shared" si="1"/>
        <v>0.77094371254419736</v>
      </c>
      <c r="L14" s="3105">
        <v>2256073</v>
      </c>
      <c r="M14" s="3107">
        <v>1570592</v>
      </c>
      <c r="N14" s="3108">
        <f t="shared" si="2"/>
        <v>0.69616187064868906</v>
      </c>
      <c r="O14" s="3105">
        <v>2440348</v>
      </c>
      <c r="P14" s="3107">
        <v>1543986</v>
      </c>
      <c r="Q14" s="3106">
        <f t="shared" si="3"/>
        <v>0.63269091129625776</v>
      </c>
      <c r="R14" s="3110">
        <v>2608460</v>
      </c>
      <c r="S14" s="3110">
        <v>1470230</v>
      </c>
      <c r="T14" s="3112">
        <v>0.56399999999999995</v>
      </c>
    </row>
    <row r="15" spans="1:22" s="1265" customFormat="1" ht="10.5" x14ac:dyDescent="0.2">
      <c r="A15" s="1259"/>
      <c r="B15" s="1260"/>
      <c r="C15" s="1260"/>
      <c r="D15" s="1281" t="s">
        <v>408</v>
      </c>
      <c r="E15" s="1270"/>
      <c r="F15" s="3105">
        <v>1277783</v>
      </c>
      <c r="G15" s="1282">
        <v>1129536</v>
      </c>
      <c r="H15" s="3106">
        <f t="shared" si="0"/>
        <v>0.88398108285992227</v>
      </c>
      <c r="I15" s="1282">
        <v>1442472</v>
      </c>
      <c r="J15" s="3107">
        <v>1157963</v>
      </c>
      <c r="K15" s="3108">
        <f t="shared" si="1"/>
        <v>0.80276289591756378</v>
      </c>
      <c r="L15" s="3105">
        <v>1696705</v>
      </c>
      <c r="M15" s="3107">
        <v>1363836</v>
      </c>
      <c r="N15" s="3108">
        <f t="shared" si="2"/>
        <v>0.80381445212927405</v>
      </c>
      <c r="O15" s="3105">
        <v>1860834</v>
      </c>
      <c r="P15" s="3107">
        <v>1408269</v>
      </c>
      <c r="Q15" s="3106">
        <f t="shared" si="3"/>
        <v>0.75679453406375852</v>
      </c>
      <c r="R15" s="3110">
        <v>1951776</v>
      </c>
      <c r="S15" s="3110">
        <v>1233544</v>
      </c>
      <c r="T15" s="3112">
        <v>0.63200000000000001</v>
      </c>
    </row>
    <row r="16" spans="1:22" s="1265" customFormat="1" ht="10.5" x14ac:dyDescent="0.2">
      <c r="A16" s="1259"/>
      <c r="B16" s="1260"/>
      <c r="C16" s="1260"/>
      <c r="D16" s="1281" t="s">
        <v>406</v>
      </c>
      <c r="E16" s="1270"/>
      <c r="F16" s="3105">
        <v>1527672</v>
      </c>
      <c r="G16" s="1282">
        <v>1305441</v>
      </c>
      <c r="H16" s="3106">
        <f t="shared" si="0"/>
        <v>0.8545296372519755</v>
      </c>
      <c r="I16" s="1282">
        <v>1749529</v>
      </c>
      <c r="J16" s="3107">
        <v>1353963</v>
      </c>
      <c r="K16" s="3108">
        <f t="shared" si="1"/>
        <v>0.77390143289994051</v>
      </c>
      <c r="L16" s="3105">
        <v>1564357</v>
      </c>
      <c r="M16" s="3107">
        <v>1135701</v>
      </c>
      <c r="N16" s="3108">
        <f t="shared" si="2"/>
        <v>0.72598582037220405</v>
      </c>
      <c r="O16" s="3105">
        <v>1669349</v>
      </c>
      <c r="P16" s="3107">
        <v>1147786</v>
      </c>
      <c r="Q16" s="3106">
        <f t="shared" si="3"/>
        <v>0.68756503283615344</v>
      </c>
      <c r="R16" s="3110">
        <v>1702728</v>
      </c>
      <c r="S16" s="3110">
        <v>970669</v>
      </c>
      <c r="T16" s="3112">
        <v>0.56999999999999995</v>
      </c>
    </row>
    <row r="17" spans="1:20" s="1265" customFormat="1" ht="10.5" x14ac:dyDescent="0.2">
      <c r="A17" s="1259"/>
      <c r="B17" s="1260"/>
      <c r="C17" s="1260"/>
      <c r="D17" s="1281" t="s">
        <v>403</v>
      </c>
      <c r="E17" s="1270"/>
      <c r="F17" s="3105">
        <v>377173</v>
      </c>
      <c r="G17" s="1282">
        <v>327772</v>
      </c>
      <c r="H17" s="3106">
        <f t="shared" si="0"/>
        <v>0.86902296824003844</v>
      </c>
      <c r="I17" s="1282">
        <v>433591</v>
      </c>
      <c r="J17" s="3107">
        <v>329707</v>
      </c>
      <c r="K17" s="3108">
        <f t="shared" si="1"/>
        <v>0.76041015611486396</v>
      </c>
      <c r="L17" s="3105">
        <v>554900</v>
      </c>
      <c r="M17" s="3107">
        <v>421490</v>
      </c>
      <c r="N17" s="3108">
        <f t="shared" si="2"/>
        <v>0.75957830239682822</v>
      </c>
      <c r="O17" s="3105">
        <v>601080</v>
      </c>
      <c r="P17" s="3107">
        <v>443714</v>
      </c>
      <c r="Q17" s="3106">
        <f t="shared" si="3"/>
        <v>0.7381945830837825</v>
      </c>
      <c r="R17" s="3110">
        <v>626471</v>
      </c>
      <c r="S17" s="3110">
        <v>401663</v>
      </c>
      <c r="T17" s="3112">
        <v>0.66300000000000003</v>
      </c>
    </row>
    <row r="18" spans="1:20" s="1265" customFormat="1" ht="10.5" x14ac:dyDescent="0.2">
      <c r="A18" s="1259"/>
      <c r="B18" s="1260"/>
      <c r="C18" s="1260"/>
      <c r="D18" s="1281" t="s">
        <v>401</v>
      </c>
      <c r="E18" s="1270"/>
      <c r="F18" s="3105">
        <v>1864019</v>
      </c>
      <c r="G18" s="1282">
        <v>1587978</v>
      </c>
      <c r="H18" s="3106">
        <f t="shared" si="0"/>
        <v>0.85191084425641583</v>
      </c>
      <c r="I18" s="1282">
        <v>2220283</v>
      </c>
      <c r="J18" s="3107">
        <v>1621839</v>
      </c>
      <c r="K18" s="3108">
        <f t="shared" si="1"/>
        <v>0.73046499027376244</v>
      </c>
      <c r="L18" s="3105">
        <v>2634439</v>
      </c>
      <c r="M18" s="3107">
        <v>2049097</v>
      </c>
      <c r="N18" s="3108">
        <f t="shared" si="2"/>
        <v>0.77781151888504541</v>
      </c>
      <c r="O18" s="3105">
        <v>2941333</v>
      </c>
      <c r="P18" s="3107">
        <v>2188236</v>
      </c>
      <c r="Q18" s="3106">
        <f t="shared" si="3"/>
        <v>0.74396064641439785</v>
      </c>
      <c r="R18" s="3110">
        <v>3128567</v>
      </c>
      <c r="S18" s="3110">
        <v>2073728</v>
      </c>
      <c r="T18" s="3112">
        <v>0.64100000000000001</v>
      </c>
    </row>
    <row r="19" spans="1:20" s="1265" customFormat="1" ht="15.75" customHeight="1" x14ac:dyDescent="0.2">
      <c r="A19" s="1259"/>
      <c r="B19" s="1260"/>
      <c r="C19" s="1260"/>
      <c r="D19" s="3113" t="s">
        <v>1250</v>
      </c>
      <c r="E19" s="2151"/>
      <c r="F19" s="3114"/>
      <c r="G19" s="2899"/>
      <c r="H19" s="3115"/>
      <c r="I19" s="2899"/>
      <c r="J19" s="3116"/>
      <c r="K19" s="3117"/>
      <c r="L19" s="3114"/>
      <c r="M19" s="3116"/>
      <c r="N19" s="3117"/>
      <c r="O19" s="3114">
        <v>6789</v>
      </c>
      <c r="P19" s="3116">
        <v>18446</v>
      </c>
      <c r="Q19" s="3118" t="s">
        <v>1251</v>
      </c>
      <c r="R19" s="3119">
        <v>7092</v>
      </c>
      <c r="S19" s="3119">
        <v>19909</v>
      </c>
      <c r="T19" s="3120" t="s">
        <v>1252</v>
      </c>
    </row>
    <row r="20" spans="1:20" s="1265" customFormat="1" ht="15.75" customHeight="1" x14ac:dyDescent="0.25">
      <c r="A20" s="1259"/>
      <c r="B20" s="1260"/>
      <c r="C20" s="1260"/>
      <c r="D20" s="1551" t="s">
        <v>232</v>
      </c>
      <c r="E20" s="3121"/>
      <c r="F20" s="3122">
        <f>SUM(F10:F19)</f>
        <v>18177751</v>
      </c>
      <c r="G20" s="3123">
        <f>SUM(G10:G19)</f>
        <v>15903743</v>
      </c>
      <c r="H20" s="3124">
        <f>G20/F20</f>
        <v>0.87490157610806751</v>
      </c>
      <c r="I20" s="3123">
        <f>SUM(I10:I19)</f>
        <v>20674926</v>
      </c>
      <c r="J20" s="3123">
        <f>SUM(J10:J19)</f>
        <v>15863558</v>
      </c>
      <c r="K20" s="3125">
        <f>J20/I20</f>
        <v>0.7672848744416304</v>
      </c>
      <c r="L20" s="3122">
        <v>23181997</v>
      </c>
      <c r="M20" s="3123">
        <v>17919966</v>
      </c>
      <c r="N20" s="3125">
        <f>M20/L20</f>
        <v>0.77301217837272607</v>
      </c>
      <c r="O20" s="3122">
        <v>25390150</v>
      </c>
      <c r="P20" s="3123">
        <v>18654771</v>
      </c>
      <c r="Q20" s="3126">
        <f>P20/O20</f>
        <v>0.73472472592718041</v>
      </c>
      <c r="R20" s="3127">
        <v>26756058</v>
      </c>
      <c r="S20" s="3127">
        <v>17671615</v>
      </c>
      <c r="T20" s="3128" t="s">
        <v>1231</v>
      </c>
    </row>
    <row r="21" spans="1:20" s="1265" customFormat="1" ht="15.75" customHeight="1" x14ac:dyDescent="0.25">
      <c r="A21" s="1259"/>
      <c r="B21" s="1260"/>
      <c r="C21" s="1260"/>
      <c r="D21" s="785"/>
      <c r="E21" s="3129"/>
      <c r="F21" s="3130"/>
      <c r="G21" s="3130"/>
      <c r="H21" s="1734"/>
      <c r="I21" s="3130"/>
      <c r="J21" s="3130"/>
      <c r="K21" s="1734"/>
      <c r="L21" s="3130"/>
      <c r="M21" s="3130"/>
      <c r="N21" s="1734"/>
      <c r="O21" s="3130"/>
      <c r="P21" s="3130"/>
      <c r="Q21" s="1734"/>
    </row>
    <row r="22" spans="1:20" s="1265" customFormat="1" ht="10.5" x14ac:dyDescent="0.25">
      <c r="A22" s="1259"/>
      <c r="B22" s="1260"/>
      <c r="C22" s="1260"/>
      <c r="D22" s="1770" t="s">
        <v>35</v>
      </c>
      <c r="E22" s="1770" t="s">
        <v>1253</v>
      </c>
      <c r="F22" s="1770"/>
      <c r="G22" s="1770"/>
      <c r="H22" s="3131"/>
      <c r="I22" s="1272"/>
      <c r="J22" s="1272"/>
      <c r="K22" s="3094"/>
      <c r="L22" s="1270"/>
      <c r="M22" s="1270"/>
      <c r="N22" s="1270"/>
      <c r="O22" s="1270"/>
      <c r="P22" s="1270"/>
      <c r="Q22" s="1270"/>
    </row>
    <row r="23" spans="1:20" s="1265" customFormat="1" ht="14.5" x14ac:dyDescent="0.35">
      <c r="A23" s="1259"/>
      <c r="B23" s="1260"/>
      <c r="C23" s="1260"/>
      <c r="D23" s="3095"/>
      <c r="E23" s="3096"/>
      <c r="F23" s="4926">
        <v>2000</v>
      </c>
      <c r="G23" s="4927"/>
      <c r="H23" s="4928"/>
      <c r="I23" s="4926">
        <v>2006</v>
      </c>
      <c r="J23" s="4927"/>
      <c r="K23" s="4928"/>
      <c r="L23" s="4929">
        <v>2011</v>
      </c>
      <c r="M23" s="4927"/>
      <c r="N23" s="4928"/>
      <c r="O23" s="4926">
        <v>2016</v>
      </c>
      <c r="P23" s="4927"/>
      <c r="Q23" s="4930"/>
    </row>
    <row r="24" spans="1:20" s="1265" customFormat="1" ht="21.75" customHeight="1" x14ac:dyDescent="0.25">
      <c r="A24" s="1259"/>
      <c r="B24" s="1260"/>
      <c r="C24" s="1260"/>
      <c r="D24" s="3132"/>
      <c r="E24" s="3133"/>
      <c r="F24" s="3098" t="s">
        <v>1247</v>
      </c>
      <c r="G24" s="3099" t="s">
        <v>1248</v>
      </c>
      <c r="H24" s="3100" t="s">
        <v>97</v>
      </c>
      <c r="I24" s="3101" t="s">
        <v>1247</v>
      </c>
      <c r="J24" s="3099" t="s">
        <v>1248</v>
      </c>
      <c r="K24" s="3134" t="s">
        <v>97</v>
      </c>
      <c r="L24" s="3101" t="s">
        <v>1247</v>
      </c>
      <c r="M24" s="3099" t="s">
        <v>1248</v>
      </c>
      <c r="N24" s="3134" t="s">
        <v>97</v>
      </c>
      <c r="O24" s="3098" t="s">
        <v>1247</v>
      </c>
      <c r="P24" s="3099" t="s">
        <v>1248</v>
      </c>
      <c r="Q24" s="3103" t="s">
        <v>97</v>
      </c>
    </row>
    <row r="25" spans="1:20" s="1265" customFormat="1" ht="10.5" x14ac:dyDescent="0.2">
      <c r="A25" s="1259"/>
      <c r="B25" s="1260"/>
      <c r="C25" s="1260"/>
      <c r="D25" s="1281" t="s">
        <v>402</v>
      </c>
      <c r="E25" s="1270"/>
      <c r="F25" s="3105">
        <v>2552287</v>
      </c>
      <c r="G25" s="1282">
        <v>1428259</v>
      </c>
      <c r="H25" s="3106">
        <f t="shared" ref="H25:H34" si="4">G25/F25</f>
        <v>0.55959968451823794</v>
      </c>
      <c r="I25" s="1282">
        <v>2908106</v>
      </c>
      <c r="J25" s="3107">
        <v>1630284</v>
      </c>
      <c r="K25" s="3106">
        <f t="shared" ref="K25:K34" si="5">J25/I25</f>
        <v>0.56059992311146845</v>
      </c>
      <c r="L25" s="1282">
        <v>3111535</v>
      </c>
      <c r="M25" s="3107">
        <v>1813802</v>
      </c>
      <c r="N25" s="3106">
        <f t="shared" ref="N25:N34" si="6">M25/L25</f>
        <v>0.58292836172500073</v>
      </c>
      <c r="O25" s="3105">
        <v>3337532</v>
      </c>
      <c r="P25" s="3107">
        <v>1888500</v>
      </c>
      <c r="Q25" s="3135">
        <f t="shared" ref="Q25:Q34" si="7">P25/O25</f>
        <v>0.56583727137297857</v>
      </c>
    </row>
    <row r="26" spans="1:20" s="1265" customFormat="1" ht="10.5" x14ac:dyDescent="0.2">
      <c r="A26" s="1259"/>
      <c r="B26" s="1260"/>
      <c r="C26" s="1260"/>
      <c r="D26" s="1281" t="s">
        <v>404</v>
      </c>
      <c r="E26" s="1270"/>
      <c r="F26" s="3105">
        <v>1227578</v>
      </c>
      <c r="G26" s="1282">
        <v>602618</v>
      </c>
      <c r="H26" s="3106">
        <f t="shared" si="4"/>
        <v>0.49089996725259005</v>
      </c>
      <c r="I26" s="1282">
        <v>1318408</v>
      </c>
      <c r="J26" s="3107">
        <v>622816</v>
      </c>
      <c r="K26" s="3106">
        <f t="shared" si="5"/>
        <v>0.47240004611622505</v>
      </c>
      <c r="L26" s="1282">
        <v>1386521</v>
      </c>
      <c r="M26" s="3107">
        <v>767327</v>
      </c>
      <c r="N26" s="3106">
        <f t="shared" si="6"/>
        <v>0.55341895290442766</v>
      </c>
      <c r="O26" s="3105">
        <v>1470999</v>
      </c>
      <c r="P26" s="3107">
        <v>829349</v>
      </c>
      <c r="Q26" s="3135">
        <f t="shared" si="7"/>
        <v>0.5637998394288507</v>
      </c>
    </row>
    <row r="27" spans="1:20" s="1265" customFormat="1" ht="10.5" x14ac:dyDescent="0.2">
      <c r="A27" s="1259"/>
      <c r="B27" s="1260"/>
      <c r="C27" s="1260"/>
      <c r="D27" s="1281" t="s">
        <v>407</v>
      </c>
      <c r="E27" s="1270"/>
      <c r="F27" s="3105">
        <v>4375372</v>
      </c>
      <c r="G27" s="1282">
        <v>1891473</v>
      </c>
      <c r="H27" s="3106">
        <f t="shared" si="4"/>
        <v>0.43229992786899035</v>
      </c>
      <c r="I27" s="1282">
        <v>4785955</v>
      </c>
      <c r="J27" s="3107">
        <v>2033674</v>
      </c>
      <c r="K27" s="3106">
        <f t="shared" si="5"/>
        <v>0.42492543285509371</v>
      </c>
      <c r="L27" s="1282">
        <v>5592676</v>
      </c>
      <c r="M27" s="3107">
        <v>3127671</v>
      </c>
      <c r="N27" s="3106">
        <f t="shared" si="6"/>
        <v>0.55924408994906916</v>
      </c>
      <c r="O27" s="3105">
        <v>6234822</v>
      </c>
      <c r="P27" s="3107">
        <v>3624105</v>
      </c>
      <c r="Q27" s="3135">
        <f t="shared" si="7"/>
        <v>0.58126839868082847</v>
      </c>
    </row>
    <row r="28" spans="1:20" s="1265" customFormat="1" ht="10.5" x14ac:dyDescent="0.2">
      <c r="A28" s="1259"/>
      <c r="B28" s="1260"/>
      <c r="C28" s="1260"/>
      <c r="D28" s="1281" t="s">
        <v>405</v>
      </c>
      <c r="E28" s="1270"/>
      <c r="F28" s="3105">
        <v>3508154</v>
      </c>
      <c r="G28" s="1282">
        <v>1637255</v>
      </c>
      <c r="H28" s="3106">
        <f t="shared" si="4"/>
        <v>0.46669986551331555</v>
      </c>
      <c r="I28" s="1282">
        <v>3964817</v>
      </c>
      <c r="J28" s="3107">
        <v>2005008</v>
      </c>
      <c r="K28" s="3106">
        <f t="shared" si="5"/>
        <v>0.50570001087061522</v>
      </c>
      <c r="L28" s="1282">
        <v>4648733</v>
      </c>
      <c r="M28" s="3107">
        <v>2865855</v>
      </c>
      <c r="N28" s="3106">
        <f t="shared" si="6"/>
        <v>0.61648087769291116</v>
      </c>
      <c r="O28" s="3105">
        <v>5411237</v>
      </c>
      <c r="P28" s="3107">
        <v>3333298</v>
      </c>
      <c r="Q28" s="3135">
        <f t="shared" si="7"/>
        <v>0.61599556626331464</v>
      </c>
    </row>
    <row r="29" spans="1:20" s="1265" customFormat="1" ht="10.5" x14ac:dyDescent="0.2">
      <c r="A29" s="1259"/>
      <c r="B29" s="1260"/>
      <c r="C29" s="1260"/>
      <c r="D29" s="1281" t="s">
        <v>409</v>
      </c>
      <c r="E29" s="1270"/>
      <c r="F29" s="3105">
        <v>1419315</v>
      </c>
      <c r="G29" s="1282">
        <v>635427</v>
      </c>
      <c r="H29" s="3106">
        <f t="shared" si="4"/>
        <v>0.4476997706640175</v>
      </c>
      <c r="I29" s="1282">
        <v>2145186</v>
      </c>
      <c r="J29" s="3107">
        <v>959971</v>
      </c>
      <c r="K29" s="3106">
        <f t="shared" si="5"/>
        <v>0.44750012353241164</v>
      </c>
      <c r="L29" s="1282">
        <v>2341498</v>
      </c>
      <c r="M29" s="3107">
        <v>1172855</v>
      </c>
      <c r="N29" s="3106">
        <f t="shared" si="6"/>
        <v>0.50089942421475486</v>
      </c>
      <c r="O29" s="3105">
        <v>2556128</v>
      </c>
      <c r="P29" s="3107">
        <v>1287713</v>
      </c>
      <c r="Q29" s="3135">
        <f t="shared" si="7"/>
        <v>0.50377485008575473</v>
      </c>
    </row>
    <row r="30" spans="1:20" s="1265" customFormat="1" ht="10.5" x14ac:dyDescent="0.2">
      <c r="A30" s="1259"/>
      <c r="B30" s="1260"/>
      <c r="C30" s="1260"/>
      <c r="D30" s="1281" t="s">
        <v>408</v>
      </c>
      <c r="E30" s="1270"/>
      <c r="F30" s="3105">
        <v>1263004</v>
      </c>
      <c r="G30" s="1282">
        <v>565699</v>
      </c>
      <c r="H30" s="3106">
        <f t="shared" si="4"/>
        <v>0.44789961076924539</v>
      </c>
      <c r="I30" s="1282">
        <v>1546728</v>
      </c>
      <c r="J30" s="3107">
        <v>716908</v>
      </c>
      <c r="K30" s="3106">
        <f t="shared" si="5"/>
        <v>0.4634997232868352</v>
      </c>
      <c r="L30" s="1282">
        <v>1718309</v>
      </c>
      <c r="M30" s="3107">
        <v>960748</v>
      </c>
      <c r="N30" s="3106">
        <f t="shared" si="6"/>
        <v>0.55912411562763153</v>
      </c>
      <c r="O30" s="3105">
        <v>1919216</v>
      </c>
      <c r="P30" s="3107">
        <v>1082665</v>
      </c>
      <c r="Q30" s="3135">
        <f t="shared" si="7"/>
        <v>0.56411836916740998</v>
      </c>
    </row>
    <row r="31" spans="1:20" s="1265" customFormat="1" ht="10.5" x14ac:dyDescent="0.2">
      <c r="A31" s="1259"/>
      <c r="B31" s="1260"/>
      <c r="C31" s="1260"/>
      <c r="D31" s="1281" t="s">
        <v>406</v>
      </c>
      <c r="E31" s="1270"/>
      <c r="F31" s="3105">
        <v>452218</v>
      </c>
      <c r="G31" s="1282">
        <v>260522</v>
      </c>
      <c r="H31" s="3106">
        <f t="shared" si="4"/>
        <v>0.57609825349720711</v>
      </c>
      <c r="I31" s="1282">
        <v>1554864</v>
      </c>
      <c r="J31" s="3107">
        <v>709484</v>
      </c>
      <c r="K31" s="3106">
        <f t="shared" si="5"/>
        <v>0.45629971495899319</v>
      </c>
      <c r="L31" s="1282">
        <v>1576898</v>
      </c>
      <c r="M31" s="3107">
        <v>845093</v>
      </c>
      <c r="N31" s="3106">
        <f t="shared" si="6"/>
        <v>0.53592115659985617</v>
      </c>
      <c r="O31" s="3105">
        <v>1715460</v>
      </c>
      <c r="P31" s="3107">
        <v>921519</v>
      </c>
      <c r="Q31" s="3135">
        <f t="shared" si="7"/>
        <v>0.5371847784267777</v>
      </c>
    </row>
    <row r="32" spans="1:20" s="1265" customFormat="1" ht="10.5" x14ac:dyDescent="0.2">
      <c r="A32" s="1259"/>
      <c r="B32" s="1260"/>
      <c r="C32" s="1260"/>
      <c r="D32" s="1281" t="s">
        <v>403</v>
      </c>
      <c r="E32" s="1270"/>
      <c r="F32" s="3105">
        <v>1758593</v>
      </c>
      <c r="G32" s="1282">
        <v>746698</v>
      </c>
      <c r="H32" s="3106">
        <f t="shared" si="4"/>
        <v>0.4245996657555216</v>
      </c>
      <c r="I32" s="1282">
        <v>528657</v>
      </c>
      <c r="J32" s="3107">
        <v>282884</v>
      </c>
      <c r="K32" s="3106">
        <f t="shared" si="5"/>
        <v>0.53509931770505259</v>
      </c>
      <c r="L32" s="1282">
        <v>572140</v>
      </c>
      <c r="M32" s="3107">
        <v>363361</v>
      </c>
      <c r="N32" s="3106">
        <f t="shared" si="6"/>
        <v>0.63509106162827278</v>
      </c>
      <c r="O32" s="3105">
        <v>621310</v>
      </c>
      <c r="P32" s="3107">
        <v>380718</v>
      </c>
      <c r="Q32" s="3135">
        <f t="shared" si="7"/>
        <v>0.61276657385202238</v>
      </c>
    </row>
    <row r="33" spans="1:25" s="1265" customFormat="1" ht="10.5" x14ac:dyDescent="0.2">
      <c r="A33" s="1259"/>
      <c r="B33" s="1260"/>
      <c r="C33" s="1260"/>
      <c r="D33" s="3113" t="s">
        <v>401</v>
      </c>
      <c r="E33" s="2151"/>
      <c r="F33" s="3114">
        <v>1955454</v>
      </c>
      <c r="G33" s="2899">
        <v>1131621</v>
      </c>
      <c r="H33" s="3115">
        <f t="shared" si="4"/>
        <v>0.57869988248253346</v>
      </c>
      <c r="I33" s="2899">
        <v>2301371</v>
      </c>
      <c r="J33" s="3116">
        <v>1191880</v>
      </c>
      <c r="K33" s="3115">
        <f t="shared" si="5"/>
        <v>0.51789998222798495</v>
      </c>
      <c r="L33" s="2899">
        <v>2706736</v>
      </c>
      <c r="M33" s="3116">
        <v>1748208</v>
      </c>
      <c r="N33" s="3115">
        <f t="shared" si="6"/>
        <v>0.64587311063953046</v>
      </c>
      <c r="O33" s="3114">
        <v>3066649</v>
      </c>
      <c r="P33" s="3116">
        <v>1948892</v>
      </c>
      <c r="Q33" s="3136">
        <f t="shared" si="7"/>
        <v>0.63551192197085482</v>
      </c>
    </row>
    <row r="34" spans="1:25" s="1265" customFormat="1" ht="15.75" customHeight="1" x14ac:dyDescent="0.25">
      <c r="A34" s="1259"/>
      <c r="B34" s="1260"/>
      <c r="C34" s="1260"/>
      <c r="D34" s="1551" t="s">
        <v>232</v>
      </c>
      <c r="E34" s="1515"/>
      <c r="F34" s="3122">
        <f>SUM(F25:F33)</f>
        <v>18511975</v>
      </c>
      <c r="G34" s="3123">
        <f>SUM(G25:G33)</f>
        <v>8899572</v>
      </c>
      <c r="H34" s="3124">
        <f t="shared" si="4"/>
        <v>0.48074675986759924</v>
      </c>
      <c r="I34" s="3123">
        <f>SUM(I25:I33)</f>
        <v>21054092</v>
      </c>
      <c r="J34" s="3123">
        <f>SUM(J25:J33)</f>
        <v>10152909</v>
      </c>
      <c r="K34" s="3124">
        <f t="shared" si="5"/>
        <v>0.48222972522396124</v>
      </c>
      <c r="L34" s="3123">
        <f>SUM(L25:L33)</f>
        <v>23655046</v>
      </c>
      <c r="M34" s="3123">
        <f>SUM(M25:M33)</f>
        <v>13664920</v>
      </c>
      <c r="N34" s="3124">
        <f t="shared" si="6"/>
        <v>0.57767463229621285</v>
      </c>
      <c r="O34" s="3122">
        <f>SUM(O25:O33)</f>
        <v>26333353</v>
      </c>
      <c r="P34" s="3123">
        <f>SUM(P25:P33)</f>
        <v>15296759</v>
      </c>
      <c r="Q34" s="3137">
        <f t="shared" si="7"/>
        <v>0.58088914844987649</v>
      </c>
    </row>
    <row r="35" spans="1:25" ht="15.75" customHeight="1" x14ac:dyDescent="0.3">
      <c r="B35" s="3138"/>
      <c r="C35" s="3138"/>
      <c r="D35" s="3139"/>
      <c r="E35" s="3140"/>
      <c r="F35" s="3141"/>
      <c r="G35" s="3140"/>
      <c r="H35" s="3142"/>
      <c r="I35" s="3143"/>
      <c r="J35" s="3012"/>
      <c r="K35" s="3015"/>
      <c r="L35" s="3012"/>
      <c r="M35" s="3012"/>
      <c r="N35" s="3012"/>
      <c r="O35" s="3012"/>
      <c r="P35" s="3012"/>
      <c r="Q35" s="3012"/>
      <c r="R35" s="1265"/>
      <c r="S35" s="1265"/>
    </row>
    <row r="36" spans="1:25" s="1764" customFormat="1" ht="15" customHeight="1" x14ac:dyDescent="0.3">
      <c r="A36" s="1255">
        <v>5</v>
      </c>
      <c r="B36" s="1255" t="s">
        <v>58</v>
      </c>
      <c r="C36" s="1255"/>
      <c r="D36" s="4849" t="s">
        <v>1254</v>
      </c>
      <c r="E36" s="4850"/>
      <c r="F36" s="4850"/>
      <c r="G36" s="4850"/>
      <c r="H36" s="4850"/>
      <c r="I36" s="4850"/>
      <c r="J36" s="4850"/>
      <c r="K36" s="4850"/>
      <c r="L36" s="4850"/>
      <c r="M36" s="4850"/>
      <c r="N36" s="4850"/>
      <c r="O36" s="4850"/>
      <c r="P36" s="4850"/>
      <c r="Q36" s="4850"/>
      <c r="R36" s="4850"/>
      <c r="S36" s="4850"/>
      <c r="T36" s="4851"/>
    </row>
    <row r="37" spans="1:25" s="1764" customFormat="1" ht="13.5" customHeight="1" x14ac:dyDescent="0.3">
      <c r="A37" s="1306">
        <v>6</v>
      </c>
      <c r="B37" s="1306" t="s">
        <v>60</v>
      </c>
      <c r="C37" s="1306"/>
      <c r="D37" s="4931" t="s">
        <v>1255</v>
      </c>
      <c r="E37" s="4932"/>
      <c r="F37" s="4932"/>
      <c r="G37" s="4932"/>
      <c r="H37" s="4932"/>
      <c r="I37" s="4932"/>
      <c r="J37" s="4932"/>
      <c r="K37" s="4932"/>
      <c r="L37" s="4932"/>
      <c r="M37" s="4932"/>
      <c r="N37" s="4932"/>
      <c r="O37" s="4932"/>
      <c r="P37" s="4932"/>
      <c r="Q37" s="4932"/>
      <c r="R37" s="4932"/>
      <c r="S37" s="4932"/>
      <c r="T37" s="4933"/>
    </row>
    <row r="38" spans="1:25" s="1764" customFormat="1" ht="14.25" customHeight="1" x14ac:dyDescent="0.3">
      <c r="A38" s="1255">
        <v>7</v>
      </c>
      <c r="B38" s="1255" t="s">
        <v>62</v>
      </c>
      <c r="C38" s="1255"/>
      <c r="D38" s="4733" t="s">
        <v>1256</v>
      </c>
      <c r="E38" s="4734"/>
      <c r="F38" s="4734"/>
      <c r="G38" s="4734"/>
      <c r="H38" s="4734"/>
      <c r="I38" s="4734"/>
      <c r="J38" s="4734"/>
      <c r="K38" s="4734"/>
      <c r="L38" s="4734"/>
      <c r="M38" s="4734"/>
      <c r="N38" s="4734"/>
      <c r="O38" s="4734"/>
      <c r="P38" s="4734"/>
      <c r="Q38" s="4734"/>
      <c r="R38" s="4734"/>
      <c r="S38" s="4734"/>
      <c r="T38" s="4735"/>
    </row>
    <row r="39" spans="1:25" ht="24.75" customHeight="1" x14ac:dyDescent="0.25">
      <c r="A39" s="1306">
        <v>8</v>
      </c>
      <c r="B39" s="1255" t="s">
        <v>64</v>
      </c>
      <c r="D39" s="4733" t="s">
        <v>1257</v>
      </c>
      <c r="E39" s="4734"/>
      <c r="F39" s="4734"/>
      <c r="G39" s="4734"/>
      <c r="H39" s="4734"/>
      <c r="I39" s="4734"/>
      <c r="J39" s="4734"/>
      <c r="K39" s="4734"/>
      <c r="L39" s="4734"/>
      <c r="M39" s="4734"/>
      <c r="N39" s="4734"/>
      <c r="O39" s="4734"/>
      <c r="P39" s="4734"/>
      <c r="Q39" s="4734"/>
      <c r="R39" s="4734"/>
      <c r="S39" s="4734"/>
      <c r="T39" s="4735"/>
      <c r="U39" s="724"/>
      <c r="V39" s="724"/>
      <c r="W39" s="724"/>
      <c r="X39" s="724"/>
      <c r="Y39" s="724"/>
    </row>
    <row r="40" spans="1:25" x14ac:dyDescent="0.3">
      <c r="R40" s="1265"/>
      <c r="S40" s="1265"/>
    </row>
  </sheetData>
  <mergeCells count="16">
    <mergeCell ref="D2:T2"/>
    <mergeCell ref="D3:T3"/>
    <mergeCell ref="D4:T4"/>
    <mergeCell ref="F8:H8"/>
    <mergeCell ref="I8:K8"/>
    <mergeCell ref="L8:N8"/>
    <mergeCell ref="O8:Q8"/>
    <mergeCell ref="R8:T8"/>
    <mergeCell ref="D38:T38"/>
    <mergeCell ref="D39:T39"/>
    <mergeCell ref="F23:H23"/>
    <mergeCell ref="I23:K23"/>
    <mergeCell ref="L23:N23"/>
    <mergeCell ref="O23:Q23"/>
    <mergeCell ref="D36:T36"/>
    <mergeCell ref="D37:T37"/>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pageSetUpPr fitToPage="1"/>
  </sheetPr>
  <dimension ref="A1:AE59"/>
  <sheetViews>
    <sheetView showGridLines="0" view="pageBreakPreview" zoomScale="95" zoomScaleNormal="100" zoomScaleSheetLayoutView="95" workbookViewId="0">
      <selection activeCell="V34" sqref="V34"/>
    </sheetView>
  </sheetViews>
  <sheetFormatPr defaultColWidth="9.08984375" defaultRowHeight="11.5" x14ac:dyDescent="0.25"/>
  <cols>
    <col min="1" max="1" width="3.6328125" style="3000" customWidth="1"/>
    <col min="2" max="2" width="14.453125" style="3001" customWidth="1"/>
    <col min="3" max="3" width="3.6328125" style="3001" customWidth="1"/>
    <col min="4" max="4" width="12.36328125" style="767" customWidth="1"/>
    <col min="5" max="31" width="6.6328125" style="767" customWidth="1"/>
    <col min="32" max="256" width="9.08984375" style="767"/>
    <col min="257" max="257" width="3.6328125" style="767" customWidth="1"/>
    <col min="258" max="258" width="14.453125" style="767" customWidth="1"/>
    <col min="259" max="259" width="3.6328125" style="767" customWidth="1"/>
    <col min="260" max="260" width="12.36328125" style="767" customWidth="1"/>
    <col min="261" max="287" width="6.6328125" style="767" customWidth="1"/>
    <col min="288" max="512" width="9.08984375" style="767"/>
    <col min="513" max="513" width="3.6328125" style="767" customWidth="1"/>
    <col min="514" max="514" width="14.453125" style="767" customWidth="1"/>
    <col min="515" max="515" width="3.6328125" style="767" customWidth="1"/>
    <col min="516" max="516" width="12.36328125" style="767" customWidth="1"/>
    <col min="517" max="543" width="6.6328125" style="767" customWidth="1"/>
    <col min="544" max="768" width="9.08984375" style="767"/>
    <col min="769" max="769" width="3.6328125" style="767" customWidth="1"/>
    <col min="770" max="770" width="14.453125" style="767" customWidth="1"/>
    <col min="771" max="771" width="3.6328125" style="767" customWidth="1"/>
    <col min="772" max="772" width="12.36328125" style="767" customWidth="1"/>
    <col min="773" max="799" width="6.6328125" style="767" customWidth="1"/>
    <col min="800" max="1024" width="9.08984375" style="767"/>
    <col min="1025" max="1025" width="3.6328125" style="767" customWidth="1"/>
    <col min="1026" max="1026" width="14.453125" style="767" customWidth="1"/>
    <col min="1027" max="1027" width="3.6328125" style="767" customWidth="1"/>
    <col min="1028" max="1028" width="12.36328125" style="767" customWidth="1"/>
    <col min="1029" max="1055" width="6.6328125" style="767" customWidth="1"/>
    <col min="1056" max="1280" width="9.08984375" style="767"/>
    <col min="1281" max="1281" width="3.6328125" style="767" customWidth="1"/>
    <col min="1282" max="1282" width="14.453125" style="767" customWidth="1"/>
    <col min="1283" max="1283" width="3.6328125" style="767" customWidth="1"/>
    <col min="1284" max="1284" width="12.36328125" style="767" customWidth="1"/>
    <col min="1285" max="1311" width="6.6328125" style="767" customWidth="1"/>
    <col min="1312" max="1536" width="9.08984375" style="767"/>
    <col min="1537" max="1537" width="3.6328125" style="767" customWidth="1"/>
    <col min="1538" max="1538" width="14.453125" style="767" customWidth="1"/>
    <col min="1539" max="1539" width="3.6328125" style="767" customWidth="1"/>
    <col min="1540" max="1540" width="12.36328125" style="767" customWidth="1"/>
    <col min="1541" max="1567" width="6.6328125" style="767" customWidth="1"/>
    <col min="1568" max="1792" width="9.08984375" style="767"/>
    <col min="1793" max="1793" width="3.6328125" style="767" customWidth="1"/>
    <col min="1794" max="1794" width="14.453125" style="767" customWidth="1"/>
    <col min="1795" max="1795" width="3.6328125" style="767" customWidth="1"/>
    <col min="1796" max="1796" width="12.36328125" style="767" customWidth="1"/>
    <col min="1797" max="1823" width="6.6328125" style="767" customWidth="1"/>
    <col min="1824" max="2048" width="9.08984375" style="767"/>
    <col min="2049" max="2049" width="3.6328125" style="767" customWidth="1"/>
    <col min="2050" max="2050" width="14.453125" style="767" customWidth="1"/>
    <col min="2051" max="2051" width="3.6328125" style="767" customWidth="1"/>
    <col min="2052" max="2052" width="12.36328125" style="767" customWidth="1"/>
    <col min="2053" max="2079" width="6.6328125" style="767" customWidth="1"/>
    <col min="2080" max="2304" width="9.08984375" style="767"/>
    <col min="2305" max="2305" width="3.6328125" style="767" customWidth="1"/>
    <col min="2306" max="2306" width="14.453125" style="767" customWidth="1"/>
    <col min="2307" max="2307" width="3.6328125" style="767" customWidth="1"/>
    <col min="2308" max="2308" width="12.36328125" style="767" customWidth="1"/>
    <col min="2309" max="2335" width="6.6328125" style="767" customWidth="1"/>
    <col min="2336" max="2560" width="9.08984375" style="767"/>
    <col min="2561" max="2561" width="3.6328125" style="767" customWidth="1"/>
    <col min="2562" max="2562" width="14.453125" style="767" customWidth="1"/>
    <col min="2563" max="2563" width="3.6328125" style="767" customWidth="1"/>
    <col min="2564" max="2564" width="12.36328125" style="767" customWidth="1"/>
    <col min="2565" max="2591" width="6.6328125" style="767" customWidth="1"/>
    <col min="2592" max="2816" width="9.08984375" style="767"/>
    <col min="2817" max="2817" width="3.6328125" style="767" customWidth="1"/>
    <col min="2818" max="2818" width="14.453125" style="767" customWidth="1"/>
    <col min="2819" max="2819" width="3.6328125" style="767" customWidth="1"/>
    <col min="2820" max="2820" width="12.36328125" style="767" customWidth="1"/>
    <col min="2821" max="2847" width="6.6328125" style="767" customWidth="1"/>
    <col min="2848" max="3072" width="9.08984375" style="767"/>
    <col min="3073" max="3073" width="3.6328125" style="767" customWidth="1"/>
    <col min="3074" max="3074" width="14.453125" style="767" customWidth="1"/>
    <col min="3075" max="3075" width="3.6328125" style="767" customWidth="1"/>
    <col min="3076" max="3076" width="12.36328125" style="767" customWidth="1"/>
    <col min="3077" max="3103" width="6.6328125" style="767" customWidth="1"/>
    <col min="3104" max="3328" width="9.08984375" style="767"/>
    <col min="3329" max="3329" width="3.6328125" style="767" customWidth="1"/>
    <col min="3330" max="3330" width="14.453125" style="767" customWidth="1"/>
    <col min="3331" max="3331" width="3.6328125" style="767" customWidth="1"/>
    <col min="3332" max="3332" width="12.36328125" style="767" customWidth="1"/>
    <col min="3333" max="3359" width="6.6328125" style="767" customWidth="1"/>
    <col min="3360" max="3584" width="9.08984375" style="767"/>
    <col min="3585" max="3585" width="3.6328125" style="767" customWidth="1"/>
    <col min="3586" max="3586" width="14.453125" style="767" customWidth="1"/>
    <col min="3587" max="3587" width="3.6328125" style="767" customWidth="1"/>
    <col min="3588" max="3588" width="12.36328125" style="767" customWidth="1"/>
    <col min="3589" max="3615" width="6.6328125" style="767" customWidth="1"/>
    <col min="3616" max="3840" width="9.08984375" style="767"/>
    <col min="3841" max="3841" width="3.6328125" style="767" customWidth="1"/>
    <col min="3842" max="3842" width="14.453125" style="767" customWidth="1"/>
    <col min="3843" max="3843" width="3.6328125" style="767" customWidth="1"/>
    <col min="3844" max="3844" width="12.36328125" style="767" customWidth="1"/>
    <col min="3845" max="3871" width="6.6328125" style="767" customWidth="1"/>
    <col min="3872" max="4096" width="9.08984375" style="767"/>
    <col min="4097" max="4097" width="3.6328125" style="767" customWidth="1"/>
    <col min="4098" max="4098" width="14.453125" style="767" customWidth="1"/>
    <col min="4099" max="4099" width="3.6328125" style="767" customWidth="1"/>
    <col min="4100" max="4100" width="12.36328125" style="767" customWidth="1"/>
    <col min="4101" max="4127" width="6.6328125" style="767" customWidth="1"/>
    <col min="4128" max="4352" width="9.08984375" style="767"/>
    <col min="4353" max="4353" width="3.6328125" style="767" customWidth="1"/>
    <col min="4354" max="4354" width="14.453125" style="767" customWidth="1"/>
    <col min="4355" max="4355" width="3.6328125" style="767" customWidth="1"/>
    <col min="4356" max="4356" width="12.36328125" style="767" customWidth="1"/>
    <col min="4357" max="4383" width="6.6328125" style="767" customWidth="1"/>
    <col min="4384" max="4608" width="9.08984375" style="767"/>
    <col min="4609" max="4609" width="3.6328125" style="767" customWidth="1"/>
    <col min="4610" max="4610" width="14.453125" style="767" customWidth="1"/>
    <col min="4611" max="4611" width="3.6328125" style="767" customWidth="1"/>
    <col min="4612" max="4612" width="12.36328125" style="767" customWidth="1"/>
    <col min="4613" max="4639" width="6.6328125" style="767" customWidth="1"/>
    <col min="4640" max="4864" width="9.08984375" style="767"/>
    <col min="4865" max="4865" width="3.6328125" style="767" customWidth="1"/>
    <col min="4866" max="4866" width="14.453125" style="767" customWidth="1"/>
    <col min="4867" max="4867" width="3.6328125" style="767" customWidth="1"/>
    <col min="4868" max="4868" width="12.36328125" style="767" customWidth="1"/>
    <col min="4869" max="4895" width="6.6328125" style="767" customWidth="1"/>
    <col min="4896" max="5120" width="9.08984375" style="767"/>
    <col min="5121" max="5121" width="3.6328125" style="767" customWidth="1"/>
    <col min="5122" max="5122" width="14.453125" style="767" customWidth="1"/>
    <col min="5123" max="5123" width="3.6328125" style="767" customWidth="1"/>
    <col min="5124" max="5124" width="12.36328125" style="767" customWidth="1"/>
    <col min="5125" max="5151" width="6.6328125" style="767" customWidth="1"/>
    <col min="5152" max="5376" width="9.08984375" style="767"/>
    <col min="5377" max="5377" width="3.6328125" style="767" customWidth="1"/>
    <col min="5378" max="5378" width="14.453125" style="767" customWidth="1"/>
    <col min="5379" max="5379" width="3.6328125" style="767" customWidth="1"/>
    <col min="5380" max="5380" width="12.36328125" style="767" customWidth="1"/>
    <col min="5381" max="5407" width="6.6328125" style="767" customWidth="1"/>
    <col min="5408" max="5632" width="9.08984375" style="767"/>
    <col min="5633" max="5633" width="3.6328125" style="767" customWidth="1"/>
    <col min="5634" max="5634" width="14.453125" style="767" customWidth="1"/>
    <col min="5635" max="5635" width="3.6328125" style="767" customWidth="1"/>
    <col min="5636" max="5636" width="12.36328125" style="767" customWidth="1"/>
    <col min="5637" max="5663" width="6.6328125" style="767" customWidth="1"/>
    <col min="5664" max="5888" width="9.08984375" style="767"/>
    <col min="5889" max="5889" width="3.6328125" style="767" customWidth="1"/>
    <col min="5890" max="5890" width="14.453125" style="767" customWidth="1"/>
    <col min="5891" max="5891" width="3.6328125" style="767" customWidth="1"/>
    <col min="5892" max="5892" width="12.36328125" style="767" customWidth="1"/>
    <col min="5893" max="5919" width="6.6328125" style="767" customWidth="1"/>
    <col min="5920" max="6144" width="9.08984375" style="767"/>
    <col min="6145" max="6145" width="3.6328125" style="767" customWidth="1"/>
    <col min="6146" max="6146" width="14.453125" style="767" customWidth="1"/>
    <col min="6147" max="6147" width="3.6328125" style="767" customWidth="1"/>
    <col min="6148" max="6148" width="12.36328125" style="767" customWidth="1"/>
    <col min="6149" max="6175" width="6.6328125" style="767" customWidth="1"/>
    <col min="6176" max="6400" width="9.08984375" style="767"/>
    <col min="6401" max="6401" width="3.6328125" style="767" customWidth="1"/>
    <col min="6402" max="6402" width="14.453125" style="767" customWidth="1"/>
    <col min="6403" max="6403" width="3.6328125" style="767" customWidth="1"/>
    <col min="6404" max="6404" width="12.36328125" style="767" customWidth="1"/>
    <col min="6405" max="6431" width="6.6328125" style="767" customWidth="1"/>
    <col min="6432" max="6656" width="9.08984375" style="767"/>
    <col min="6657" max="6657" width="3.6328125" style="767" customWidth="1"/>
    <col min="6658" max="6658" width="14.453125" style="767" customWidth="1"/>
    <col min="6659" max="6659" width="3.6328125" style="767" customWidth="1"/>
    <col min="6660" max="6660" width="12.36328125" style="767" customWidth="1"/>
    <col min="6661" max="6687" width="6.6328125" style="767" customWidth="1"/>
    <col min="6688" max="6912" width="9.08984375" style="767"/>
    <col min="6913" max="6913" width="3.6328125" style="767" customWidth="1"/>
    <col min="6914" max="6914" width="14.453125" style="767" customWidth="1"/>
    <col min="6915" max="6915" width="3.6328125" style="767" customWidth="1"/>
    <col min="6916" max="6916" width="12.36328125" style="767" customWidth="1"/>
    <col min="6917" max="6943" width="6.6328125" style="767" customWidth="1"/>
    <col min="6944" max="7168" width="9.08984375" style="767"/>
    <col min="7169" max="7169" width="3.6328125" style="767" customWidth="1"/>
    <col min="7170" max="7170" width="14.453125" style="767" customWidth="1"/>
    <col min="7171" max="7171" width="3.6328125" style="767" customWidth="1"/>
    <col min="7172" max="7172" width="12.36328125" style="767" customWidth="1"/>
    <col min="7173" max="7199" width="6.6328125" style="767" customWidth="1"/>
    <col min="7200" max="7424" width="9.08984375" style="767"/>
    <col min="7425" max="7425" width="3.6328125" style="767" customWidth="1"/>
    <col min="7426" max="7426" width="14.453125" style="767" customWidth="1"/>
    <col min="7427" max="7427" width="3.6328125" style="767" customWidth="1"/>
    <col min="7428" max="7428" width="12.36328125" style="767" customWidth="1"/>
    <col min="7429" max="7455" width="6.6328125" style="767" customWidth="1"/>
    <col min="7456" max="7680" width="9.08984375" style="767"/>
    <col min="7681" max="7681" width="3.6328125" style="767" customWidth="1"/>
    <col min="7682" max="7682" width="14.453125" style="767" customWidth="1"/>
    <col min="7683" max="7683" width="3.6328125" style="767" customWidth="1"/>
    <col min="7684" max="7684" width="12.36328125" style="767" customWidth="1"/>
    <col min="7685" max="7711" width="6.6328125" style="767" customWidth="1"/>
    <col min="7712" max="7936" width="9.08984375" style="767"/>
    <col min="7937" max="7937" width="3.6328125" style="767" customWidth="1"/>
    <col min="7938" max="7938" width="14.453125" style="767" customWidth="1"/>
    <col min="7939" max="7939" width="3.6328125" style="767" customWidth="1"/>
    <col min="7940" max="7940" width="12.36328125" style="767" customWidth="1"/>
    <col min="7941" max="7967" width="6.6328125" style="767" customWidth="1"/>
    <col min="7968" max="8192" width="9.08984375" style="767"/>
    <col min="8193" max="8193" width="3.6328125" style="767" customWidth="1"/>
    <col min="8194" max="8194" width="14.453125" style="767" customWidth="1"/>
    <col min="8195" max="8195" width="3.6328125" style="767" customWidth="1"/>
    <col min="8196" max="8196" width="12.36328125" style="767" customWidth="1"/>
    <col min="8197" max="8223" width="6.6328125" style="767" customWidth="1"/>
    <col min="8224" max="8448" width="9.08984375" style="767"/>
    <col min="8449" max="8449" width="3.6328125" style="767" customWidth="1"/>
    <col min="8450" max="8450" width="14.453125" style="767" customWidth="1"/>
    <col min="8451" max="8451" width="3.6328125" style="767" customWidth="1"/>
    <col min="8452" max="8452" width="12.36328125" style="767" customWidth="1"/>
    <col min="8453" max="8479" width="6.6328125" style="767" customWidth="1"/>
    <col min="8480" max="8704" width="9.08984375" style="767"/>
    <col min="8705" max="8705" width="3.6328125" style="767" customWidth="1"/>
    <col min="8706" max="8706" width="14.453125" style="767" customWidth="1"/>
    <col min="8707" max="8707" width="3.6328125" style="767" customWidth="1"/>
    <col min="8708" max="8708" width="12.36328125" style="767" customWidth="1"/>
    <col min="8709" max="8735" width="6.6328125" style="767" customWidth="1"/>
    <col min="8736" max="8960" width="9.08984375" style="767"/>
    <col min="8961" max="8961" width="3.6328125" style="767" customWidth="1"/>
    <col min="8962" max="8962" width="14.453125" style="767" customWidth="1"/>
    <col min="8963" max="8963" width="3.6328125" style="767" customWidth="1"/>
    <col min="8964" max="8964" width="12.36328125" style="767" customWidth="1"/>
    <col min="8965" max="8991" width="6.6328125" style="767" customWidth="1"/>
    <col min="8992" max="9216" width="9.08984375" style="767"/>
    <col min="9217" max="9217" width="3.6328125" style="767" customWidth="1"/>
    <col min="9218" max="9218" width="14.453125" style="767" customWidth="1"/>
    <col min="9219" max="9219" width="3.6328125" style="767" customWidth="1"/>
    <col min="9220" max="9220" width="12.36328125" style="767" customWidth="1"/>
    <col min="9221" max="9247" width="6.6328125" style="767" customWidth="1"/>
    <col min="9248" max="9472" width="9.08984375" style="767"/>
    <col min="9473" max="9473" width="3.6328125" style="767" customWidth="1"/>
    <col min="9474" max="9474" width="14.453125" style="767" customWidth="1"/>
    <col min="9475" max="9475" width="3.6328125" style="767" customWidth="1"/>
    <col min="9476" max="9476" width="12.36328125" style="767" customWidth="1"/>
    <col min="9477" max="9503" width="6.6328125" style="767" customWidth="1"/>
    <col min="9504" max="9728" width="9.08984375" style="767"/>
    <col min="9729" max="9729" width="3.6328125" style="767" customWidth="1"/>
    <col min="9730" max="9730" width="14.453125" style="767" customWidth="1"/>
    <col min="9731" max="9731" width="3.6328125" style="767" customWidth="1"/>
    <col min="9732" max="9732" width="12.36328125" style="767" customWidth="1"/>
    <col min="9733" max="9759" width="6.6328125" style="767" customWidth="1"/>
    <col min="9760" max="9984" width="9.08984375" style="767"/>
    <col min="9985" max="9985" width="3.6328125" style="767" customWidth="1"/>
    <col min="9986" max="9986" width="14.453125" style="767" customWidth="1"/>
    <col min="9987" max="9987" width="3.6328125" style="767" customWidth="1"/>
    <col min="9988" max="9988" width="12.36328125" style="767" customWidth="1"/>
    <col min="9989" max="10015" width="6.6328125" style="767" customWidth="1"/>
    <col min="10016" max="10240" width="9.08984375" style="767"/>
    <col min="10241" max="10241" width="3.6328125" style="767" customWidth="1"/>
    <col min="10242" max="10242" width="14.453125" style="767" customWidth="1"/>
    <col min="10243" max="10243" width="3.6328125" style="767" customWidth="1"/>
    <col min="10244" max="10244" width="12.36328125" style="767" customWidth="1"/>
    <col min="10245" max="10271" width="6.6328125" style="767" customWidth="1"/>
    <col min="10272" max="10496" width="9.08984375" style="767"/>
    <col min="10497" max="10497" width="3.6328125" style="767" customWidth="1"/>
    <col min="10498" max="10498" width="14.453125" style="767" customWidth="1"/>
    <col min="10499" max="10499" width="3.6328125" style="767" customWidth="1"/>
    <col min="10500" max="10500" width="12.36328125" style="767" customWidth="1"/>
    <col min="10501" max="10527" width="6.6328125" style="767" customWidth="1"/>
    <col min="10528" max="10752" width="9.08984375" style="767"/>
    <col min="10753" max="10753" width="3.6328125" style="767" customWidth="1"/>
    <col min="10754" max="10754" width="14.453125" style="767" customWidth="1"/>
    <col min="10755" max="10755" width="3.6328125" style="767" customWidth="1"/>
    <col min="10756" max="10756" width="12.36328125" style="767" customWidth="1"/>
    <col min="10757" max="10783" width="6.6328125" style="767" customWidth="1"/>
    <col min="10784" max="11008" width="9.08984375" style="767"/>
    <col min="11009" max="11009" width="3.6328125" style="767" customWidth="1"/>
    <col min="11010" max="11010" width="14.453125" style="767" customWidth="1"/>
    <col min="11011" max="11011" width="3.6328125" style="767" customWidth="1"/>
    <col min="11012" max="11012" width="12.36328125" style="767" customWidth="1"/>
    <col min="11013" max="11039" width="6.6328125" style="767" customWidth="1"/>
    <col min="11040" max="11264" width="9.08984375" style="767"/>
    <col min="11265" max="11265" width="3.6328125" style="767" customWidth="1"/>
    <col min="11266" max="11266" width="14.453125" style="767" customWidth="1"/>
    <col min="11267" max="11267" width="3.6328125" style="767" customWidth="1"/>
    <col min="11268" max="11268" width="12.36328125" style="767" customWidth="1"/>
    <col min="11269" max="11295" width="6.6328125" style="767" customWidth="1"/>
    <col min="11296" max="11520" width="9.08984375" style="767"/>
    <col min="11521" max="11521" width="3.6328125" style="767" customWidth="1"/>
    <col min="11522" max="11522" width="14.453125" style="767" customWidth="1"/>
    <col min="11523" max="11523" width="3.6328125" style="767" customWidth="1"/>
    <col min="11524" max="11524" width="12.36328125" style="767" customWidth="1"/>
    <col min="11525" max="11551" width="6.6328125" style="767" customWidth="1"/>
    <col min="11552" max="11776" width="9.08984375" style="767"/>
    <col min="11777" max="11777" width="3.6328125" style="767" customWidth="1"/>
    <col min="11778" max="11778" width="14.453125" style="767" customWidth="1"/>
    <col min="11779" max="11779" width="3.6328125" style="767" customWidth="1"/>
    <col min="11780" max="11780" width="12.36328125" style="767" customWidth="1"/>
    <col min="11781" max="11807" width="6.6328125" style="767" customWidth="1"/>
    <col min="11808" max="12032" width="9.08984375" style="767"/>
    <col min="12033" max="12033" width="3.6328125" style="767" customWidth="1"/>
    <col min="12034" max="12034" width="14.453125" style="767" customWidth="1"/>
    <col min="12035" max="12035" width="3.6328125" style="767" customWidth="1"/>
    <col min="12036" max="12036" width="12.36328125" style="767" customWidth="1"/>
    <col min="12037" max="12063" width="6.6328125" style="767" customWidth="1"/>
    <col min="12064" max="12288" width="9.08984375" style="767"/>
    <col min="12289" max="12289" width="3.6328125" style="767" customWidth="1"/>
    <col min="12290" max="12290" width="14.453125" style="767" customWidth="1"/>
    <col min="12291" max="12291" width="3.6328125" style="767" customWidth="1"/>
    <col min="12292" max="12292" width="12.36328125" style="767" customWidth="1"/>
    <col min="12293" max="12319" width="6.6328125" style="767" customWidth="1"/>
    <col min="12320" max="12544" width="9.08984375" style="767"/>
    <col min="12545" max="12545" width="3.6328125" style="767" customWidth="1"/>
    <col min="12546" max="12546" width="14.453125" style="767" customWidth="1"/>
    <col min="12547" max="12547" width="3.6328125" style="767" customWidth="1"/>
    <col min="12548" max="12548" width="12.36328125" style="767" customWidth="1"/>
    <col min="12549" max="12575" width="6.6328125" style="767" customWidth="1"/>
    <col min="12576" max="12800" width="9.08984375" style="767"/>
    <col min="12801" max="12801" width="3.6328125" style="767" customWidth="1"/>
    <col min="12802" max="12802" width="14.453125" style="767" customWidth="1"/>
    <col min="12803" max="12803" width="3.6328125" style="767" customWidth="1"/>
    <col min="12804" max="12804" width="12.36328125" style="767" customWidth="1"/>
    <col min="12805" max="12831" width="6.6328125" style="767" customWidth="1"/>
    <col min="12832" max="13056" width="9.08984375" style="767"/>
    <col min="13057" max="13057" width="3.6328125" style="767" customWidth="1"/>
    <col min="13058" max="13058" width="14.453125" style="767" customWidth="1"/>
    <col min="13059" max="13059" width="3.6328125" style="767" customWidth="1"/>
    <col min="13060" max="13060" width="12.36328125" style="767" customWidth="1"/>
    <col min="13061" max="13087" width="6.6328125" style="767" customWidth="1"/>
    <col min="13088" max="13312" width="9.08984375" style="767"/>
    <col min="13313" max="13313" width="3.6328125" style="767" customWidth="1"/>
    <col min="13314" max="13314" width="14.453125" style="767" customWidth="1"/>
    <col min="13315" max="13315" width="3.6328125" style="767" customWidth="1"/>
    <col min="13316" max="13316" width="12.36328125" style="767" customWidth="1"/>
    <col min="13317" max="13343" width="6.6328125" style="767" customWidth="1"/>
    <col min="13344" max="13568" width="9.08984375" style="767"/>
    <col min="13569" max="13569" width="3.6328125" style="767" customWidth="1"/>
    <col min="13570" max="13570" width="14.453125" style="767" customWidth="1"/>
    <col min="13571" max="13571" width="3.6328125" style="767" customWidth="1"/>
    <col min="13572" max="13572" width="12.36328125" style="767" customWidth="1"/>
    <col min="13573" max="13599" width="6.6328125" style="767" customWidth="1"/>
    <col min="13600" max="13824" width="9.08984375" style="767"/>
    <col min="13825" max="13825" width="3.6328125" style="767" customWidth="1"/>
    <col min="13826" max="13826" width="14.453125" style="767" customWidth="1"/>
    <col min="13827" max="13827" width="3.6328125" style="767" customWidth="1"/>
    <col min="13828" max="13828" width="12.36328125" style="767" customWidth="1"/>
    <col min="13829" max="13855" width="6.6328125" style="767" customWidth="1"/>
    <col min="13856" max="14080" width="9.08984375" style="767"/>
    <col min="14081" max="14081" width="3.6328125" style="767" customWidth="1"/>
    <col min="14082" max="14082" width="14.453125" style="767" customWidth="1"/>
    <col min="14083" max="14083" width="3.6328125" style="767" customWidth="1"/>
    <col min="14084" max="14084" width="12.36328125" style="767" customWidth="1"/>
    <col min="14085" max="14111" width="6.6328125" style="767" customWidth="1"/>
    <col min="14112" max="14336" width="9.08984375" style="767"/>
    <col min="14337" max="14337" width="3.6328125" style="767" customWidth="1"/>
    <col min="14338" max="14338" width="14.453125" style="767" customWidth="1"/>
    <col min="14339" max="14339" width="3.6328125" style="767" customWidth="1"/>
    <col min="14340" max="14340" width="12.36328125" style="767" customWidth="1"/>
    <col min="14341" max="14367" width="6.6328125" style="767" customWidth="1"/>
    <col min="14368" max="14592" width="9.08984375" style="767"/>
    <col min="14593" max="14593" width="3.6328125" style="767" customWidth="1"/>
    <col min="14594" max="14594" width="14.453125" style="767" customWidth="1"/>
    <col min="14595" max="14595" width="3.6328125" style="767" customWidth="1"/>
    <col min="14596" max="14596" width="12.36328125" style="767" customWidth="1"/>
    <col min="14597" max="14623" width="6.6328125" style="767" customWidth="1"/>
    <col min="14624" max="14848" width="9.08984375" style="767"/>
    <col min="14849" max="14849" width="3.6328125" style="767" customWidth="1"/>
    <col min="14850" max="14850" width="14.453125" style="767" customWidth="1"/>
    <col min="14851" max="14851" width="3.6328125" style="767" customWidth="1"/>
    <col min="14852" max="14852" width="12.36328125" style="767" customWidth="1"/>
    <col min="14853" max="14879" width="6.6328125" style="767" customWidth="1"/>
    <col min="14880" max="15104" width="9.08984375" style="767"/>
    <col min="15105" max="15105" width="3.6328125" style="767" customWidth="1"/>
    <col min="15106" max="15106" width="14.453125" style="767" customWidth="1"/>
    <col min="15107" max="15107" width="3.6328125" style="767" customWidth="1"/>
    <col min="15108" max="15108" width="12.36328125" style="767" customWidth="1"/>
    <col min="15109" max="15135" width="6.6328125" style="767" customWidth="1"/>
    <col min="15136" max="15360" width="9.08984375" style="767"/>
    <col min="15361" max="15361" width="3.6328125" style="767" customWidth="1"/>
    <col min="15362" max="15362" width="14.453125" style="767" customWidth="1"/>
    <col min="15363" max="15363" width="3.6328125" style="767" customWidth="1"/>
    <col min="15364" max="15364" width="12.36328125" style="767" customWidth="1"/>
    <col min="15365" max="15391" width="6.6328125" style="767" customWidth="1"/>
    <col min="15392" max="15616" width="9.08984375" style="767"/>
    <col min="15617" max="15617" width="3.6328125" style="767" customWidth="1"/>
    <col min="15618" max="15618" width="14.453125" style="767" customWidth="1"/>
    <col min="15619" max="15619" width="3.6328125" style="767" customWidth="1"/>
    <col min="15620" max="15620" width="12.36328125" style="767" customWidth="1"/>
    <col min="15621" max="15647" width="6.6328125" style="767" customWidth="1"/>
    <col min="15648" max="15872" width="9.08984375" style="767"/>
    <col min="15873" max="15873" width="3.6328125" style="767" customWidth="1"/>
    <col min="15874" max="15874" width="14.453125" style="767" customWidth="1"/>
    <col min="15875" max="15875" width="3.6328125" style="767" customWidth="1"/>
    <col min="15876" max="15876" width="12.36328125" style="767" customWidth="1"/>
    <col min="15877" max="15903" width="6.6328125" style="767" customWidth="1"/>
    <col min="15904" max="16128" width="9.08984375" style="767"/>
    <col min="16129" max="16129" width="3.6328125" style="767" customWidth="1"/>
    <col min="16130" max="16130" width="14.453125" style="767" customWidth="1"/>
    <col min="16131" max="16131" width="3.6328125" style="767" customWidth="1"/>
    <col min="16132" max="16132" width="12.36328125" style="767" customWidth="1"/>
    <col min="16133" max="16159" width="6.6328125" style="767" customWidth="1"/>
    <col min="16160" max="16384" width="9.08984375" style="767"/>
  </cols>
  <sheetData>
    <row r="1" spans="1:31" s="1764" customFormat="1" ht="14" x14ac:dyDescent="0.3">
      <c r="A1" s="2070"/>
      <c r="B1" s="1768"/>
      <c r="C1" s="1768"/>
    </row>
    <row r="2" spans="1:31" s="1764" customFormat="1" ht="15" customHeight="1" x14ac:dyDescent="0.3">
      <c r="A2" s="1255">
        <v>1</v>
      </c>
      <c r="B2" s="1255" t="s">
        <v>0</v>
      </c>
      <c r="C2" s="1255">
        <v>55</v>
      </c>
      <c r="D2" s="3144" t="s">
        <v>1258</v>
      </c>
      <c r="E2" s="3145"/>
      <c r="F2" s="3145"/>
      <c r="G2" s="3145"/>
      <c r="H2" s="3145"/>
      <c r="I2" s="3145"/>
      <c r="J2" s="3145"/>
      <c r="K2" s="3145"/>
      <c r="L2" s="3145"/>
      <c r="M2" s="3145"/>
      <c r="N2" s="3145"/>
      <c r="O2" s="3145"/>
      <c r="P2" s="3145"/>
      <c r="Q2" s="3145"/>
      <c r="R2" s="3145"/>
      <c r="S2" s="3145"/>
      <c r="T2" s="3145"/>
      <c r="U2" s="3145"/>
      <c r="V2" s="3145"/>
      <c r="W2" s="1304"/>
      <c r="X2" s="1304"/>
      <c r="Y2" s="1304"/>
      <c r="Z2" s="1304"/>
      <c r="AA2" s="1304"/>
      <c r="AB2" s="1304"/>
      <c r="AC2" s="1304"/>
      <c r="AD2" s="1304"/>
      <c r="AE2" s="1305"/>
    </row>
    <row r="3" spans="1:31" s="1764" customFormat="1" ht="15" customHeight="1" x14ac:dyDescent="0.3">
      <c r="A3" s="1255">
        <v>2</v>
      </c>
      <c r="B3" s="1255" t="s">
        <v>2</v>
      </c>
      <c r="C3" s="1255"/>
      <c r="D3" s="4849" t="s">
        <v>1201</v>
      </c>
      <c r="E3" s="4850"/>
      <c r="F3" s="4850"/>
      <c r="G3" s="4850"/>
      <c r="H3" s="4850"/>
      <c r="I3" s="4850"/>
      <c r="J3" s="4850"/>
      <c r="K3" s="4850"/>
      <c r="L3" s="4850"/>
      <c r="M3" s="4850"/>
      <c r="N3" s="4850"/>
      <c r="O3" s="4850"/>
      <c r="P3" s="4850"/>
      <c r="Q3" s="4850"/>
      <c r="R3" s="4850"/>
      <c r="S3" s="4850"/>
      <c r="T3" s="4850"/>
      <c r="U3" s="4850"/>
      <c r="V3" s="4850"/>
      <c r="W3" s="4850"/>
      <c r="X3" s="4850"/>
      <c r="Y3" s="4850"/>
      <c r="Z3" s="4850"/>
      <c r="AA3" s="4850"/>
      <c r="AB3" s="4850"/>
      <c r="AC3" s="4850"/>
      <c r="AD3" s="4850"/>
      <c r="AE3" s="4851"/>
    </row>
    <row r="4" spans="1:31" s="1764" customFormat="1" ht="15" customHeight="1" x14ac:dyDescent="0.3">
      <c r="A4" s="1255">
        <v>3</v>
      </c>
      <c r="B4" s="1255" t="s">
        <v>4</v>
      </c>
      <c r="C4" s="3146"/>
      <c r="D4" s="4734" t="s">
        <v>1259</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4"/>
      <c r="AC4" s="4734"/>
      <c r="AD4" s="4734"/>
      <c r="AE4" s="4735"/>
    </row>
    <row r="5" spans="1:31" s="1764" customFormat="1" ht="15" customHeight="1" x14ac:dyDescent="0.3">
      <c r="A5" s="1255"/>
      <c r="B5" s="1255"/>
      <c r="C5" s="1255"/>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row>
    <row r="6" spans="1:31" ht="13" x14ac:dyDescent="0.25">
      <c r="A6" s="1255">
        <v>4</v>
      </c>
      <c r="B6" s="728" t="s">
        <v>6</v>
      </c>
      <c r="C6" s="728"/>
      <c r="D6" s="3012"/>
      <c r="E6" s="3012"/>
      <c r="F6" s="3012"/>
      <c r="G6" s="3012"/>
      <c r="H6" s="3012"/>
      <c r="I6" s="3012"/>
      <c r="J6" s="3012"/>
      <c r="K6" s="3012"/>
      <c r="L6" s="3012"/>
      <c r="M6" s="3012"/>
      <c r="N6" s="3012"/>
      <c r="O6" s="3012"/>
    </row>
    <row r="7" spans="1:31" s="1265" customFormat="1" ht="10.5" x14ac:dyDescent="0.25">
      <c r="A7" s="1259"/>
      <c r="B7" s="1260"/>
      <c r="C7" s="1260"/>
      <c r="D7" s="1770" t="s">
        <v>7</v>
      </c>
      <c r="E7" s="1770" t="s">
        <v>1260</v>
      </c>
      <c r="F7" s="1770"/>
      <c r="G7" s="1770"/>
      <c r="H7" s="1770"/>
      <c r="I7" s="1770"/>
      <c r="J7" s="1770"/>
      <c r="K7" s="1272"/>
      <c r="L7" s="1272"/>
      <c r="M7" s="1272"/>
      <c r="N7" s="1270"/>
      <c r="O7" s="1270"/>
    </row>
    <row r="8" spans="1:31" s="1265" customFormat="1" ht="12.75" customHeight="1" x14ac:dyDescent="0.25">
      <c r="A8" s="1259"/>
      <c r="B8" s="1260"/>
      <c r="C8" s="1260"/>
      <c r="D8" s="1774"/>
      <c r="E8" s="4926">
        <v>1994</v>
      </c>
      <c r="F8" s="4929"/>
      <c r="G8" s="4950"/>
      <c r="H8" s="4926">
        <v>1999</v>
      </c>
      <c r="I8" s="4929"/>
      <c r="J8" s="4950"/>
      <c r="K8" s="4929">
        <v>2004</v>
      </c>
      <c r="L8" s="4929"/>
      <c r="M8" s="4929"/>
      <c r="N8" s="4926">
        <v>2009</v>
      </c>
      <c r="O8" s="4929"/>
      <c r="P8" s="4950"/>
      <c r="Q8" s="4926">
        <v>2014</v>
      </c>
      <c r="R8" s="4929"/>
      <c r="S8" s="4951"/>
      <c r="T8" s="4926">
        <v>2019</v>
      </c>
      <c r="U8" s="4929"/>
      <c r="V8" s="4951"/>
    </row>
    <row r="9" spans="1:31" s="1265" customFormat="1" ht="10.5" x14ac:dyDescent="0.25">
      <c r="A9" s="1259"/>
      <c r="B9" s="1260"/>
      <c r="C9" s="1260"/>
      <c r="D9" s="3113"/>
      <c r="E9" s="3147" t="s">
        <v>416</v>
      </c>
      <c r="F9" s="3148" t="s">
        <v>232</v>
      </c>
      <c r="G9" s="3149" t="s">
        <v>97</v>
      </c>
      <c r="H9" s="3150" t="s">
        <v>416</v>
      </c>
      <c r="I9" s="3148" t="s">
        <v>232</v>
      </c>
      <c r="J9" s="3149" t="s">
        <v>97</v>
      </c>
      <c r="K9" s="3148" t="s">
        <v>416</v>
      </c>
      <c r="L9" s="3148" t="s">
        <v>232</v>
      </c>
      <c r="M9" s="3148" t="s">
        <v>97</v>
      </c>
      <c r="N9" s="3150" t="s">
        <v>416</v>
      </c>
      <c r="O9" s="3148" t="s">
        <v>232</v>
      </c>
      <c r="P9" s="3149" t="s">
        <v>97</v>
      </c>
      <c r="Q9" s="3150" t="s">
        <v>416</v>
      </c>
      <c r="R9" s="3148" t="s">
        <v>232</v>
      </c>
      <c r="S9" s="3151" t="s">
        <v>97</v>
      </c>
      <c r="T9" s="3152" t="s">
        <v>416</v>
      </c>
      <c r="U9" s="3148" t="s">
        <v>232</v>
      </c>
      <c r="V9" s="3151" t="s">
        <v>97</v>
      </c>
    </row>
    <row r="10" spans="1:31" s="1265" customFormat="1" ht="10.5" x14ac:dyDescent="0.25">
      <c r="A10" s="1259"/>
      <c r="B10" s="1260"/>
      <c r="C10" s="1260"/>
      <c r="D10" s="3153" t="s">
        <v>1261</v>
      </c>
      <c r="E10" s="3154">
        <v>111</v>
      </c>
      <c r="F10" s="3155">
        <v>400</v>
      </c>
      <c r="G10" s="3156">
        <f>E10/F10</f>
        <v>0.27750000000000002</v>
      </c>
      <c r="H10" s="3154">
        <v>120</v>
      </c>
      <c r="I10" s="3155">
        <v>400</v>
      </c>
      <c r="J10" s="3156">
        <f>H10/I10</f>
        <v>0.3</v>
      </c>
      <c r="K10" s="3155">
        <v>131</v>
      </c>
      <c r="L10" s="3155">
        <v>400</v>
      </c>
      <c r="M10" s="3157">
        <f>K10/L10</f>
        <v>0.32750000000000001</v>
      </c>
      <c r="N10" s="3154">
        <v>173</v>
      </c>
      <c r="O10" s="3155">
        <v>400</v>
      </c>
      <c r="P10" s="3156">
        <f>N10/O10</f>
        <v>0.4325</v>
      </c>
      <c r="Q10" s="3154">
        <v>172</v>
      </c>
      <c r="R10" s="3155">
        <v>400</v>
      </c>
      <c r="S10" s="3156">
        <f>Q10/R10</f>
        <v>0.43</v>
      </c>
      <c r="T10" s="3158">
        <v>181</v>
      </c>
      <c r="U10" s="3158">
        <v>400</v>
      </c>
      <c r="V10" s="3159">
        <v>0.45</v>
      </c>
    </row>
    <row r="11" spans="1:31" s="1265" customFormat="1" ht="21" x14ac:dyDescent="0.25">
      <c r="A11" s="1259"/>
      <c r="B11" s="1260"/>
      <c r="C11" s="1260"/>
      <c r="D11" s="3160" t="s">
        <v>1262</v>
      </c>
      <c r="E11" s="3161" t="s">
        <v>1263</v>
      </c>
      <c r="F11" s="3162" t="s">
        <v>1264</v>
      </c>
      <c r="G11" s="3163" t="s">
        <v>1265</v>
      </c>
      <c r="H11" s="3164" t="s">
        <v>1266</v>
      </c>
      <c r="I11" s="3162" t="s">
        <v>1267</v>
      </c>
      <c r="J11" s="3163" t="s">
        <v>1268</v>
      </c>
      <c r="K11" s="3164" t="s">
        <v>1269</v>
      </c>
      <c r="L11" s="3162" t="s">
        <v>1267</v>
      </c>
      <c r="M11" s="3163" t="s">
        <v>1270</v>
      </c>
      <c r="N11" s="3164" t="s">
        <v>1271</v>
      </c>
      <c r="O11" s="3162" t="s">
        <v>1272</v>
      </c>
      <c r="P11" s="3163" t="s">
        <v>1273</v>
      </c>
      <c r="Q11" s="3164" t="s">
        <v>1274</v>
      </c>
      <c r="R11" s="3162" t="s">
        <v>1272</v>
      </c>
      <c r="S11" s="3163" t="s">
        <v>1275</v>
      </c>
      <c r="T11" s="3164">
        <v>189</v>
      </c>
      <c r="U11" s="3162">
        <v>430</v>
      </c>
      <c r="V11" s="3165">
        <v>0.44</v>
      </c>
    </row>
    <row r="12" spans="1:31" s="1265" customFormat="1" ht="10.5" x14ac:dyDescent="0.2">
      <c r="A12" s="1259"/>
      <c r="B12" s="1260"/>
      <c r="C12" s="1260"/>
      <c r="D12" s="3166" t="s">
        <v>402</v>
      </c>
      <c r="E12" s="1632">
        <v>13</v>
      </c>
      <c r="F12" s="1632">
        <v>56</v>
      </c>
      <c r="G12" s="3106">
        <f t="shared" ref="G12:G21" si="0">E12/F12</f>
        <v>0.23214285714285715</v>
      </c>
      <c r="H12" s="1632">
        <v>15</v>
      </c>
      <c r="I12" s="1632">
        <v>63</v>
      </c>
      <c r="J12" s="3106">
        <f t="shared" ref="J12:J21" si="1">H12/I12</f>
        <v>0.23809523809523808</v>
      </c>
      <c r="K12" s="1632">
        <v>21</v>
      </c>
      <c r="L12" s="1632">
        <v>63</v>
      </c>
      <c r="M12" s="3106">
        <f t="shared" ref="M12:M21" si="2">K12/L12</f>
        <v>0.33333333333333331</v>
      </c>
      <c r="N12" s="1632">
        <v>28</v>
      </c>
      <c r="O12" s="1632">
        <v>63</v>
      </c>
      <c r="P12" s="3106">
        <f t="shared" ref="P12:P21" si="3">N12/O12</f>
        <v>0.44444444444444442</v>
      </c>
      <c r="Q12" s="1632">
        <v>26</v>
      </c>
      <c r="R12" s="1632">
        <v>63</v>
      </c>
      <c r="S12" s="3106">
        <f t="shared" ref="S12:S21" si="4">Q12/R12</f>
        <v>0.41269841269841268</v>
      </c>
      <c r="T12" s="3167" t="s">
        <v>1276</v>
      </c>
      <c r="U12" s="3167" t="s">
        <v>1277</v>
      </c>
      <c r="V12" s="3168" t="s">
        <v>1278</v>
      </c>
    </row>
    <row r="13" spans="1:31" s="1265" customFormat="1" ht="14.25" customHeight="1" x14ac:dyDescent="0.2">
      <c r="A13" s="1259"/>
      <c r="B13" s="1260"/>
      <c r="C13" s="1260"/>
      <c r="D13" s="1615" t="s">
        <v>404</v>
      </c>
      <c r="E13" s="3169">
        <v>7</v>
      </c>
      <c r="F13" s="1632">
        <v>30</v>
      </c>
      <c r="G13" s="3106">
        <f t="shared" si="0"/>
        <v>0.23333333333333334</v>
      </c>
      <c r="H13" s="3169">
        <v>7</v>
      </c>
      <c r="I13" s="1632">
        <v>30</v>
      </c>
      <c r="J13" s="3106">
        <f t="shared" si="1"/>
        <v>0.23333333333333334</v>
      </c>
      <c r="K13" s="1632">
        <v>8</v>
      </c>
      <c r="L13" s="1632">
        <v>30</v>
      </c>
      <c r="M13" s="3106">
        <f t="shared" si="2"/>
        <v>0.26666666666666666</v>
      </c>
      <c r="N13" s="1632">
        <v>12</v>
      </c>
      <c r="O13" s="1632">
        <v>30</v>
      </c>
      <c r="P13" s="3106">
        <f t="shared" si="3"/>
        <v>0.4</v>
      </c>
      <c r="Q13" s="3169">
        <v>14</v>
      </c>
      <c r="R13" s="1632">
        <v>30</v>
      </c>
      <c r="S13" s="3106">
        <f t="shared" si="4"/>
        <v>0.46666666666666667</v>
      </c>
      <c r="T13" s="3170" t="s">
        <v>1279</v>
      </c>
      <c r="U13" s="3170" t="s">
        <v>1280</v>
      </c>
      <c r="V13" s="3171" t="s">
        <v>1281</v>
      </c>
    </row>
    <row r="14" spans="1:31" s="1265" customFormat="1" ht="14.25" customHeight="1" x14ac:dyDescent="0.2">
      <c r="A14" s="1259"/>
      <c r="B14" s="1260"/>
      <c r="C14" s="1260"/>
      <c r="D14" s="1615" t="s">
        <v>407</v>
      </c>
      <c r="E14" s="3169">
        <v>25</v>
      </c>
      <c r="F14" s="1632">
        <v>86</v>
      </c>
      <c r="G14" s="3106">
        <f t="shared" si="0"/>
        <v>0.29069767441860467</v>
      </c>
      <c r="H14" s="3169">
        <v>26</v>
      </c>
      <c r="I14" s="1632">
        <v>73</v>
      </c>
      <c r="J14" s="3106">
        <f t="shared" si="1"/>
        <v>0.35616438356164382</v>
      </c>
      <c r="K14" s="1632">
        <v>31</v>
      </c>
      <c r="L14" s="1632">
        <v>73</v>
      </c>
      <c r="M14" s="3108">
        <f t="shared" si="2"/>
        <v>0.42465753424657532</v>
      </c>
      <c r="N14" s="3169">
        <v>33</v>
      </c>
      <c r="O14" s="1632">
        <v>73</v>
      </c>
      <c r="P14" s="3106">
        <f t="shared" si="3"/>
        <v>0.45205479452054792</v>
      </c>
      <c r="Q14" s="3169">
        <v>29</v>
      </c>
      <c r="R14" s="1632">
        <v>73</v>
      </c>
      <c r="S14" s="3106">
        <f t="shared" si="4"/>
        <v>0.39726027397260272</v>
      </c>
      <c r="T14" s="3170" t="s">
        <v>1282</v>
      </c>
      <c r="U14" s="3170" t="s">
        <v>1283</v>
      </c>
      <c r="V14" s="3171" t="s">
        <v>1284</v>
      </c>
    </row>
    <row r="15" spans="1:31" s="1265" customFormat="1" ht="14.25" customHeight="1" x14ac:dyDescent="0.2">
      <c r="A15" s="1259"/>
      <c r="B15" s="1260"/>
      <c r="C15" s="1260"/>
      <c r="D15" s="1615" t="s">
        <v>405</v>
      </c>
      <c r="E15" s="3169">
        <v>11</v>
      </c>
      <c r="F15" s="1632">
        <v>81</v>
      </c>
      <c r="G15" s="3106">
        <f t="shared" si="0"/>
        <v>0.13580246913580246</v>
      </c>
      <c r="H15" s="3169">
        <v>22</v>
      </c>
      <c r="I15" s="1632">
        <v>80</v>
      </c>
      <c r="J15" s="3106">
        <f t="shared" si="1"/>
        <v>0.27500000000000002</v>
      </c>
      <c r="K15" s="1632">
        <v>21</v>
      </c>
      <c r="L15" s="1632">
        <v>80</v>
      </c>
      <c r="M15" s="3108">
        <f t="shared" si="2"/>
        <v>0.26250000000000001</v>
      </c>
      <c r="N15" s="3169">
        <v>30</v>
      </c>
      <c r="O15" s="1632">
        <v>80</v>
      </c>
      <c r="P15" s="3106">
        <f t="shared" si="3"/>
        <v>0.375</v>
      </c>
      <c r="Q15" s="3169">
        <v>32</v>
      </c>
      <c r="R15" s="1632">
        <v>80</v>
      </c>
      <c r="S15" s="3106">
        <f t="shared" si="4"/>
        <v>0.4</v>
      </c>
      <c r="T15" s="3170" t="s">
        <v>1285</v>
      </c>
      <c r="U15" s="3170" t="s">
        <v>1286</v>
      </c>
      <c r="V15" s="3171" t="s">
        <v>1284</v>
      </c>
    </row>
    <row r="16" spans="1:31" s="1265" customFormat="1" ht="14.25" customHeight="1" x14ac:dyDescent="0.2">
      <c r="A16" s="1259"/>
      <c r="B16" s="1260"/>
      <c r="C16" s="1260"/>
      <c r="D16" s="1615" t="s">
        <v>409</v>
      </c>
      <c r="E16" s="3169">
        <v>11</v>
      </c>
      <c r="F16" s="1632">
        <v>40</v>
      </c>
      <c r="G16" s="3106">
        <f t="shared" si="0"/>
        <v>0.27500000000000002</v>
      </c>
      <c r="H16" s="3169">
        <v>16</v>
      </c>
      <c r="I16" s="1632">
        <v>49</v>
      </c>
      <c r="J16" s="3106">
        <f t="shared" si="1"/>
        <v>0.32653061224489793</v>
      </c>
      <c r="K16" s="1632">
        <v>16</v>
      </c>
      <c r="L16" s="1632">
        <v>49</v>
      </c>
      <c r="M16" s="3108">
        <f t="shared" si="2"/>
        <v>0.32653061224489793</v>
      </c>
      <c r="N16" s="3169">
        <v>23</v>
      </c>
      <c r="O16" s="1632">
        <v>49</v>
      </c>
      <c r="P16" s="3106">
        <f t="shared" si="3"/>
        <v>0.46938775510204084</v>
      </c>
      <c r="Q16" s="3169">
        <v>23</v>
      </c>
      <c r="R16" s="1632">
        <v>49</v>
      </c>
      <c r="S16" s="3106">
        <f t="shared" si="4"/>
        <v>0.46938775510204084</v>
      </c>
      <c r="T16" s="3170" t="s">
        <v>1287</v>
      </c>
      <c r="U16" s="3170" t="s">
        <v>1288</v>
      </c>
      <c r="V16" s="3171" t="s">
        <v>1289</v>
      </c>
    </row>
    <row r="17" spans="1:31" s="1265" customFormat="1" ht="14.25" customHeight="1" x14ac:dyDescent="0.2">
      <c r="A17" s="1259"/>
      <c r="B17" s="1260"/>
      <c r="C17" s="1260"/>
      <c r="D17" s="1615" t="s">
        <v>408</v>
      </c>
      <c r="E17" s="3169">
        <v>6</v>
      </c>
      <c r="F17" s="1632">
        <v>30</v>
      </c>
      <c r="G17" s="3106">
        <f t="shared" si="0"/>
        <v>0.2</v>
      </c>
      <c r="H17" s="3169">
        <v>8</v>
      </c>
      <c r="I17" s="1632">
        <v>30</v>
      </c>
      <c r="J17" s="3106">
        <f t="shared" si="1"/>
        <v>0.26666666666666666</v>
      </c>
      <c r="K17" s="1632">
        <v>9</v>
      </c>
      <c r="L17" s="1632">
        <v>30</v>
      </c>
      <c r="M17" s="3108">
        <f t="shared" si="2"/>
        <v>0.3</v>
      </c>
      <c r="N17" s="3169">
        <v>12</v>
      </c>
      <c r="O17" s="1632">
        <v>30</v>
      </c>
      <c r="P17" s="3106">
        <f t="shared" si="3"/>
        <v>0.4</v>
      </c>
      <c r="Q17" s="3169">
        <v>14</v>
      </c>
      <c r="R17" s="1632">
        <v>30</v>
      </c>
      <c r="S17" s="3106">
        <f t="shared" si="4"/>
        <v>0.46666666666666667</v>
      </c>
      <c r="T17" s="3170" t="s">
        <v>1290</v>
      </c>
      <c r="U17" s="3170" t="s">
        <v>1280</v>
      </c>
      <c r="V17" s="3171" t="s">
        <v>1291</v>
      </c>
    </row>
    <row r="18" spans="1:31" s="1265" customFormat="1" ht="14.25" customHeight="1" x14ac:dyDescent="0.2">
      <c r="A18" s="1259"/>
      <c r="B18" s="1260"/>
      <c r="C18" s="1260"/>
      <c r="D18" s="1615" t="s">
        <v>406</v>
      </c>
      <c r="E18" s="3169">
        <v>9</v>
      </c>
      <c r="F18" s="1632">
        <v>33</v>
      </c>
      <c r="G18" s="3106">
        <f t="shared" si="0"/>
        <v>0.27272727272727271</v>
      </c>
      <c r="H18" s="3169">
        <v>9</v>
      </c>
      <c r="I18" s="1632">
        <v>33</v>
      </c>
      <c r="J18" s="3106">
        <f t="shared" si="1"/>
        <v>0.27272727272727271</v>
      </c>
      <c r="K18" s="1632">
        <v>11</v>
      </c>
      <c r="L18" s="1632">
        <v>33</v>
      </c>
      <c r="M18" s="3108">
        <f t="shared" si="2"/>
        <v>0.33333333333333331</v>
      </c>
      <c r="N18" s="3169">
        <v>14</v>
      </c>
      <c r="O18" s="1632">
        <v>33</v>
      </c>
      <c r="P18" s="3106">
        <f t="shared" si="3"/>
        <v>0.42424242424242425</v>
      </c>
      <c r="Q18" s="3169">
        <v>15</v>
      </c>
      <c r="R18" s="1632">
        <v>33</v>
      </c>
      <c r="S18" s="3106">
        <f t="shared" si="4"/>
        <v>0.45454545454545453</v>
      </c>
      <c r="T18" s="3170" t="s">
        <v>1290</v>
      </c>
      <c r="U18" s="3170" t="s">
        <v>1292</v>
      </c>
      <c r="V18" s="3171" t="s">
        <v>1293</v>
      </c>
    </row>
    <row r="19" spans="1:31" s="1265" customFormat="1" ht="14.25" customHeight="1" x14ac:dyDescent="0.2">
      <c r="A19" s="1259"/>
      <c r="B19" s="1260"/>
      <c r="C19" s="1260"/>
      <c r="D19" s="1615" t="s">
        <v>403</v>
      </c>
      <c r="E19" s="3169"/>
      <c r="F19" s="1632">
        <v>30</v>
      </c>
      <c r="G19" s="3106">
        <f t="shared" si="0"/>
        <v>0</v>
      </c>
      <c r="H19" s="3169">
        <v>8</v>
      </c>
      <c r="I19" s="1632">
        <v>30</v>
      </c>
      <c r="J19" s="3106">
        <f t="shared" si="1"/>
        <v>0.26666666666666666</v>
      </c>
      <c r="K19" s="1632">
        <v>9</v>
      </c>
      <c r="L19" s="1632">
        <v>30</v>
      </c>
      <c r="M19" s="3108">
        <f t="shared" si="2"/>
        <v>0.3</v>
      </c>
      <c r="N19" s="3169">
        <v>13</v>
      </c>
      <c r="O19" s="1632">
        <v>30</v>
      </c>
      <c r="P19" s="3106">
        <f t="shared" si="3"/>
        <v>0.43333333333333335</v>
      </c>
      <c r="Q19" s="3169">
        <v>12</v>
      </c>
      <c r="R19" s="1632">
        <v>30</v>
      </c>
      <c r="S19" s="3106">
        <f t="shared" si="4"/>
        <v>0.4</v>
      </c>
      <c r="T19" s="3170" t="s">
        <v>1294</v>
      </c>
      <c r="U19" s="3170" t="s">
        <v>1280</v>
      </c>
      <c r="V19" s="3171" t="s">
        <v>1295</v>
      </c>
    </row>
    <row r="20" spans="1:31" s="1265" customFormat="1" ht="14.25" customHeight="1" x14ac:dyDescent="0.2">
      <c r="A20" s="1259"/>
      <c r="B20" s="1260"/>
      <c r="C20" s="1260"/>
      <c r="D20" s="1615" t="s">
        <v>401</v>
      </c>
      <c r="E20" s="3169">
        <v>10</v>
      </c>
      <c r="F20" s="1632">
        <v>42</v>
      </c>
      <c r="G20" s="3106">
        <f t="shared" si="0"/>
        <v>0.23809523809523808</v>
      </c>
      <c r="H20" s="3169">
        <v>11</v>
      </c>
      <c r="I20" s="1632">
        <v>42</v>
      </c>
      <c r="J20" s="3106">
        <f t="shared" si="1"/>
        <v>0.26190476190476192</v>
      </c>
      <c r="K20" s="1632">
        <v>13</v>
      </c>
      <c r="L20" s="1632">
        <v>42</v>
      </c>
      <c r="M20" s="3108">
        <f t="shared" si="2"/>
        <v>0.30952380952380953</v>
      </c>
      <c r="N20" s="3169">
        <v>14</v>
      </c>
      <c r="O20" s="1632">
        <v>42</v>
      </c>
      <c r="P20" s="3106">
        <f t="shared" si="3"/>
        <v>0.33333333333333331</v>
      </c>
      <c r="Q20" s="3169">
        <v>16</v>
      </c>
      <c r="R20" s="1632">
        <v>42</v>
      </c>
      <c r="S20" s="3106">
        <f t="shared" si="4"/>
        <v>0.38095238095238093</v>
      </c>
      <c r="T20" s="3164" t="s">
        <v>1290</v>
      </c>
      <c r="U20" s="3164" t="s">
        <v>1296</v>
      </c>
      <c r="V20" s="3172" t="s">
        <v>1297</v>
      </c>
    </row>
    <row r="21" spans="1:31" s="1266" customFormat="1" ht="14.25" customHeight="1" x14ac:dyDescent="0.25">
      <c r="A21" s="1259"/>
      <c r="B21" s="1296"/>
      <c r="C21" s="1296"/>
      <c r="D21" s="3173" t="s">
        <v>232</v>
      </c>
      <c r="E21" s="3174">
        <f>SUM(E10:E20)</f>
        <v>203</v>
      </c>
      <c r="F21" s="3175">
        <f>SUM(F10:F20)</f>
        <v>828</v>
      </c>
      <c r="G21" s="3176">
        <f t="shared" si="0"/>
        <v>0.24516908212560387</v>
      </c>
      <c r="H21" s="3174">
        <f>SUM(H10:H20)</f>
        <v>242</v>
      </c>
      <c r="I21" s="3175">
        <f>SUM(I10:I20)</f>
        <v>830</v>
      </c>
      <c r="J21" s="3176">
        <f t="shared" si="1"/>
        <v>0.29156626506024097</v>
      </c>
      <c r="K21" s="3175">
        <f>SUM(K10:K20)</f>
        <v>270</v>
      </c>
      <c r="L21" s="3177">
        <f>SUM(L10:L20)</f>
        <v>830</v>
      </c>
      <c r="M21" s="3178">
        <f t="shared" si="2"/>
        <v>0.3253012048192771</v>
      </c>
      <c r="N21" s="3174">
        <f>SUM(N10:N20)</f>
        <v>352</v>
      </c>
      <c r="O21" s="3175">
        <f>SUM(O10:O20)</f>
        <v>830</v>
      </c>
      <c r="P21" s="3176">
        <f t="shared" si="3"/>
        <v>0.42409638554216866</v>
      </c>
      <c r="Q21" s="3174">
        <f>SUM(Q10:Q20)</f>
        <v>353</v>
      </c>
      <c r="R21" s="3175">
        <f>SUM(R10:R20)</f>
        <v>830</v>
      </c>
      <c r="S21" s="3176">
        <f t="shared" si="4"/>
        <v>0.42530120481927713</v>
      </c>
      <c r="T21" s="3179" t="s">
        <v>1298</v>
      </c>
      <c r="U21" s="3179" t="s">
        <v>1299</v>
      </c>
      <c r="V21" s="3180" t="s">
        <v>1300</v>
      </c>
    </row>
    <row r="22" spans="1:31" x14ac:dyDescent="0.25">
      <c r="B22" s="3181"/>
      <c r="C22" s="3181"/>
      <c r="D22" s="1270"/>
      <c r="E22" s="1270"/>
      <c r="F22" s="1270"/>
      <c r="G22" s="1270"/>
      <c r="H22" s="1270"/>
      <c r="I22" s="1270"/>
      <c r="J22" s="1270"/>
      <c r="K22" s="1265"/>
      <c r="L22" s="1270"/>
      <c r="M22" s="1270"/>
      <c r="N22" s="1270"/>
      <c r="O22" s="1270"/>
      <c r="P22" s="1265"/>
      <c r="Q22" s="1265"/>
      <c r="R22" s="1265"/>
      <c r="S22" s="1265"/>
      <c r="T22" s="1265"/>
      <c r="U22" s="1265"/>
      <c r="V22" s="1265"/>
    </row>
    <row r="23" spans="1:31" x14ac:dyDescent="0.25">
      <c r="B23" s="3181"/>
      <c r="C23" s="3181"/>
      <c r="D23" s="1770" t="s">
        <v>35</v>
      </c>
      <c r="E23" s="1770"/>
      <c r="F23" s="1770" t="s">
        <v>1301</v>
      </c>
      <c r="G23" s="3182"/>
      <c r="H23" s="3182"/>
      <c r="I23" s="3182"/>
      <c r="J23" s="3182"/>
      <c r="K23" s="3182"/>
      <c r="L23" s="3182"/>
      <c r="M23" s="1265"/>
      <c r="N23" s="1265"/>
      <c r="O23" s="1265"/>
      <c r="P23" s="1265"/>
      <c r="Q23" s="1265"/>
      <c r="R23" s="1265"/>
      <c r="S23" s="1265"/>
      <c r="T23" s="1265"/>
      <c r="U23" s="1265"/>
      <c r="V23" s="1265"/>
    </row>
    <row r="24" spans="1:31" ht="15" customHeight="1" x14ac:dyDescent="0.25">
      <c r="B24" s="3181"/>
      <c r="C24" s="3181"/>
      <c r="D24" s="3183"/>
      <c r="E24" s="4937">
        <v>2006</v>
      </c>
      <c r="F24" s="4938"/>
      <c r="G24" s="4938"/>
      <c r="H24" s="4938"/>
      <c r="I24" s="4938"/>
      <c r="J24" s="4938"/>
      <c r="K24" s="4938"/>
      <c r="L24" s="4938"/>
      <c r="M24" s="4939"/>
      <c r="N24" s="4940">
        <v>2011</v>
      </c>
      <c r="O24" s="4938"/>
      <c r="P24" s="4938"/>
      <c r="Q24" s="4938"/>
      <c r="R24" s="4938"/>
      <c r="S24" s="4938"/>
      <c r="T24" s="4938"/>
      <c r="U24" s="4938"/>
      <c r="V24" s="4941"/>
      <c r="W24" s="4940">
        <v>2016</v>
      </c>
      <c r="X24" s="4938"/>
      <c r="Y24" s="4938"/>
      <c r="Z24" s="4938"/>
      <c r="AA24" s="4938"/>
      <c r="AB24" s="4938"/>
      <c r="AC24" s="4938"/>
      <c r="AD24" s="4938"/>
      <c r="AE24" s="4939"/>
    </row>
    <row r="25" spans="1:31" ht="26.25" customHeight="1" x14ac:dyDescent="0.25">
      <c r="B25" s="3181"/>
      <c r="C25" s="3181"/>
      <c r="D25" s="1531"/>
      <c r="E25" s="4942" t="s">
        <v>1302</v>
      </c>
      <c r="F25" s="4943"/>
      <c r="G25" s="4944"/>
      <c r="H25" s="4945" t="s">
        <v>1303</v>
      </c>
      <c r="I25" s="4946"/>
      <c r="J25" s="4946"/>
      <c r="K25" s="4945" t="s">
        <v>1304</v>
      </c>
      <c r="L25" s="4946"/>
      <c r="M25" s="4947"/>
      <c r="N25" s="4948" t="s">
        <v>1302</v>
      </c>
      <c r="O25" s="4943"/>
      <c r="P25" s="4944"/>
      <c r="Q25" s="4945" t="s">
        <v>1303</v>
      </c>
      <c r="R25" s="4946"/>
      <c r="S25" s="4946"/>
      <c r="T25" s="4945" t="s">
        <v>1304</v>
      </c>
      <c r="U25" s="4946"/>
      <c r="V25" s="4949"/>
      <c r="W25" s="4948" t="s">
        <v>1302</v>
      </c>
      <c r="X25" s="4943"/>
      <c r="Y25" s="4944"/>
      <c r="Z25" s="4945" t="s">
        <v>1303</v>
      </c>
      <c r="AA25" s="4946"/>
      <c r="AB25" s="4946"/>
      <c r="AC25" s="4945" t="s">
        <v>1304</v>
      </c>
      <c r="AD25" s="4946"/>
      <c r="AE25" s="4947"/>
    </row>
    <row r="26" spans="1:31" ht="15.75" customHeight="1" x14ac:dyDescent="0.25">
      <c r="B26" s="3181"/>
      <c r="C26" s="3181"/>
      <c r="D26" s="3184" t="s">
        <v>424</v>
      </c>
      <c r="E26" s="3185" t="s">
        <v>416</v>
      </c>
      <c r="F26" s="1428" t="s">
        <v>232</v>
      </c>
      <c r="G26" s="3186" t="s">
        <v>97</v>
      </c>
      <c r="H26" s="1428" t="s">
        <v>416</v>
      </c>
      <c r="I26" s="1428" t="s">
        <v>232</v>
      </c>
      <c r="J26" s="3186" t="s">
        <v>97</v>
      </c>
      <c r="K26" s="1428" t="s">
        <v>416</v>
      </c>
      <c r="L26" s="1428" t="s">
        <v>232</v>
      </c>
      <c r="M26" s="3187" t="s">
        <v>97</v>
      </c>
      <c r="N26" s="3188" t="s">
        <v>416</v>
      </c>
      <c r="O26" s="1428" t="s">
        <v>232</v>
      </c>
      <c r="P26" s="3186" t="s">
        <v>97</v>
      </c>
      <c r="Q26" s="1428" t="s">
        <v>416</v>
      </c>
      <c r="R26" s="1428" t="s">
        <v>232</v>
      </c>
      <c r="S26" s="3186" t="s">
        <v>97</v>
      </c>
      <c r="T26" s="1428" t="s">
        <v>416</v>
      </c>
      <c r="U26" s="1428" t="s">
        <v>232</v>
      </c>
      <c r="V26" s="3189" t="s">
        <v>97</v>
      </c>
      <c r="W26" s="3188" t="s">
        <v>416</v>
      </c>
      <c r="X26" s="1428" t="s">
        <v>232</v>
      </c>
      <c r="Y26" s="3186" t="s">
        <v>97</v>
      </c>
      <c r="Z26" s="1428" t="s">
        <v>416</v>
      </c>
      <c r="AA26" s="1428" t="s">
        <v>232</v>
      </c>
      <c r="AB26" s="3186" t="s">
        <v>97</v>
      </c>
      <c r="AC26" s="1428" t="s">
        <v>416</v>
      </c>
      <c r="AD26" s="1428" t="s">
        <v>232</v>
      </c>
      <c r="AE26" s="3187" t="s">
        <v>97</v>
      </c>
    </row>
    <row r="27" spans="1:31" x14ac:dyDescent="0.25">
      <c r="B27" s="3181"/>
      <c r="C27" s="3181"/>
      <c r="D27" s="1281" t="s">
        <v>402</v>
      </c>
      <c r="E27" s="3190">
        <v>348</v>
      </c>
      <c r="F27" s="2945">
        <v>743</v>
      </c>
      <c r="G27" s="3191">
        <v>46.837146702557206</v>
      </c>
      <c r="H27" s="2945">
        <v>236</v>
      </c>
      <c r="I27" s="2945">
        <v>636</v>
      </c>
      <c r="J27" s="3191">
        <v>37.106918238993707</v>
      </c>
      <c r="K27" s="2945">
        <v>584</v>
      </c>
      <c r="L27" s="2945">
        <v>1379</v>
      </c>
      <c r="M27" s="3192">
        <v>42.349528643944886</v>
      </c>
      <c r="N27" s="3193">
        <v>358</v>
      </c>
      <c r="O27" s="2945">
        <v>799</v>
      </c>
      <c r="P27" s="3191">
        <v>44.81</v>
      </c>
      <c r="Q27" s="2945">
        <v>278</v>
      </c>
      <c r="R27" s="2945">
        <v>715</v>
      </c>
      <c r="S27" s="3191">
        <v>38.879999999999995</v>
      </c>
      <c r="T27" s="2945">
        <v>636</v>
      </c>
      <c r="U27" s="2945">
        <v>1514</v>
      </c>
      <c r="V27" s="3191">
        <v>42.01</v>
      </c>
      <c r="W27" s="3193">
        <v>415</v>
      </c>
      <c r="X27" s="2945">
        <v>787</v>
      </c>
      <c r="Y27" s="3191">
        <v>52.7</v>
      </c>
      <c r="Z27" s="2945">
        <v>229</v>
      </c>
      <c r="AA27" s="2945">
        <v>705</v>
      </c>
      <c r="AB27" s="3191">
        <v>32.5</v>
      </c>
      <c r="AC27" s="2945">
        <v>644</v>
      </c>
      <c r="AD27" s="2945">
        <v>1490</v>
      </c>
      <c r="AE27" s="3192">
        <v>43.2</v>
      </c>
    </row>
    <row r="28" spans="1:31" x14ac:dyDescent="0.25">
      <c r="B28" s="3181"/>
      <c r="C28" s="3181"/>
      <c r="D28" s="1281" t="s">
        <v>404</v>
      </c>
      <c r="E28" s="3190">
        <v>141</v>
      </c>
      <c r="F28" s="2945">
        <v>334</v>
      </c>
      <c r="G28" s="3191">
        <v>42.215568862275447</v>
      </c>
      <c r="H28" s="2945">
        <v>113</v>
      </c>
      <c r="I28" s="2945">
        <v>300</v>
      </c>
      <c r="J28" s="3191">
        <v>37.666666666666664</v>
      </c>
      <c r="K28" s="2945">
        <v>254</v>
      </c>
      <c r="L28" s="2945">
        <v>634</v>
      </c>
      <c r="M28" s="3192">
        <v>40.063091482649845</v>
      </c>
      <c r="N28" s="3193">
        <v>164</v>
      </c>
      <c r="O28" s="2945">
        <v>359</v>
      </c>
      <c r="P28" s="3191">
        <v>45.68</v>
      </c>
      <c r="Q28" s="2945">
        <v>93</v>
      </c>
      <c r="R28" s="2945">
        <v>317</v>
      </c>
      <c r="S28" s="3191">
        <v>29.34</v>
      </c>
      <c r="T28" s="2945">
        <v>257</v>
      </c>
      <c r="U28" s="2945">
        <v>676</v>
      </c>
      <c r="V28" s="3191">
        <v>38.019999999999996</v>
      </c>
      <c r="W28" s="3193">
        <v>173</v>
      </c>
      <c r="X28" s="2945">
        <v>350</v>
      </c>
      <c r="Y28" s="3191">
        <v>49.4</v>
      </c>
      <c r="Z28" s="2945">
        <v>79</v>
      </c>
      <c r="AA28" s="2945">
        <v>309</v>
      </c>
      <c r="AB28" s="3191">
        <v>25.6</v>
      </c>
      <c r="AC28" s="2945">
        <v>252</v>
      </c>
      <c r="AD28" s="2945">
        <v>659</v>
      </c>
      <c r="AE28" s="3192">
        <v>38.200000000000003</v>
      </c>
    </row>
    <row r="29" spans="1:31" x14ac:dyDescent="0.25">
      <c r="B29" s="3181"/>
      <c r="C29" s="3181"/>
      <c r="D29" s="1281" t="s">
        <v>407</v>
      </c>
      <c r="E29" s="3190">
        <v>201</v>
      </c>
      <c r="F29" s="2945">
        <v>454</v>
      </c>
      <c r="G29" s="3191">
        <v>44.273127753303967</v>
      </c>
      <c r="H29" s="2945">
        <v>190</v>
      </c>
      <c r="I29" s="2945">
        <v>423</v>
      </c>
      <c r="J29" s="3191">
        <v>44.917257683215126</v>
      </c>
      <c r="K29" s="2945">
        <v>391</v>
      </c>
      <c r="L29" s="2945">
        <v>877</v>
      </c>
      <c r="M29" s="3192">
        <v>44.583808437856327</v>
      </c>
      <c r="N29" s="3193">
        <v>220</v>
      </c>
      <c r="O29" s="2945">
        <v>542</v>
      </c>
      <c r="P29" s="3191">
        <v>40.589999999999996</v>
      </c>
      <c r="Q29" s="2945">
        <v>199</v>
      </c>
      <c r="R29" s="2945">
        <v>508</v>
      </c>
      <c r="S29" s="3191">
        <v>39.17</v>
      </c>
      <c r="T29" s="2945">
        <v>419</v>
      </c>
      <c r="U29" s="2945">
        <v>1050</v>
      </c>
      <c r="V29" s="3191">
        <v>39.900000000000006</v>
      </c>
      <c r="W29" s="3193">
        <v>232</v>
      </c>
      <c r="X29" s="2945">
        <v>563</v>
      </c>
      <c r="Y29" s="3191">
        <v>41.2</v>
      </c>
      <c r="Z29" s="2945">
        <v>192</v>
      </c>
      <c r="AA29" s="2945">
        <v>529</v>
      </c>
      <c r="AB29" s="3191">
        <v>36.299999999999997</v>
      </c>
      <c r="AC29" s="2945">
        <v>424</v>
      </c>
      <c r="AD29" s="2945">
        <v>1092</v>
      </c>
      <c r="AE29" s="3192">
        <v>38.799999999999997</v>
      </c>
    </row>
    <row r="30" spans="1:31" x14ac:dyDescent="0.25">
      <c r="B30" s="3181"/>
      <c r="C30" s="3181"/>
      <c r="D30" s="1281" t="s">
        <v>405</v>
      </c>
      <c r="E30" s="3190">
        <v>341</v>
      </c>
      <c r="F30" s="2945">
        <v>880</v>
      </c>
      <c r="G30" s="3191">
        <v>38.75</v>
      </c>
      <c r="H30" s="2945">
        <v>143</v>
      </c>
      <c r="I30" s="2945">
        <v>771</v>
      </c>
      <c r="J30" s="3191">
        <v>18.547341115434502</v>
      </c>
      <c r="K30" s="2945">
        <v>484</v>
      </c>
      <c r="L30" s="2945">
        <v>1651</v>
      </c>
      <c r="M30" s="3192">
        <v>29.31556632344034</v>
      </c>
      <c r="N30" s="3193">
        <v>416</v>
      </c>
      <c r="O30" s="2945">
        <v>935</v>
      </c>
      <c r="P30" s="3191">
        <v>44.49</v>
      </c>
      <c r="Q30" s="2945">
        <v>148</v>
      </c>
      <c r="R30" s="2945">
        <v>828</v>
      </c>
      <c r="S30" s="3191">
        <v>17.87</v>
      </c>
      <c r="T30" s="2945">
        <v>564</v>
      </c>
      <c r="U30" s="2945">
        <v>1763</v>
      </c>
      <c r="V30" s="3191">
        <v>31.990000000000002</v>
      </c>
      <c r="W30" s="3193">
        <v>478</v>
      </c>
      <c r="X30" s="2945">
        <v>976</v>
      </c>
      <c r="Y30" s="3191">
        <v>49</v>
      </c>
      <c r="Z30" s="2945">
        <v>193</v>
      </c>
      <c r="AA30" s="2945">
        <v>870</v>
      </c>
      <c r="AB30" s="3191">
        <v>22.2</v>
      </c>
      <c r="AC30" s="2945">
        <v>671</v>
      </c>
      <c r="AD30" s="2945">
        <v>1846</v>
      </c>
      <c r="AE30" s="3192">
        <v>36.299999999999997</v>
      </c>
    </row>
    <row r="31" spans="1:31" x14ac:dyDescent="0.25">
      <c r="B31" s="3181"/>
      <c r="C31" s="3181"/>
      <c r="D31" s="1281" t="s">
        <v>408</v>
      </c>
      <c r="E31" s="3190">
        <v>254</v>
      </c>
      <c r="F31" s="2945">
        <v>593</v>
      </c>
      <c r="G31" s="3191">
        <v>42.833052276559862</v>
      </c>
      <c r="H31" s="2945">
        <v>235</v>
      </c>
      <c r="I31" s="2945">
        <v>513</v>
      </c>
      <c r="J31" s="3191">
        <v>45.808966861598435</v>
      </c>
      <c r="K31" s="2945">
        <v>489</v>
      </c>
      <c r="L31" s="2945">
        <v>1106</v>
      </c>
      <c r="M31" s="3192">
        <v>44.21338155515371</v>
      </c>
      <c r="N31" s="3193">
        <v>285</v>
      </c>
      <c r="O31" s="2945">
        <v>628</v>
      </c>
      <c r="P31" s="3191">
        <v>45.379999999999995</v>
      </c>
      <c r="Q31" s="2945">
        <v>227</v>
      </c>
      <c r="R31" s="2945">
        <v>543</v>
      </c>
      <c r="S31" s="3191">
        <v>41.8</v>
      </c>
      <c r="T31" s="2945">
        <v>512</v>
      </c>
      <c r="U31" s="2945">
        <v>1171</v>
      </c>
      <c r="V31" s="3191">
        <v>43.72</v>
      </c>
      <c r="W31" s="3193">
        <v>257</v>
      </c>
      <c r="X31" s="2945">
        <v>460</v>
      </c>
      <c r="Y31" s="3191">
        <v>55.9</v>
      </c>
      <c r="Z31" s="2945">
        <v>120</v>
      </c>
      <c r="AA31" s="2945">
        <v>400</v>
      </c>
      <c r="AB31" s="3191">
        <v>30</v>
      </c>
      <c r="AC31" s="2945">
        <v>377</v>
      </c>
      <c r="AD31" s="2945">
        <v>860</v>
      </c>
      <c r="AE31" s="3192">
        <v>43.8</v>
      </c>
    </row>
    <row r="32" spans="1:31" x14ac:dyDescent="0.25">
      <c r="B32" s="3181"/>
      <c r="C32" s="3181"/>
      <c r="D32" s="1281" t="s">
        <v>406</v>
      </c>
      <c r="E32" s="3190">
        <v>186</v>
      </c>
      <c r="F32" s="2945">
        <v>423</v>
      </c>
      <c r="G32" s="3191">
        <v>43.971631205673759</v>
      </c>
      <c r="H32" s="2945">
        <v>152</v>
      </c>
      <c r="I32" s="2945">
        <v>365</v>
      </c>
      <c r="J32" s="3191">
        <v>41.643835616438359</v>
      </c>
      <c r="K32" s="2945">
        <v>338</v>
      </c>
      <c r="L32" s="2945">
        <v>788</v>
      </c>
      <c r="M32" s="3192">
        <v>42.893401015228427</v>
      </c>
      <c r="N32" s="3193">
        <v>230</v>
      </c>
      <c r="O32" s="2945">
        <v>466</v>
      </c>
      <c r="P32" s="3191">
        <v>49.36</v>
      </c>
      <c r="Q32" s="2945">
        <v>136</v>
      </c>
      <c r="R32" s="2945">
        <v>402</v>
      </c>
      <c r="S32" s="3191">
        <v>33.83</v>
      </c>
      <c r="T32" s="2945">
        <v>366</v>
      </c>
      <c r="U32" s="2945">
        <v>868</v>
      </c>
      <c r="V32" s="3191">
        <v>42.17</v>
      </c>
      <c r="W32" s="3193">
        <v>228</v>
      </c>
      <c r="X32" s="2945">
        <v>473</v>
      </c>
      <c r="Y32" s="3191">
        <v>48.2</v>
      </c>
      <c r="Z32" s="2945">
        <v>122</v>
      </c>
      <c r="AA32" s="2945">
        <v>407</v>
      </c>
      <c r="AB32" s="3191">
        <v>30</v>
      </c>
      <c r="AC32" s="2945">
        <v>350</v>
      </c>
      <c r="AD32" s="2945">
        <v>880</v>
      </c>
      <c r="AE32" s="3192">
        <v>39.799999999999997</v>
      </c>
    </row>
    <row r="33" spans="1:31" x14ac:dyDescent="0.25">
      <c r="B33" s="3181"/>
      <c r="C33" s="3181"/>
      <c r="D33" s="1281" t="s">
        <v>403</v>
      </c>
      <c r="E33" s="3190">
        <v>183</v>
      </c>
      <c r="F33" s="2945">
        <v>423</v>
      </c>
      <c r="G33" s="3191">
        <v>43.262411347517734</v>
      </c>
      <c r="H33" s="2945">
        <v>167</v>
      </c>
      <c r="I33" s="2945">
        <v>365</v>
      </c>
      <c r="J33" s="3191">
        <v>45.753424657534246</v>
      </c>
      <c r="K33" s="2945">
        <v>350</v>
      </c>
      <c r="L33" s="2945">
        <v>788</v>
      </c>
      <c r="M33" s="3192">
        <v>44.416243654822338</v>
      </c>
      <c r="N33" s="3193">
        <v>213</v>
      </c>
      <c r="O33" s="2945">
        <v>449</v>
      </c>
      <c r="P33" s="3191">
        <v>47.44</v>
      </c>
      <c r="Q33" s="2945">
        <v>132</v>
      </c>
      <c r="R33" s="2945">
        <v>383</v>
      </c>
      <c r="S33" s="3191">
        <v>34.46</v>
      </c>
      <c r="T33" s="2945">
        <v>345</v>
      </c>
      <c r="U33" s="2945">
        <v>832</v>
      </c>
      <c r="V33" s="3191">
        <v>41.47</v>
      </c>
      <c r="W33" s="3193">
        <v>105</v>
      </c>
      <c r="X33" s="2945">
        <v>219</v>
      </c>
      <c r="Y33" s="3191">
        <v>47.9</v>
      </c>
      <c r="Z33" s="2945">
        <v>82</v>
      </c>
      <c r="AA33" s="2945">
        <v>204</v>
      </c>
      <c r="AB33" s="3191">
        <v>40.200000000000003</v>
      </c>
      <c r="AC33" s="2945">
        <v>187</v>
      </c>
      <c r="AD33" s="2945">
        <v>423</v>
      </c>
      <c r="AE33" s="3192">
        <v>44.2</v>
      </c>
    </row>
    <row r="34" spans="1:31" x14ac:dyDescent="0.25">
      <c r="B34" s="3181"/>
      <c r="C34" s="3181"/>
      <c r="D34" s="1281" t="s">
        <v>1305</v>
      </c>
      <c r="E34" s="3190">
        <v>87</v>
      </c>
      <c r="F34" s="2945">
        <v>205</v>
      </c>
      <c r="G34" s="3191">
        <v>42.439024390243901</v>
      </c>
      <c r="H34" s="2945">
        <v>92</v>
      </c>
      <c r="I34" s="2945">
        <v>174</v>
      </c>
      <c r="J34" s="3191">
        <v>52.873563218390807</v>
      </c>
      <c r="K34" s="2945">
        <v>179</v>
      </c>
      <c r="L34" s="2945">
        <v>379</v>
      </c>
      <c r="M34" s="3192">
        <v>47.229551451187334</v>
      </c>
      <c r="N34" s="3193">
        <v>89</v>
      </c>
      <c r="O34" s="2945">
        <v>215</v>
      </c>
      <c r="P34" s="3191">
        <v>41.4</v>
      </c>
      <c r="Q34" s="2945">
        <v>71</v>
      </c>
      <c r="R34" s="2945">
        <v>194</v>
      </c>
      <c r="S34" s="3191">
        <v>36.6</v>
      </c>
      <c r="T34" s="2945">
        <v>160</v>
      </c>
      <c r="U34" s="2945">
        <v>409</v>
      </c>
      <c r="V34" s="3191">
        <v>39.119999999999997</v>
      </c>
      <c r="W34" s="3193">
        <v>351</v>
      </c>
      <c r="X34" s="2945">
        <v>657</v>
      </c>
      <c r="Y34" s="3191">
        <v>53.4</v>
      </c>
      <c r="Z34" s="2945">
        <v>212</v>
      </c>
      <c r="AA34" s="2945">
        <v>566</v>
      </c>
      <c r="AB34" s="3191">
        <v>37.5</v>
      </c>
      <c r="AC34" s="2945">
        <v>563</v>
      </c>
      <c r="AD34" s="2945">
        <v>1222</v>
      </c>
      <c r="AE34" s="3192">
        <v>46.1</v>
      </c>
    </row>
    <row r="35" spans="1:31" x14ac:dyDescent="0.25">
      <c r="B35" s="3181"/>
      <c r="C35" s="3181"/>
      <c r="D35" s="3113" t="s">
        <v>401</v>
      </c>
      <c r="E35" s="3194">
        <v>148</v>
      </c>
      <c r="F35" s="2900">
        <v>400</v>
      </c>
      <c r="G35" s="3195">
        <v>37</v>
      </c>
      <c r="H35" s="2900">
        <v>97</v>
      </c>
      <c r="I35" s="2900">
        <v>348</v>
      </c>
      <c r="J35" s="3195">
        <v>27.873563218390807</v>
      </c>
      <c r="K35" s="2900">
        <v>245</v>
      </c>
      <c r="L35" s="2900">
        <v>748</v>
      </c>
      <c r="M35" s="3196">
        <v>32.754010695187162</v>
      </c>
      <c r="N35" s="3197">
        <v>148</v>
      </c>
      <c r="O35" s="2900">
        <v>418</v>
      </c>
      <c r="P35" s="3195">
        <v>35.410000000000004</v>
      </c>
      <c r="Q35" s="2900">
        <v>127</v>
      </c>
      <c r="R35" s="2900">
        <v>387</v>
      </c>
      <c r="S35" s="3195">
        <v>32.82</v>
      </c>
      <c r="T35" s="2900">
        <v>275</v>
      </c>
      <c r="U35" s="2900">
        <v>805</v>
      </c>
      <c r="V35" s="3195">
        <v>34.160000000000004</v>
      </c>
      <c r="W35" s="3197">
        <v>167</v>
      </c>
      <c r="X35" s="2900">
        <v>433</v>
      </c>
      <c r="Y35" s="3195">
        <v>38.6</v>
      </c>
      <c r="Z35" s="2900">
        <v>155</v>
      </c>
      <c r="AA35" s="2900">
        <v>402</v>
      </c>
      <c r="AB35" s="3195">
        <v>38.6</v>
      </c>
      <c r="AC35" s="2900">
        <v>322</v>
      </c>
      <c r="AD35" s="2900">
        <v>834</v>
      </c>
      <c r="AE35" s="3196">
        <v>38.6</v>
      </c>
    </row>
    <row r="36" spans="1:31" x14ac:dyDescent="0.25">
      <c r="B36" s="3181"/>
      <c r="C36" s="3181"/>
      <c r="D36" s="1551" t="s">
        <v>232</v>
      </c>
      <c r="E36" s="3198">
        <v>1889</v>
      </c>
      <c r="F36" s="3199">
        <v>4455</v>
      </c>
      <c r="G36" s="3200">
        <v>42.401795735129063</v>
      </c>
      <c r="H36" s="3199">
        <v>1425</v>
      </c>
      <c r="I36" s="3199">
        <v>3895</v>
      </c>
      <c r="J36" s="3200">
        <v>36.585365853658537</v>
      </c>
      <c r="K36" s="3199">
        <v>3314</v>
      </c>
      <c r="L36" s="3199">
        <v>8350</v>
      </c>
      <c r="M36" s="3201">
        <v>39.688622754491014</v>
      </c>
      <c r="N36" s="3199" t="s">
        <v>1306</v>
      </c>
      <c r="O36" s="3199" t="s">
        <v>1307</v>
      </c>
      <c r="P36" s="3200">
        <v>44.13</v>
      </c>
      <c r="Q36" s="3199" t="s">
        <v>1308</v>
      </c>
      <c r="R36" s="3199" t="s">
        <v>1309</v>
      </c>
      <c r="S36" s="3200">
        <v>32.99</v>
      </c>
      <c r="T36" s="3199">
        <v>3534</v>
      </c>
      <c r="U36" s="3199">
        <v>9088</v>
      </c>
      <c r="V36" s="3200">
        <v>38.89</v>
      </c>
      <c r="W36" s="3199">
        <v>2406</v>
      </c>
      <c r="X36" s="3199">
        <v>4918</v>
      </c>
      <c r="Y36" s="3200">
        <v>48.9</v>
      </c>
      <c r="Z36" s="3199">
        <v>1384</v>
      </c>
      <c r="AA36" s="3199">
        <v>4392</v>
      </c>
      <c r="AB36" s="3200">
        <v>31.5</v>
      </c>
      <c r="AC36" s="3199">
        <v>3790</v>
      </c>
      <c r="AD36" s="3199">
        <v>9306</v>
      </c>
      <c r="AE36" s="3202">
        <v>40.700000000000003</v>
      </c>
    </row>
    <row r="37" spans="1:31" x14ac:dyDescent="0.25">
      <c r="B37" s="3181"/>
      <c r="C37" s="3181"/>
      <c r="D37" s="3012"/>
      <c r="E37" s="3012"/>
      <c r="F37" s="3012"/>
      <c r="G37" s="3012"/>
      <c r="H37" s="3012"/>
      <c r="I37" s="3012"/>
      <c r="J37" s="3012"/>
      <c r="L37" s="3012"/>
      <c r="M37" s="3012"/>
      <c r="N37" s="3012"/>
      <c r="O37" s="3012"/>
    </row>
    <row r="38" spans="1:31" s="1764" customFormat="1" ht="14" x14ac:dyDescent="0.3">
      <c r="A38" s="1255">
        <v>5</v>
      </c>
      <c r="B38" s="1255" t="s">
        <v>58</v>
      </c>
      <c r="C38" s="1255"/>
      <c r="D38" s="4934" t="s">
        <v>1254</v>
      </c>
      <c r="E38" s="4935"/>
      <c r="F38" s="4935"/>
      <c r="G38" s="4935"/>
      <c r="H38" s="4935"/>
      <c r="I38" s="4935"/>
      <c r="J38" s="4935"/>
      <c r="K38" s="4935"/>
      <c r="L38" s="4935"/>
      <c r="M38" s="4935"/>
      <c r="N38" s="4935"/>
      <c r="O38" s="4935"/>
      <c r="P38" s="4935"/>
      <c r="Q38" s="4935"/>
      <c r="R38" s="4935"/>
      <c r="S38" s="4935"/>
      <c r="T38" s="4935"/>
      <c r="U38" s="4935"/>
      <c r="V38" s="4935"/>
      <c r="W38" s="4935"/>
      <c r="X38" s="4935"/>
      <c r="Y38" s="4935"/>
      <c r="Z38" s="4935"/>
      <c r="AA38" s="4935"/>
      <c r="AB38" s="4935"/>
      <c r="AC38" s="4935"/>
      <c r="AD38" s="4935"/>
      <c r="AE38" s="4936"/>
    </row>
    <row r="39" spans="1:31" s="1764" customFormat="1" ht="15" customHeight="1" x14ac:dyDescent="0.3">
      <c r="A39" s="1306">
        <v>6</v>
      </c>
      <c r="B39" s="1306" t="s">
        <v>60</v>
      </c>
      <c r="C39" s="1306"/>
      <c r="D39" s="4837" t="s">
        <v>1310</v>
      </c>
      <c r="E39" s="4838"/>
      <c r="F39" s="4838"/>
      <c r="G39" s="4838"/>
      <c r="H39" s="4838"/>
      <c r="I39" s="4838"/>
      <c r="J39" s="4838"/>
      <c r="K39" s="4838"/>
      <c r="L39" s="4838"/>
      <c r="M39" s="4838"/>
      <c r="N39" s="4838"/>
      <c r="O39" s="4838"/>
      <c r="P39" s="4838"/>
      <c r="Q39" s="4838"/>
      <c r="R39" s="4838"/>
      <c r="S39" s="4838"/>
      <c r="T39" s="4838"/>
      <c r="U39" s="4838"/>
      <c r="V39" s="4838"/>
      <c r="W39" s="4838"/>
      <c r="X39" s="4838"/>
      <c r="Y39" s="4838"/>
      <c r="Z39" s="4838"/>
      <c r="AA39" s="4838"/>
      <c r="AB39" s="4838"/>
      <c r="AC39" s="4838"/>
      <c r="AD39" s="4838"/>
      <c r="AE39" s="4839"/>
    </row>
    <row r="40" spans="1:31" s="1764" customFormat="1" ht="14" customHeight="1" x14ac:dyDescent="0.3">
      <c r="A40" s="1255">
        <v>7</v>
      </c>
      <c r="B40" s="1255" t="s">
        <v>62</v>
      </c>
      <c r="C40" s="1255"/>
      <c r="D40" s="4733" t="s">
        <v>1311</v>
      </c>
      <c r="E40" s="4734"/>
      <c r="F40" s="4734"/>
      <c r="G40" s="4734"/>
      <c r="H40" s="4734"/>
      <c r="I40" s="4734"/>
      <c r="J40" s="4734"/>
      <c r="K40" s="4734"/>
      <c r="L40" s="4734"/>
      <c r="M40" s="4734"/>
      <c r="N40" s="4734"/>
      <c r="O40" s="4734"/>
      <c r="P40" s="4734"/>
      <c r="Q40" s="4734"/>
      <c r="R40" s="4734"/>
      <c r="S40" s="4734"/>
      <c r="T40" s="4734"/>
      <c r="U40" s="4734"/>
      <c r="V40" s="4734"/>
      <c r="W40" s="4734"/>
      <c r="X40" s="4734"/>
      <c r="Y40" s="4734"/>
      <c r="Z40" s="4734"/>
      <c r="AA40" s="4734"/>
      <c r="AB40" s="4734"/>
      <c r="AC40" s="4734"/>
      <c r="AD40" s="4734"/>
      <c r="AE40" s="4735"/>
    </row>
    <row r="41" spans="1:31" x14ac:dyDescent="0.25">
      <c r="R41" s="3012"/>
    </row>
    <row r="42" spans="1:31" ht="15" customHeight="1" x14ac:dyDescent="0.25">
      <c r="I42" s="3203"/>
    </row>
    <row r="43" spans="1:31" ht="13.5" customHeight="1" x14ac:dyDescent="0.25"/>
    <row r="59" spans="18:18" x14ac:dyDescent="0.25">
      <c r="R59" s="3204"/>
    </row>
  </sheetData>
  <mergeCells count="23">
    <mergeCell ref="D3:AE3"/>
    <mergeCell ref="D4:AE4"/>
    <mergeCell ref="E8:G8"/>
    <mergeCell ref="H8:J8"/>
    <mergeCell ref="K8:M8"/>
    <mergeCell ref="N8:P8"/>
    <mergeCell ref="Q8:S8"/>
    <mergeCell ref="T8:V8"/>
    <mergeCell ref="D38:AE38"/>
    <mergeCell ref="D39:AE39"/>
    <mergeCell ref="D40:AE40"/>
    <mergeCell ref="E24:M24"/>
    <mergeCell ref="N24:V24"/>
    <mergeCell ref="W24:AE24"/>
    <mergeCell ref="E25:G25"/>
    <mergeCell ref="H25:J25"/>
    <mergeCell ref="K25:M25"/>
    <mergeCell ref="N25:P25"/>
    <mergeCell ref="Q25:S25"/>
    <mergeCell ref="T25:V25"/>
    <mergeCell ref="W25:Y25"/>
    <mergeCell ref="Z25:AB25"/>
    <mergeCell ref="AC25:AE25"/>
  </mergeCells>
  <pageMargins left="0.74803149606299213" right="0.74803149606299213" top="0.98425196850393704" bottom="0.98425196850393704" header="0.51181102362204722" footer="0.51181102362204722"/>
  <pageSetup paperSize="9" scale="58" orientation="landscape" r:id="rId1"/>
  <headerFooter alignWithMargins="0">
    <oddHeader>&amp;C&amp;"-,Bold"DEVELOPMENT INDICATORS 2014</oddHeader>
    <oddFooter>&amp;LDepartment of Planning, Monitoring and Evaluation (DPME). &amp;CPage &amp;P of &amp;N&amp;R&amp;D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BG59"/>
  <sheetViews>
    <sheetView showGridLines="0" view="pageBreakPreview" topLeftCell="B1" zoomScale="90" zoomScaleNormal="100" zoomScaleSheetLayoutView="90" workbookViewId="0">
      <selection activeCell="AO20" sqref="AO20"/>
    </sheetView>
  </sheetViews>
  <sheetFormatPr defaultColWidth="9.08984375" defaultRowHeight="14" x14ac:dyDescent="0.3"/>
  <cols>
    <col min="1" max="1" width="3.6328125" style="2631" customWidth="1"/>
    <col min="2" max="2" width="14.453125" style="1868" customWidth="1"/>
    <col min="3" max="3" width="3.6328125" style="1868" customWidth="1"/>
    <col min="4" max="4" width="18.6328125" style="1912" customWidth="1"/>
    <col min="5" max="11" width="6.36328125" style="1912" customWidth="1"/>
    <col min="12" max="12" width="8.26953125" style="1912" customWidth="1"/>
    <col min="13" max="13" width="9.90625" style="1912" customWidth="1"/>
    <col min="14" max="14" width="8.6328125" style="1912" customWidth="1"/>
    <col min="15" max="15" width="9.54296875" style="1912" customWidth="1"/>
    <col min="16" max="16" width="9" style="1912" customWidth="1"/>
    <col min="17" max="17" width="11.54296875" style="1912" customWidth="1"/>
    <col min="18" max="18" width="4.36328125" style="1912" customWidth="1"/>
    <col min="19" max="29" width="6.36328125" style="1912" customWidth="1"/>
    <col min="30" max="30" width="5.6328125" style="1912" customWidth="1"/>
    <col min="31" max="33" width="6.36328125" style="1912" customWidth="1"/>
    <col min="34" max="34" width="5.6328125" style="1912" customWidth="1"/>
    <col min="35" max="38" width="9.08984375" style="1912"/>
    <col min="39" max="39" width="12.08984375" style="1912" customWidth="1"/>
    <col min="40" max="40" width="10.36328125" style="1912" customWidth="1"/>
    <col min="41" max="41" width="9.08984375" style="1912" customWidth="1"/>
    <col min="42" max="43" width="9.08984375" style="1912"/>
    <col min="44" max="44" width="8" style="1912" customWidth="1"/>
    <col min="45" max="263" width="9.08984375" style="1912"/>
    <col min="264" max="264" width="3.6328125" style="1912" customWidth="1"/>
    <col min="265" max="265" width="14.453125" style="1912" customWidth="1"/>
    <col min="266" max="266" width="3.6328125" style="1912" customWidth="1"/>
    <col min="267" max="267" width="18.6328125" style="1912" customWidth="1"/>
    <col min="268" max="290" width="6.36328125" style="1912" customWidth="1"/>
    <col min="291" max="519" width="9.08984375" style="1912"/>
    <col min="520" max="520" width="3.6328125" style="1912" customWidth="1"/>
    <col min="521" max="521" width="14.453125" style="1912" customWidth="1"/>
    <col min="522" max="522" width="3.6328125" style="1912" customWidth="1"/>
    <col min="523" max="523" width="18.6328125" style="1912" customWidth="1"/>
    <col min="524" max="546" width="6.36328125" style="1912" customWidth="1"/>
    <col min="547" max="775" width="9.08984375" style="1912"/>
    <col min="776" max="776" width="3.6328125" style="1912" customWidth="1"/>
    <col min="777" max="777" width="14.453125" style="1912" customWidth="1"/>
    <col min="778" max="778" width="3.6328125" style="1912" customWidth="1"/>
    <col min="779" max="779" width="18.6328125" style="1912" customWidth="1"/>
    <col min="780" max="802" width="6.36328125" style="1912" customWidth="1"/>
    <col min="803" max="1031" width="9.08984375" style="1912"/>
    <col min="1032" max="1032" width="3.6328125" style="1912" customWidth="1"/>
    <col min="1033" max="1033" width="14.453125" style="1912" customWidth="1"/>
    <col min="1034" max="1034" width="3.6328125" style="1912" customWidth="1"/>
    <col min="1035" max="1035" width="18.6328125" style="1912" customWidth="1"/>
    <col min="1036" max="1058" width="6.36328125" style="1912" customWidth="1"/>
    <col min="1059" max="1287" width="9.08984375" style="1912"/>
    <col min="1288" max="1288" width="3.6328125" style="1912" customWidth="1"/>
    <col min="1289" max="1289" width="14.453125" style="1912" customWidth="1"/>
    <col min="1290" max="1290" width="3.6328125" style="1912" customWidth="1"/>
    <col min="1291" max="1291" width="18.6328125" style="1912" customWidth="1"/>
    <col min="1292" max="1314" width="6.36328125" style="1912" customWidth="1"/>
    <col min="1315" max="1543" width="9.08984375" style="1912"/>
    <col min="1544" max="1544" width="3.6328125" style="1912" customWidth="1"/>
    <col min="1545" max="1545" width="14.453125" style="1912" customWidth="1"/>
    <col min="1546" max="1546" width="3.6328125" style="1912" customWidth="1"/>
    <col min="1547" max="1547" width="18.6328125" style="1912" customWidth="1"/>
    <col min="1548" max="1570" width="6.36328125" style="1912" customWidth="1"/>
    <col min="1571" max="1799" width="9.08984375" style="1912"/>
    <col min="1800" max="1800" width="3.6328125" style="1912" customWidth="1"/>
    <col min="1801" max="1801" width="14.453125" style="1912" customWidth="1"/>
    <col min="1802" max="1802" width="3.6328125" style="1912" customWidth="1"/>
    <col min="1803" max="1803" width="18.6328125" style="1912" customWidth="1"/>
    <col min="1804" max="1826" width="6.36328125" style="1912" customWidth="1"/>
    <col min="1827" max="2055" width="9.08984375" style="1912"/>
    <col min="2056" max="2056" width="3.6328125" style="1912" customWidth="1"/>
    <col min="2057" max="2057" width="14.453125" style="1912" customWidth="1"/>
    <col min="2058" max="2058" width="3.6328125" style="1912" customWidth="1"/>
    <col min="2059" max="2059" width="18.6328125" style="1912" customWidth="1"/>
    <col min="2060" max="2082" width="6.36328125" style="1912" customWidth="1"/>
    <col min="2083" max="2311" width="9.08984375" style="1912"/>
    <col min="2312" max="2312" width="3.6328125" style="1912" customWidth="1"/>
    <col min="2313" max="2313" width="14.453125" style="1912" customWidth="1"/>
    <col min="2314" max="2314" width="3.6328125" style="1912" customWidth="1"/>
    <col min="2315" max="2315" width="18.6328125" style="1912" customWidth="1"/>
    <col min="2316" max="2338" width="6.36328125" style="1912" customWidth="1"/>
    <col min="2339" max="2567" width="9.08984375" style="1912"/>
    <col min="2568" max="2568" width="3.6328125" style="1912" customWidth="1"/>
    <col min="2569" max="2569" width="14.453125" style="1912" customWidth="1"/>
    <col min="2570" max="2570" width="3.6328125" style="1912" customWidth="1"/>
    <col min="2571" max="2571" width="18.6328125" style="1912" customWidth="1"/>
    <col min="2572" max="2594" width="6.36328125" style="1912" customWidth="1"/>
    <col min="2595" max="2823" width="9.08984375" style="1912"/>
    <col min="2824" max="2824" width="3.6328125" style="1912" customWidth="1"/>
    <col min="2825" max="2825" width="14.453125" style="1912" customWidth="1"/>
    <col min="2826" max="2826" width="3.6328125" style="1912" customWidth="1"/>
    <col min="2827" max="2827" width="18.6328125" style="1912" customWidth="1"/>
    <col min="2828" max="2850" width="6.36328125" style="1912" customWidth="1"/>
    <col min="2851" max="3079" width="9.08984375" style="1912"/>
    <col min="3080" max="3080" width="3.6328125" style="1912" customWidth="1"/>
    <col min="3081" max="3081" width="14.453125" style="1912" customWidth="1"/>
    <col min="3082" max="3082" width="3.6328125" style="1912" customWidth="1"/>
    <col min="3083" max="3083" width="18.6328125" style="1912" customWidth="1"/>
    <col min="3084" max="3106" width="6.36328125" style="1912" customWidth="1"/>
    <col min="3107" max="3335" width="9.08984375" style="1912"/>
    <col min="3336" max="3336" width="3.6328125" style="1912" customWidth="1"/>
    <col min="3337" max="3337" width="14.453125" style="1912" customWidth="1"/>
    <col min="3338" max="3338" width="3.6328125" style="1912" customWidth="1"/>
    <col min="3339" max="3339" width="18.6328125" style="1912" customWidth="1"/>
    <col min="3340" max="3362" width="6.36328125" style="1912" customWidth="1"/>
    <col min="3363" max="3591" width="9.08984375" style="1912"/>
    <col min="3592" max="3592" width="3.6328125" style="1912" customWidth="1"/>
    <col min="3593" max="3593" width="14.453125" style="1912" customWidth="1"/>
    <col min="3594" max="3594" width="3.6328125" style="1912" customWidth="1"/>
    <col min="3595" max="3595" width="18.6328125" style="1912" customWidth="1"/>
    <col min="3596" max="3618" width="6.36328125" style="1912" customWidth="1"/>
    <col min="3619" max="3847" width="9.08984375" style="1912"/>
    <col min="3848" max="3848" width="3.6328125" style="1912" customWidth="1"/>
    <col min="3849" max="3849" width="14.453125" style="1912" customWidth="1"/>
    <col min="3850" max="3850" width="3.6328125" style="1912" customWidth="1"/>
    <col min="3851" max="3851" width="18.6328125" style="1912" customWidth="1"/>
    <col min="3852" max="3874" width="6.36328125" style="1912" customWidth="1"/>
    <col min="3875" max="4103" width="9.08984375" style="1912"/>
    <col min="4104" max="4104" width="3.6328125" style="1912" customWidth="1"/>
    <col min="4105" max="4105" width="14.453125" style="1912" customWidth="1"/>
    <col min="4106" max="4106" width="3.6328125" style="1912" customWidth="1"/>
    <col min="4107" max="4107" width="18.6328125" style="1912" customWidth="1"/>
    <col min="4108" max="4130" width="6.36328125" style="1912" customWidth="1"/>
    <col min="4131" max="4359" width="9.08984375" style="1912"/>
    <col min="4360" max="4360" width="3.6328125" style="1912" customWidth="1"/>
    <col min="4361" max="4361" width="14.453125" style="1912" customWidth="1"/>
    <col min="4362" max="4362" width="3.6328125" style="1912" customWidth="1"/>
    <col min="4363" max="4363" width="18.6328125" style="1912" customWidth="1"/>
    <col min="4364" max="4386" width="6.36328125" style="1912" customWidth="1"/>
    <col min="4387" max="4615" width="9.08984375" style="1912"/>
    <col min="4616" max="4616" width="3.6328125" style="1912" customWidth="1"/>
    <col min="4617" max="4617" width="14.453125" style="1912" customWidth="1"/>
    <col min="4618" max="4618" width="3.6328125" style="1912" customWidth="1"/>
    <col min="4619" max="4619" width="18.6328125" style="1912" customWidth="1"/>
    <col min="4620" max="4642" width="6.36328125" style="1912" customWidth="1"/>
    <col min="4643" max="4871" width="9.08984375" style="1912"/>
    <col min="4872" max="4872" width="3.6328125" style="1912" customWidth="1"/>
    <col min="4873" max="4873" width="14.453125" style="1912" customWidth="1"/>
    <col min="4874" max="4874" width="3.6328125" style="1912" customWidth="1"/>
    <col min="4875" max="4875" width="18.6328125" style="1912" customWidth="1"/>
    <col min="4876" max="4898" width="6.36328125" style="1912" customWidth="1"/>
    <col min="4899" max="5127" width="9.08984375" style="1912"/>
    <col min="5128" max="5128" width="3.6328125" style="1912" customWidth="1"/>
    <col min="5129" max="5129" width="14.453125" style="1912" customWidth="1"/>
    <col min="5130" max="5130" width="3.6328125" style="1912" customWidth="1"/>
    <col min="5131" max="5131" width="18.6328125" style="1912" customWidth="1"/>
    <col min="5132" max="5154" width="6.36328125" style="1912" customWidth="1"/>
    <col min="5155" max="5383" width="9.08984375" style="1912"/>
    <col min="5384" max="5384" width="3.6328125" style="1912" customWidth="1"/>
    <col min="5385" max="5385" width="14.453125" style="1912" customWidth="1"/>
    <col min="5386" max="5386" width="3.6328125" style="1912" customWidth="1"/>
    <col min="5387" max="5387" width="18.6328125" style="1912" customWidth="1"/>
    <col min="5388" max="5410" width="6.36328125" style="1912" customWidth="1"/>
    <col min="5411" max="5639" width="9.08984375" style="1912"/>
    <col min="5640" max="5640" width="3.6328125" style="1912" customWidth="1"/>
    <col min="5641" max="5641" width="14.453125" style="1912" customWidth="1"/>
    <col min="5642" max="5642" width="3.6328125" style="1912" customWidth="1"/>
    <col min="5643" max="5643" width="18.6328125" style="1912" customWidth="1"/>
    <col min="5644" max="5666" width="6.36328125" style="1912" customWidth="1"/>
    <col min="5667" max="5895" width="9.08984375" style="1912"/>
    <col min="5896" max="5896" width="3.6328125" style="1912" customWidth="1"/>
    <col min="5897" max="5897" width="14.453125" style="1912" customWidth="1"/>
    <col min="5898" max="5898" width="3.6328125" style="1912" customWidth="1"/>
    <col min="5899" max="5899" width="18.6328125" style="1912" customWidth="1"/>
    <col min="5900" max="5922" width="6.36328125" style="1912" customWidth="1"/>
    <col min="5923" max="6151" width="9.08984375" style="1912"/>
    <col min="6152" max="6152" width="3.6328125" style="1912" customWidth="1"/>
    <col min="6153" max="6153" width="14.453125" style="1912" customWidth="1"/>
    <col min="6154" max="6154" width="3.6328125" style="1912" customWidth="1"/>
    <col min="6155" max="6155" width="18.6328125" style="1912" customWidth="1"/>
    <col min="6156" max="6178" width="6.36328125" style="1912" customWidth="1"/>
    <col min="6179" max="6407" width="9.08984375" style="1912"/>
    <col min="6408" max="6408" width="3.6328125" style="1912" customWidth="1"/>
    <col min="6409" max="6409" width="14.453125" style="1912" customWidth="1"/>
    <col min="6410" max="6410" width="3.6328125" style="1912" customWidth="1"/>
    <col min="6411" max="6411" width="18.6328125" style="1912" customWidth="1"/>
    <col min="6412" max="6434" width="6.36328125" style="1912" customWidth="1"/>
    <col min="6435" max="6663" width="9.08984375" style="1912"/>
    <col min="6664" max="6664" width="3.6328125" style="1912" customWidth="1"/>
    <col min="6665" max="6665" width="14.453125" style="1912" customWidth="1"/>
    <col min="6666" max="6666" width="3.6328125" style="1912" customWidth="1"/>
    <col min="6667" max="6667" width="18.6328125" style="1912" customWidth="1"/>
    <col min="6668" max="6690" width="6.36328125" style="1912" customWidth="1"/>
    <col min="6691" max="6919" width="9.08984375" style="1912"/>
    <col min="6920" max="6920" width="3.6328125" style="1912" customWidth="1"/>
    <col min="6921" max="6921" width="14.453125" style="1912" customWidth="1"/>
    <col min="6922" max="6922" width="3.6328125" style="1912" customWidth="1"/>
    <col min="6923" max="6923" width="18.6328125" style="1912" customWidth="1"/>
    <col min="6924" max="6946" width="6.36328125" style="1912" customWidth="1"/>
    <col min="6947" max="7175" width="9.08984375" style="1912"/>
    <col min="7176" max="7176" width="3.6328125" style="1912" customWidth="1"/>
    <col min="7177" max="7177" width="14.453125" style="1912" customWidth="1"/>
    <col min="7178" max="7178" width="3.6328125" style="1912" customWidth="1"/>
    <col min="7179" max="7179" width="18.6328125" style="1912" customWidth="1"/>
    <col min="7180" max="7202" width="6.36328125" style="1912" customWidth="1"/>
    <col min="7203" max="7431" width="9.08984375" style="1912"/>
    <col min="7432" max="7432" width="3.6328125" style="1912" customWidth="1"/>
    <col min="7433" max="7433" width="14.453125" style="1912" customWidth="1"/>
    <col min="7434" max="7434" width="3.6328125" style="1912" customWidth="1"/>
    <col min="7435" max="7435" width="18.6328125" style="1912" customWidth="1"/>
    <col min="7436" max="7458" width="6.36328125" style="1912" customWidth="1"/>
    <col min="7459" max="7687" width="9.08984375" style="1912"/>
    <col min="7688" max="7688" width="3.6328125" style="1912" customWidth="1"/>
    <col min="7689" max="7689" width="14.453125" style="1912" customWidth="1"/>
    <col min="7690" max="7690" width="3.6328125" style="1912" customWidth="1"/>
    <col min="7691" max="7691" width="18.6328125" style="1912" customWidth="1"/>
    <col min="7692" max="7714" width="6.36328125" style="1912" customWidth="1"/>
    <col min="7715" max="7943" width="9.08984375" style="1912"/>
    <col min="7944" max="7944" width="3.6328125" style="1912" customWidth="1"/>
    <col min="7945" max="7945" width="14.453125" style="1912" customWidth="1"/>
    <col min="7946" max="7946" width="3.6328125" style="1912" customWidth="1"/>
    <col min="7947" max="7947" width="18.6328125" style="1912" customWidth="1"/>
    <col min="7948" max="7970" width="6.36328125" style="1912" customWidth="1"/>
    <col min="7971" max="8199" width="9.08984375" style="1912"/>
    <col min="8200" max="8200" width="3.6328125" style="1912" customWidth="1"/>
    <col min="8201" max="8201" width="14.453125" style="1912" customWidth="1"/>
    <col min="8202" max="8202" width="3.6328125" style="1912" customWidth="1"/>
    <col min="8203" max="8203" width="18.6328125" style="1912" customWidth="1"/>
    <col min="8204" max="8226" width="6.36328125" style="1912" customWidth="1"/>
    <col min="8227" max="8455" width="9.08984375" style="1912"/>
    <col min="8456" max="8456" width="3.6328125" style="1912" customWidth="1"/>
    <col min="8457" max="8457" width="14.453125" style="1912" customWidth="1"/>
    <col min="8458" max="8458" width="3.6328125" style="1912" customWidth="1"/>
    <col min="8459" max="8459" width="18.6328125" style="1912" customWidth="1"/>
    <col min="8460" max="8482" width="6.36328125" style="1912" customWidth="1"/>
    <col min="8483" max="8711" width="9.08984375" style="1912"/>
    <col min="8712" max="8712" width="3.6328125" style="1912" customWidth="1"/>
    <col min="8713" max="8713" width="14.453125" style="1912" customWidth="1"/>
    <col min="8714" max="8714" width="3.6328125" style="1912" customWidth="1"/>
    <col min="8715" max="8715" width="18.6328125" style="1912" customWidth="1"/>
    <col min="8716" max="8738" width="6.36328125" style="1912" customWidth="1"/>
    <col min="8739" max="8967" width="9.08984375" style="1912"/>
    <col min="8968" max="8968" width="3.6328125" style="1912" customWidth="1"/>
    <col min="8969" max="8969" width="14.453125" style="1912" customWidth="1"/>
    <col min="8970" max="8970" width="3.6328125" style="1912" customWidth="1"/>
    <col min="8971" max="8971" width="18.6328125" style="1912" customWidth="1"/>
    <col min="8972" max="8994" width="6.36328125" style="1912" customWidth="1"/>
    <col min="8995" max="9223" width="9.08984375" style="1912"/>
    <col min="9224" max="9224" width="3.6328125" style="1912" customWidth="1"/>
    <col min="9225" max="9225" width="14.453125" style="1912" customWidth="1"/>
    <col min="9226" max="9226" width="3.6328125" style="1912" customWidth="1"/>
    <col min="9227" max="9227" width="18.6328125" style="1912" customWidth="1"/>
    <col min="9228" max="9250" width="6.36328125" style="1912" customWidth="1"/>
    <col min="9251" max="9479" width="9.08984375" style="1912"/>
    <col min="9480" max="9480" width="3.6328125" style="1912" customWidth="1"/>
    <col min="9481" max="9481" width="14.453125" style="1912" customWidth="1"/>
    <col min="9482" max="9482" width="3.6328125" style="1912" customWidth="1"/>
    <col min="9483" max="9483" width="18.6328125" style="1912" customWidth="1"/>
    <col min="9484" max="9506" width="6.36328125" style="1912" customWidth="1"/>
    <col min="9507" max="9735" width="9.08984375" style="1912"/>
    <col min="9736" max="9736" width="3.6328125" style="1912" customWidth="1"/>
    <col min="9737" max="9737" width="14.453125" style="1912" customWidth="1"/>
    <col min="9738" max="9738" width="3.6328125" style="1912" customWidth="1"/>
    <col min="9739" max="9739" width="18.6328125" style="1912" customWidth="1"/>
    <col min="9740" max="9762" width="6.36328125" style="1912" customWidth="1"/>
    <col min="9763" max="9991" width="9.08984375" style="1912"/>
    <col min="9992" max="9992" width="3.6328125" style="1912" customWidth="1"/>
    <col min="9993" max="9993" width="14.453125" style="1912" customWidth="1"/>
    <col min="9994" max="9994" width="3.6328125" style="1912" customWidth="1"/>
    <col min="9995" max="9995" width="18.6328125" style="1912" customWidth="1"/>
    <col min="9996" max="10018" width="6.36328125" style="1912" customWidth="1"/>
    <col min="10019" max="10247" width="9.08984375" style="1912"/>
    <col min="10248" max="10248" width="3.6328125" style="1912" customWidth="1"/>
    <col min="10249" max="10249" width="14.453125" style="1912" customWidth="1"/>
    <col min="10250" max="10250" width="3.6328125" style="1912" customWidth="1"/>
    <col min="10251" max="10251" width="18.6328125" style="1912" customWidth="1"/>
    <col min="10252" max="10274" width="6.36328125" style="1912" customWidth="1"/>
    <col min="10275" max="10503" width="9.08984375" style="1912"/>
    <col min="10504" max="10504" width="3.6328125" style="1912" customWidth="1"/>
    <col min="10505" max="10505" width="14.453125" style="1912" customWidth="1"/>
    <col min="10506" max="10506" width="3.6328125" style="1912" customWidth="1"/>
    <col min="10507" max="10507" width="18.6328125" style="1912" customWidth="1"/>
    <col min="10508" max="10530" width="6.36328125" style="1912" customWidth="1"/>
    <col min="10531" max="10759" width="9.08984375" style="1912"/>
    <col min="10760" max="10760" width="3.6328125" style="1912" customWidth="1"/>
    <col min="10761" max="10761" width="14.453125" style="1912" customWidth="1"/>
    <col min="10762" max="10762" width="3.6328125" style="1912" customWidth="1"/>
    <col min="10763" max="10763" width="18.6328125" style="1912" customWidth="1"/>
    <col min="10764" max="10786" width="6.36328125" style="1912" customWidth="1"/>
    <col min="10787" max="11015" width="9.08984375" style="1912"/>
    <col min="11016" max="11016" width="3.6328125" style="1912" customWidth="1"/>
    <col min="11017" max="11017" width="14.453125" style="1912" customWidth="1"/>
    <col min="11018" max="11018" width="3.6328125" style="1912" customWidth="1"/>
    <col min="11019" max="11019" width="18.6328125" style="1912" customWidth="1"/>
    <col min="11020" max="11042" width="6.36328125" style="1912" customWidth="1"/>
    <col min="11043" max="11271" width="9.08984375" style="1912"/>
    <col min="11272" max="11272" width="3.6328125" style="1912" customWidth="1"/>
    <col min="11273" max="11273" width="14.453125" style="1912" customWidth="1"/>
    <col min="11274" max="11274" width="3.6328125" style="1912" customWidth="1"/>
    <col min="11275" max="11275" width="18.6328125" style="1912" customWidth="1"/>
    <col min="11276" max="11298" width="6.36328125" style="1912" customWidth="1"/>
    <col min="11299" max="11527" width="9.08984375" style="1912"/>
    <col min="11528" max="11528" width="3.6328125" style="1912" customWidth="1"/>
    <col min="11529" max="11529" width="14.453125" style="1912" customWidth="1"/>
    <col min="11530" max="11530" width="3.6328125" style="1912" customWidth="1"/>
    <col min="11531" max="11531" width="18.6328125" style="1912" customWidth="1"/>
    <col min="11532" max="11554" width="6.36328125" style="1912" customWidth="1"/>
    <col min="11555" max="11783" width="9.08984375" style="1912"/>
    <col min="11784" max="11784" width="3.6328125" style="1912" customWidth="1"/>
    <col min="11785" max="11785" width="14.453125" style="1912" customWidth="1"/>
    <col min="11786" max="11786" width="3.6328125" style="1912" customWidth="1"/>
    <col min="11787" max="11787" width="18.6328125" style="1912" customWidth="1"/>
    <col min="11788" max="11810" width="6.36328125" style="1912" customWidth="1"/>
    <col min="11811" max="12039" width="9.08984375" style="1912"/>
    <col min="12040" max="12040" width="3.6328125" style="1912" customWidth="1"/>
    <col min="12041" max="12041" width="14.453125" style="1912" customWidth="1"/>
    <col min="12042" max="12042" width="3.6328125" style="1912" customWidth="1"/>
    <col min="12043" max="12043" width="18.6328125" style="1912" customWidth="1"/>
    <col min="12044" max="12066" width="6.36328125" style="1912" customWidth="1"/>
    <col min="12067" max="12295" width="9.08984375" style="1912"/>
    <col min="12296" max="12296" width="3.6328125" style="1912" customWidth="1"/>
    <col min="12297" max="12297" width="14.453125" style="1912" customWidth="1"/>
    <col min="12298" max="12298" width="3.6328125" style="1912" customWidth="1"/>
    <col min="12299" max="12299" width="18.6328125" style="1912" customWidth="1"/>
    <col min="12300" max="12322" width="6.36328125" style="1912" customWidth="1"/>
    <col min="12323" max="12551" width="9.08984375" style="1912"/>
    <col min="12552" max="12552" width="3.6328125" style="1912" customWidth="1"/>
    <col min="12553" max="12553" width="14.453125" style="1912" customWidth="1"/>
    <col min="12554" max="12554" width="3.6328125" style="1912" customWidth="1"/>
    <col min="12555" max="12555" width="18.6328125" style="1912" customWidth="1"/>
    <col min="12556" max="12578" width="6.36328125" style="1912" customWidth="1"/>
    <col min="12579" max="12807" width="9.08984375" style="1912"/>
    <col min="12808" max="12808" width="3.6328125" style="1912" customWidth="1"/>
    <col min="12809" max="12809" width="14.453125" style="1912" customWidth="1"/>
    <col min="12810" max="12810" width="3.6328125" style="1912" customWidth="1"/>
    <col min="12811" max="12811" width="18.6328125" style="1912" customWidth="1"/>
    <col min="12812" max="12834" width="6.36328125" style="1912" customWidth="1"/>
    <col min="12835" max="13063" width="9.08984375" style="1912"/>
    <col min="13064" max="13064" width="3.6328125" style="1912" customWidth="1"/>
    <col min="13065" max="13065" width="14.453125" style="1912" customWidth="1"/>
    <col min="13066" max="13066" width="3.6328125" style="1912" customWidth="1"/>
    <col min="13067" max="13067" width="18.6328125" style="1912" customWidth="1"/>
    <col min="13068" max="13090" width="6.36328125" style="1912" customWidth="1"/>
    <col min="13091" max="13319" width="9.08984375" style="1912"/>
    <col min="13320" max="13320" width="3.6328125" style="1912" customWidth="1"/>
    <col min="13321" max="13321" width="14.453125" style="1912" customWidth="1"/>
    <col min="13322" max="13322" width="3.6328125" style="1912" customWidth="1"/>
    <col min="13323" max="13323" width="18.6328125" style="1912" customWidth="1"/>
    <col min="13324" max="13346" width="6.36328125" style="1912" customWidth="1"/>
    <col min="13347" max="13575" width="9.08984375" style="1912"/>
    <col min="13576" max="13576" width="3.6328125" style="1912" customWidth="1"/>
    <col min="13577" max="13577" width="14.453125" style="1912" customWidth="1"/>
    <col min="13578" max="13578" width="3.6328125" style="1912" customWidth="1"/>
    <col min="13579" max="13579" width="18.6328125" style="1912" customWidth="1"/>
    <col min="13580" max="13602" width="6.36328125" style="1912" customWidth="1"/>
    <col min="13603" max="13831" width="9.08984375" style="1912"/>
    <col min="13832" max="13832" width="3.6328125" style="1912" customWidth="1"/>
    <col min="13833" max="13833" width="14.453125" style="1912" customWidth="1"/>
    <col min="13834" max="13834" width="3.6328125" style="1912" customWidth="1"/>
    <col min="13835" max="13835" width="18.6328125" style="1912" customWidth="1"/>
    <col min="13836" max="13858" width="6.36328125" style="1912" customWidth="1"/>
    <col min="13859" max="14087" width="9.08984375" style="1912"/>
    <col min="14088" max="14088" width="3.6328125" style="1912" customWidth="1"/>
    <col min="14089" max="14089" width="14.453125" style="1912" customWidth="1"/>
    <col min="14090" max="14090" width="3.6328125" style="1912" customWidth="1"/>
    <col min="14091" max="14091" width="18.6328125" style="1912" customWidth="1"/>
    <col min="14092" max="14114" width="6.36328125" style="1912" customWidth="1"/>
    <col min="14115" max="14343" width="9.08984375" style="1912"/>
    <col min="14344" max="14344" width="3.6328125" style="1912" customWidth="1"/>
    <col min="14345" max="14345" width="14.453125" style="1912" customWidth="1"/>
    <col min="14346" max="14346" width="3.6328125" style="1912" customWidth="1"/>
    <col min="14347" max="14347" width="18.6328125" style="1912" customWidth="1"/>
    <col min="14348" max="14370" width="6.36328125" style="1912" customWidth="1"/>
    <col min="14371" max="14599" width="9.08984375" style="1912"/>
    <col min="14600" max="14600" width="3.6328125" style="1912" customWidth="1"/>
    <col min="14601" max="14601" width="14.453125" style="1912" customWidth="1"/>
    <col min="14602" max="14602" width="3.6328125" style="1912" customWidth="1"/>
    <col min="14603" max="14603" width="18.6328125" style="1912" customWidth="1"/>
    <col min="14604" max="14626" width="6.36328125" style="1912" customWidth="1"/>
    <col min="14627" max="14855" width="9.08984375" style="1912"/>
    <col min="14856" max="14856" width="3.6328125" style="1912" customWidth="1"/>
    <col min="14857" max="14857" width="14.453125" style="1912" customWidth="1"/>
    <col min="14858" max="14858" width="3.6328125" style="1912" customWidth="1"/>
    <col min="14859" max="14859" width="18.6328125" style="1912" customWidth="1"/>
    <col min="14860" max="14882" width="6.36328125" style="1912" customWidth="1"/>
    <col min="14883" max="15111" width="9.08984375" style="1912"/>
    <col min="15112" max="15112" width="3.6328125" style="1912" customWidth="1"/>
    <col min="15113" max="15113" width="14.453125" style="1912" customWidth="1"/>
    <col min="15114" max="15114" width="3.6328125" style="1912" customWidth="1"/>
    <col min="15115" max="15115" width="18.6328125" style="1912" customWidth="1"/>
    <col min="15116" max="15138" width="6.36328125" style="1912" customWidth="1"/>
    <col min="15139" max="15367" width="9.08984375" style="1912"/>
    <col min="15368" max="15368" width="3.6328125" style="1912" customWidth="1"/>
    <col min="15369" max="15369" width="14.453125" style="1912" customWidth="1"/>
    <col min="15370" max="15370" width="3.6328125" style="1912" customWidth="1"/>
    <col min="15371" max="15371" width="18.6328125" style="1912" customWidth="1"/>
    <col min="15372" max="15394" width="6.36328125" style="1912" customWidth="1"/>
    <col min="15395" max="15623" width="9.08984375" style="1912"/>
    <col min="15624" max="15624" width="3.6328125" style="1912" customWidth="1"/>
    <col min="15625" max="15625" width="14.453125" style="1912" customWidth="1"/>
    <col min="15626" max="15626" width="3.6328125" style="1912" customWidth="1"/>
    <col min="15627" max="15627" width="18.6328125" style="1912" customWidth="1"/>
    <col min="15628" max="15650" width="6.36328125" style="1912" customWidth="1"/>
    <col min="15651" max="15879" width="9.08984375" style="1912"/>
    <col min="15880" max="15880" width="3.6328125" style="1912" customWidth="1"/>
    <col min="15881" max="15881" width="14.453125" style="1912" customWidth="1"/>
    <col min="15882" max="15882" width="3.6328125" style="1912" customWidth="1"/>
    <col min="15883" max="15883" width="18.6328125" style="1912" customWidth="1"/>
    <col min="15884" max="15906" width="6.36328125" style="1912" customWidth="1"/>
    <col min="15907" max="16135" width="9.08984375" style="1912"/>
    <col min="16136" max="16136" width="3.6328125" style="1912" customWidth="1"/>
    <col min="16137" max="16137" width="14.453125" style="1912" customWidth="1"/>
    <col min="16138" max="16138" width="3.6328125" style="1912" customWidth="1"/>
    <col min="16139" max="16139" width="18.6328125" style="1912" customWidth="1"/>
    <col min="16140" max="16162" width="6.36328125" style="1912" customWidth="1"/>
    <col min="16163" max="16384" width="9.08984375" style="1912"/>
  </cols>
  <sheetData>
    <row r="1" spans="1:44" x14ac:dyDescent="0.3">
      <c r="D1" s="1869"/>
      <c r="E1" s="1869"/>
      <c r="F1" s="1869"/>
      <c r="G1" s="1869"/>
      <c r="H1" s="1869"/>
      <c r="I1" s="1869"/>
      <c r="J1" s="1869"/>
      <c r="K1" s="1869"/>
      <c r="L1" s="1869"/>
      <c r="M1" s="1869"/>
      <c r="N1" s="1869"/>
      <c r="O1" s="1869"/>
      <c r="P1" s="1869"/>
      <c r="Q1" s="1869"/>
    </row>
    <row r="2" spans="1:44" ht="14.25" customHeight="1" x14ac:dyDescent="0.3">
      <c r="A2" s="819">
        <v>1</v>
      </c>
      <c r="B2" s="819" t="s">
        <v>0</v>
      </c>
      <c r="C2" s="819">
        <v>56</v>
      </c>
      <c r="D2" s="4642" t="s">
        <v>1312</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3"/>
      <c r="AD2" s="4643"/>
      <c r="AE2" s="4643"/>
      <c r="AF2" s="4643"/>
      <c r="AG2" s="4643"/>
      <c r="AH2" s="4643"/>
      <c r="AI2" s="4643"/>
      <c r="AJ2" s="4643"/>
      <c r="AK2" s="4643"/>
      <c r="AL2" s="4643"/>
      <c r="AM2" s="4643"/>
      <c r="AN2" s="4643"/>
      <c r="AO2" s="4643"/>
      <c r="AP2" s="4644"/>
    </row>
    <row r="3" spans="1:44" ht="14.25" customHeight="1" x14ac:dyDescent="0.3">
      <c r="A3" s="819">
        <v>2</v>
      </c>
      <c r="B3" s="819" t="s">
        <v>2</v>
      </c>
      <c r="C3" s="819"/>
      <c r="D3" s="4642" t="s">
        <v>1313</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3"/>
      <c r="AD3" s="4643"/>
      <c r="AE3" s="4643"/>
      <c r="AF3" s="4643"/>
      <c r="AG3" s="4643"/>
      <c r="AH3" s="4643"/>
      <c r="AI3" s="4643"/>
      <c r="AJ3" s="4643"/>
      <c r="AK3" s="4643"/>
      <c r="AL3" s="4643"/>
      <c r="AM3" s="4643"/>
      <c r="AN3" s="4643"/>
      <c r="AO3" s="4643"/>
      <c r="AP3" s="4644"/>
    </row>
    <row r="4" spans="1:44" ht="15" customHeight="1" x14ac:dyDescent="0.3">
      <c r="A4" s="819">
        <v>3</v>
      </c>
      <c r="B4" s="819" t="s">
        <v>4</v>
      </c>
      <c r="C4" s="819"/>
      <c r="D4" s="4642" t="s">
        <v>1314</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3"/>
      <c r="AD4" s="4643"/>
      <c r="AE4" s="4643"/>
      <c r="AF4" s="4643"/>
      <c r="AG4" s="4643"/>
      <c r="AH4" s="4643"/>
      <c r="AI4" s="4643"/>
      <c r="AJ4" s="4643"/>
      <c r="AK4" s="4643"/>
      <c r="AL4" s="4643"/>
      <c r="AM4" s="4643"/>
      <c r="AN4" s="4643"/>
      <c r="AO4" s="4643"/>
      <c r="AP4" s="4644"/>
    </row>
    <row r="5" spans="1:44" x14ac:dyDescent="0.3">
      <c r="C5" s="1192"/>
      <c r="D5" s="1190"/>
      <c r="E5" s="1190"/>
      <c r="F5" s="1190"/>
      <c r="G5" s="1190"/>
      <c r="H5" s="1190"/>
      <c r="I5" s="1190"/>
      <c r="J5" s="1190"/>
      <c r="K5" s="1190"/>
      <c r="L5" s="1190"/>
      <c r="M5" s="1190"/>
      <c r="N5" s="1190"/>
      <c r="O5" s="1190"/>
      <c r="P5" s="1190"/>
      <c r="Q5" s="1869"/>
      <c r="V5" s="33"/>
      <c r="W5" s="33"/>
      <c r="X5" s="33"/>
    </row>
    <row r="6" spans="1:44" s="33" customFormat="1" ht="11.25" customHeight="1" x14ac:dyDescent="0.3">
      <c r="A6" s="819">
        <v>5</v>
      </c>
      <c r="B6" s="1192" t="s">
        <v>6</v>
      </c>
      <c r="C6" s="1224"/>
      <c r="D6" s="3205" t="s">
        <v>85</v>
      </c>
      <c r="E6" s="3205" t="s">
        <v>1312</v>
      </c>
      <c r="F6" s="3205"/>
      <c r="G6" s="89"/>
      <c r="H6" s="89"/>
      <c r="I6" s="89"/>
      <c r="J6" s="89"/>
      <c r="K6" s="89"/>
      <c r="L6" s="89"/>
      <c r="M6" s="108"/>
      <c r="N6" s="108"/>
      <c r="O6" s="108"/>
      <c r="P6" s="108"/>
      <c r="Q6" s="108"/>
      <c r="T6" s="11"/>
      <c r="U6" s="11"/>
      <c r="W6" s="3206"/>
      <c r="X6" s="3206"/>
      <c r="Y6" s="11"/>
      <c r="Z6" s="11"/>
      <c r="AA6" s="11"/>
      <c r="AB6" s="11"/>
      <c r="AC6" s="11"/>
      <c r="AE6" s="11"/>
      <c r="AF6" s="11"/>
      <c r="AG6" s="11"/>
    </row>
    <row r="7" spans="1:44" s="33" customFormat="1" ht="11.25" customHeight="1" x14ac:dyDescent="0.35">
      <c r="A7" s="2633"/>
      <c r="B7" s="1224"/>
      <c r="C7" s="1224"/>
      <c r="D7" s="3207"/>
      <c r="E7" s="4970">
        <v>2000</v>
      </c>
      <c r="F7" s="4967"/>
      <c r="G7" s="4955">
        <v>2001</v>
      </c>
      <c r="H7" s="4967"/>
      <c r="I7" s="4955">
        <v>2002</v>
      </c>
      <c r="J7" s="4967"/>
      <c r="K7" s="4955">
        <v>2003</v>
      </c>
      <c r="L7" s="4967"/>
      <c r="M7" s="4955">
        <v>2004</v>
      </c>
      <c r="N7" s="4967"/>
      <c r="O7" s="4955">
        <v>2005</v>
      </c>
      <c r="P7" s="4967"/>
      <c r="Q7" s="4955">
        <v>2006</v>
      </c>
      <c r="R7" s="4967"/>
      <c r="S7" s="4955">
        <v>2007</v>
      </c>
      <c r="T7" s="4967"/>
      <c r="U7" s="4955">
        <v>2008</v>
      </c>
      <c r="V7" s="4967"/>
      <c r="W7" s="4955" t="s">
        <v>23</v>
      </c>
      <c r="X7" s="4967"/>
      <c r="Y7" s="4955">
        <v>2010</v>
      </c>
      <c r="Z7" s="4967"/>
      <c r="AA7" s="4955">
        <v>2011</v>
      </c>
      <c r="AB7" s="4967"/>
      <c r="AC7" s="4955">
        <v>2012</v>
      </c>
      <c r="AD7" s="4967"/>
      <c r="AE7" s="4955">
        <v>2013</v>
      </c>
      <c r="AF7" s="4967"/>
      <c r="AG7" s="4955">
        <v>2014</v>
      </c>
      <c r="AH7" s="4967"/>
      <c r="AI7" s="4955">
        <v>2015</v>
      </c>
      <c r="AJ7" s="4967"/>
      <c r="AK7" s="4955">
        <v>2016</v>
      </c>
      <c r="AL7" s="4968"/>
      <c r="AM7" s="4955" t="s">
        <v>125</v>
      </c>
      <c r="AN7" s="4967"/>
      <c r="AO7" s="4955" t="s">
        <v>126</v>
      </c>
      <c r="AP7" s="4969"/>
      <c r="AQ7" s="4955" t="s">
        <v>302</v>
      </c>
      <c r="AR7" s="4956"/>
    </row>
    <row r="8" spans="1:44" s="33" customFormat="1" ht="15.75" customHeight="1" x14ac:dyDescent="0.25">
      <c r="A8" s="2633"/>
      <c r="B8" s="1224"/>
      <c r="C8" s="1224"/>
      <c r="D8" s="3208"/>
      <c r="E8" s="3209" t="s">
        <v>1315</v>
      </c>
      <c r="F8" s="3210" t="s">
        <v>939</v>
      </c>
      <c r="G8" s="3211" t="s">
        <v>1315</v>
      </c>
      <c r="H8" s="3210" t="s">
        <v>939</v>
      </c>
      <c r="I8" s="3211" t="s">
        <v>1315</v>
      </c>
      <c r="J8" s="3210" t="s">
        <v>939</v>
      </c>
      <c r="K8" s="3211" t="s">
        <v>1315</v>
      </c>
      <c r="L8" s="3210" t="s">
        <v>939</v>
      </c>
      <c r="M8" s="3211" t="s">
        <v>1315</v>
      </c>
      <c r="N8" s="3210" t="s">
        <v>939</v>
      </c>
      <c r="O8" s="3211" t="s">
        <v>1315</v>
      </c>
      <c r="P8" s="3210" t="s">
        <v>939</v>
      </c>
      <c r="Q8" s="3211" t="s">
        <v>1315</v>
      </c>
      <c r="R8" s="3210" t="s">
        <v>939</v>
      </c>
      <c r="S8" s="3211" t="s">
        <v>1315</v>
      </c>
      <c r="T8" s="3210" t="s">
        <v>939</v>
      </c>
      <c r="U8" s="3212" t="s">
        <v>934</v>
      </c>
      <c r="V8" s="3210" t="s">
        <v>939</v>
      </c>
      <c r="W8" s="3212" t="s">
        <v>934</v>
      </c>
      <c r="X8" s="3210" t="s">
        <v>939</v>
      </c>
      <c r="Y8" s="3212" t="s">
        <v>934</v>
      </c>
      <c r="Z8" s="3210" t="s">
        <v>939</v>
      </c>
      <c r="AA8" s="3212" t="s">
        <v>934</v>
      </c>
      <c r="AB8" s="3210" t="s">
        <v>939</v>
      </c>
      <c r="AC8" s="3212" t="s">
        <v>934</v>
      </c>
      <c r="AD8" s="3210" t="s">
        <v>939</v>
      </c>
      <c r="AE8" s="3212" t="s">
        <v>934</v>
      </c>
      <c r="AF8" s="3210" t="s">
        <v>939</v>
      </c>
      <c r="AG8" s="3212" t="s">
        <v>934</v>
      </c>
      <c r="AH8" s="3210" t="s">
        <v>939</v>
      </c>
      <c r="AI8" s="3212" t="s">
        <v>934</v>
      </c>
      <c r="AJ8" s="3210" t="s">
        <v>939</v>
      </c>
      <c r="AK8" s="3212" t="s">
        <v>934</v>
      </c>
      <c r="AL8" s="3213" t="s">
        <v>939</v>
      </c>
      <c r="AM8" s="3212" t="s">
        <v>1316</v>
      </c>
      <c r="AN8" s="3210" t="s">
        <v>1317</v>
      </c>
      <c r="AO8" s="3214" t="s">
        <v>1316</v>
      </c>
      <c r="AP8" s="3215" t="s">
        <v>1317</v>
      </c>
      <c r="AQ8" s="3212" t="s">
        <v>1316</v>
      </c>
      <c r="AR8" s="4529" t="s">
        <v>1317</v>
      </c>
    </row>
    <row r="9" spans="1:44" s="33" customFormat="1" ht="20" x14ac:dyDescent="0.2">
      <c r="A9" s="2633"/>
      <c r="B9" s="1224"/>
      <c r="C9" s="1224"/>
      <c r="D9" s="1617" t="s">
        <v>1312</v>
      </c>
      <c r="E9" s="3216">
        <v>74</v>
      </c>
      <c r="F9" s="3217">
        <v>69</v>
      </c>
      <c r="G9" s="2491">
        <v>69</v>
      </c>
      <c r="H9" s="2136">
        <v>71</v>
      </c>
      <c r="I9" s="2491">
        <v>70</v>
      </c>
      <c r="J9" s="2136">
        <v>72</v>
      </c>
      <c r="K9" s="2161">
        <v>75.099999999999994</v>
      </c>
      <c r="L9" s="3218">
        <v>77.5</v>
      </c>
      <c r="M9" s="2161">
        <v>85.6</v>
      </c>
      <c r="N9" s="3218">
        <v>85</v>
      </c>
      <c r="O9" s="3219">
        <v>85.7</v>
      </c>
      <c r="P9" s="3218">
        <v>84.2</v>
      </c>
      <c r="Q9" s="2161">
        <v>83.8</v>
      </c>
      <c r="R9" s="3218">
        <v>79.8</v>
      </c>
      <c r="S9" s="2161">
        <v>77.8</v>
      </c>
      <c r="T9" s="3218">
        <v>76.599999999999994</v>
      </c>
      <c r="U9" s="2161">
        <v>62</v>
      </c>
      <c r="V9" s="3218">
        <v>60.1</v>
      </c>
      <c r="W9" s="2161">
        <v>61.7</v>
      </c>
      <c r="X9" s="3218">
        <v>66</v>
      </c>
      <c r="Y9" s="2161">
        <v>67</v>
      </c>
      <c r="Z9" s="3218">
        <v>66</v>
      </c>
      <c r="AA9" s="2161">
        <v>65</v>
      </c>
      <c r="AB9" s="3218">
        <v>62</v>
      </c>
      <c r="AC9" s="2161">
        <v>63.1</v>
      </c>
      <c r="AD9" s="3218">
        <v>53.3</v>
      </c>
      <c r="AE9" s="2161">
        <v>57</v>
      </c>
      <c r="AF9" s="3218">
        <v>53</v>
      </c>
      <c r="AG9" s="2161">
        <v>66</v>
      </c>
      <c r="AH9" s="3218">
        <v>67</v>
      </c>
      <c r="AI9" s="2161">
        <v>66</v>
      </c>
      <c r="AJ9" s="3218">
        <v>68</v>
      </c>
      <c r="AK9" s="2161">
        <v>58</v>
      </c>
      <c r="AL9" s="3220">
        <v>57</v>
      </c>
      <c r="AM9" s="2161">
        <v>61</v>
      </c>
      <c r="AN9" s="3218">
        <v>68</v>
      </c>
      <c r="AO9" s="3221">
        <v>63</v>
      </c>
      <c r="AP9" s="3222">
        <v>55</v>
      </c>
      <c r="AQ9" s="2161">
        <v>67</v>
      </c>
      <c r="AR9" s="3293">
        <v>64</v>
      </c>
    </row>
    <row r="10" spans="1:44" x14ac:dyDescent="0.3">
      <c r="A10" s="819"/>
      <c r="B10" s="819"/>
      <c r="C10" s="819"/>
      <c r="D10" s="1869"/>
      <c r="E10" s="3223">
        <f>+AVERAGE(E9:F9)</f>
        <v>71.5</v>
      </c>
      <c r="F10" s="3223"/>
      <c r="G10" s="3223">
        <f>+AVERAGE(G9:H9)</f>
        <v>70</v>
      </c>
      <c r="H10" s="3223"/>
      <c r="I10" s="3223">
        <f>+AVERAGE(I9:J9)</f>
        <v>71</v>
      </c>
      <c r="J10" s="3223"/>
      <c r="K10" s="3223">
        <f>+AVERAGE(K9:L9)</f>
        <v>76.3</v>
      </c>
      <c r="L10" s="3223"/>
      <c r="M10" s="3223">
        <f>+AVERAGE(M9:N9)</f>
        <v>85.3</v>
      </c>
      <c r="N10" s="3223"/>
      <c r="O10" s="3223">
        <f>+AVERAGE(O9:P9)</f>
        <v>84.95</v>
      </c>
      <c r="P10" s="3223"/>
      <c r="Q10" s="3223">
        <f>+AVERAGE(Q9:R9)</f>
        <v>81.8</v>
      </c>
      <c r="R10" s="3224"/>
      <c r="S10" s="3223">
        <f>+AVERAGE(S9:T9)</f>
        <v>77.199999999999989</v>
      </c>
      <c r="T10" s="3224"/>
      <c r="U10" s="3223">
        <f>+AVERAGE(U9:V9)</f>
        <v>61.05</v>
      </c>
      <c r="V10" s="3224"/>
      <c r="W10" s="3223">
        <f>+AVERAGE(W9:X9)</f>
        <v>63.85</v>
      </c>
      <c r="X10" s="3224"/>
      <c r="Y10" s="3223">
        <f>+AVERAGE(Y9:Z9)</f>
        <v>66.5</v>
      </c>
      <c r="Z10" s="3224"/>
      <c r="AA10" s="3223">
        <f>+AVERAGE(AA9:AB9)</f>
        <v>63.5</v>
      </c>
      <c r="AB10" s="3224"/>
      <c r="AC10" s="3223">
        <f>+AVERAGE(AC9:AD9)</f>
        <v>58.2</v>
      </c>
      <c r="AD10" s="3224"/>
      <c r="AE10" s="3223">
        <f>+AVERAGE(AE9:AF9)</f>
        <v>55</v>
      </c>
      <c r="AF10" s="3224"/>
      <c r="AG10" s="3223">
        <f>+AVERAGE(AG9:AH9)</f>
        <v>66.5</v>
      </c>
      <c r="AH10" s="3223"/>
      <c r="AI10" s="3223">
        <f>+AVERAGE(AI9:AJ9)</f>
        <v>67</v>
      </c>
      <c r="AJ10" s="3223"/>
      <c r="AK10" s="3223">
        <f>+AVERAGE(AK9:AL9)</f>
        <v>57.5</v>
      </c>
      <c r="AL10" s="3223"/>
      <c r="AM10" s="3223">
        <v>65</v>
      </c>
      <c r="AN10" s="3223"/>
      <c r="AO10" s="3223">
        <v>59</v>
      </c>
      <c r="AP10" s="3223"/>
      <c r="AQ10" s="1912">
        <v>66</v>
      </c>
    </row>
    <row r="11" spans="1:44" x14ac:dyDescent="0.3">
      <c r="A11" s="819"/>
      <c r="B11" s="819"/>
      <c r="C11" s="819"/>
      <c r="D11" s="1869"/>
      <c r="E11" s="1869"/>
      <c r="F11" s="1869"/>
      <c r="G11" s="1869"/>
      <c r="H11" s="1869"/>
      <c r="I11" s="1869"/>
      <c r="J11" s="1869"/>
      <c r="K11" s="1869"/>
      <c r="L11" s="1869"/>
      <c r="M11" s="1869"/>
      <c r="N11" s="1869"/>
      <c r="O11" s="1869"/>
      <c r="P11" s="1869"/>
      <c r="Q11" s="1869"/>
    </row>
    <row r="12" spans="1:44" x14ac:dyDescent="0.3">
      <c r="A12" s="819"/>
      <c r="B12" s="819"/>
      <c r="C12" s="819"/>
      <c r="D12" s="1869"/>
      <c r="E12" s="1869"/>
      <c r="F12" s="1869"/>
      <c r="G12" s="1869"/>
      <c r="H12" s="1869"/>
      <c r="I12" s="1869"/>
      <c r="J12" s="1869"/>
      <c r="K12" s="1869"/>
      <c r="L12" s="1869"/>
      <c r="M12" s="1869"/>
      <c r="N12" s="1869"/>
      <c r="O12" s="1869"/>
      <c r="P12" s="1869"/>
      <c r="Q12" s="1869"/>
    </row>
    <row r="13" spans="1:44" x14ac:dyDescent="0.3">
      <c r="D13" s="1869"/>
      <c r="E13" s="1869"/>
      <c r="F13" s="1869"/>
      <c r="G13" s="1869"/>
      <c r="H13" s="1869"/>
      <c r="I13" s="1869"/>
      <c r="J13" s="1869"/>
      <c r="K13" s="1869"/>
      <c r="L13" s="1869"/>
      <c r="M13" s="1869"/>
      <c r="N13" s="1869"/>
      <c r="O13" s="1869"/>
      <c r="P13" s="1869"/>
      <c r="Q13" s="1869"/>
    </row>
    <row r="14" spans="1:44" x14ac:dyDescent="0.3">
      <c r="D14" s="1869"/>
      <c r="E14" s="1869"/>
      <c r="F14" s="1869"/>
      <c r="G14" s="1869"/>
      <c r="H14" s="1869"/>
      <c r="I14" s="1869"/>
      <c r="J14" s="1869"/>
      <c r="K14" s="1869"/>
      <c r="L14" s="1869"/>
      <c r="M14" s="1869"/>
      <c r="N14" s="1869"/>
      <c r="O14" s="1869"/>
      <c r="P14" s="1869"/>
      <c r="Q14" s="1869"/>
    </row>
    <row r="15" spans="1:44" x14ac:dyDescent="0.3">
      <c r="D15" s="1869"/>
      <c r="E15" s="1869"/>
      <c r="F15" s="1869"/>
      <c r="G15" s="1869"/>
      <c r="H15" s="1869"/>
      <c r="I15" s="1869"/>
      <c r="J15" s="1869"/>
      <c r="K15" s="1869"/>
      <c r="L15" s="1869"/>
      <c r="M15" s="1869"/>
      <c r="N15" s="1869"/>
      <c r="O15" s="1869"/>
      <c r="P15" s="1869"/>
      <c r="Q15" s="1869"/>
      <c r="AM15" s="1912" t="s">
        <v>294</v>
      </c>
    </row>
    <row r="16" spans="1:44" x14ac:dyDescent="0.3">
      <c r="D16" s="1869"/>
      <c r="E16" s="1869"/>
      <c r="F16" s="1869"/>
      <c r="G16" s="1869"/>
      <c r="H16" s="1869"/>
      <c r="I16" s="1869"/>
      <c r="J16" s="1869"/>
      <c r="K16" s="1869"/>
      <c r="L16" s="1869"/>
      <c r="M16" s="1869"/>
      <c r="N16" s="1869"/>
      <c r="O16" s="1869"/>
      <c r="P16" s="1869"/>
      <c r="Q16" s="1869"/>
    </row>
    <row r="17" spans="4:17" x14ac:dyDescent="0.3">
      <c r="D17" s="1869"/>
      <c r="E17" s="1869"/>
      <c r="F17" s="1869"/>
      <c r="G17" s="1869"/>
      <c r="H17" s="1869"/>
      <c r="I17" s="1869"/>
      <c r="J17" s="1869"/>
      <c r="K17" s="1869"/>
      <c r="L17" s="1869"/>
      <c r="M17" s="1869"/>
      <c r="N17" s="1869"/>
      <c r="O17" s="1869"/>
      <c r="P17" s="1869"/>
      <c r="Q17" s="1869"/>
    </row>
    <row r="18" spans="4:17" x14ac:dyDescent="0.3">
      <c r="D18" s="1869"/>
      <c r="E18" s="1869"/>
      <c r="F18" s="1869"/>
      <c r="G18" s="1869"/>
      <c r="H18" s="1869"/>
      <c r="I18" s="1869"/>
      <c r="J18" s="1869"/>
      <c r="K18" s="1869"/>
      <c r="L18" s="1869"/>
      <c r="M18" s="1869"/>
      <c r="N18" s="1869"/>
      <c r="O18" s="1869"/>
      <c r="P18" s="1869"/>
      <c r="Q18" s="1869"/>
    </row>
    <row r="19" spans="4:17" x14ac:dyDescent="0.3">
      <c r="D19" s="1869"/>
      <c r="E19" s="1869"/>
      <c r="F19" s="1869"/>
      <c r="G19" s="1869"/>
      <c r="H19" s="1869"/>
      <c r="I19" s="1869"/>
      <c r="J19" s="1869"/>
      <c r="K19" s="1869"/>
      <c r="L19" s="1869"/>
      <c r="M19" s="1869"/>
      <c r="N19" s="1869"/>
      <c r="O19" s="1869"/>
      <c r="P19" s="1869"/>
      <c r="Q19" s="1869"/>
    </row>
    <row r="20" spans="4:17" x14ac:dyDescent="0.3">
      <c r="D20" s="1869"/>
      <c r="E20" s="1869"/>
      <c r="F20" s="1869"/>
      <c r="G20" s="1869"/>
      <c r="H20" s="1869"/>
      <c r="I20" s="1869"/>
      <c r="J20" s="1869"/>
      <c r="K20" s="1869"/>
      <c r="L20" s="1869"/>
      <c r="M20" s="1869"/>
      <c r="N20" s="1869"/>
      <c r="O20" s="1869"/>
      <c r="P20" s="1869"/>
      <c r="Q20" s="1869"/>
    </row>
    <row r="21" spans="4:17" x14ac:dyDescent="0.3">
      <c r="D21" s="1869"/>
      <c r="E21" s="1869"/>
      <c r="F21" s="1869"/>
      <c r="G21" s="1869"/>
      <c r="H21" s="1869"/>
      <c r="I21" s="1869"/>
      <c r="J21" s="1869"/>
      <c r="K21" s="1869"/>
      <c r="L21" s="1869"/>
      <c r="M21" s="1869"/>
      <c r="N21" s="1869"/>
      <c r="O21" s="1869"/>
      <c r="P21" s="1869"/>
      <c r="Q21" s="1869"/>
    </row>
    <row r="22" spans="4:17" x14ac:dyDescent="0.3">
      <c r="D22" s="1869"/>
      <c r="E22" s="1869"/>
      <c r="F22" s="1869"/>
      <c r="G22" s="1869"/>
      <c r="H22" s="1869"/>
      <c r="I22" s="1869"/>
      <c r="J22" s="1869"/>
      <c r="K22" s="1869"/>
      <c r="L22" s="1869"/>
      <c r="M22" s="1869"/>
      <c r="N22" s="1869"/>
      <c r="O22" s="1869"/>
      <c r="P22" s="1869"/>
      <c r="Q22" s="1869"/>
    </row>
    <row r="23" spans="4:17" x14ac:dyDescent="0.3">
      <c r="D23" s="1869"/>
      <c r="E23" s="1869"/>
      <c r="F23" s="1869"/>
      <c r="G23" s="1869"/>
      <c r="H23" s="1869"/>
      <c r="I23" s="1869"/>
      <c r="J23" s="1869"/>
      <c r="K23" s="1869"/>
      <c r="L23" s="1869"/>
      <c r="M23" s="1869"/>
      <c r="N23" s="1869"/>
      <c r="O23" s="1869"/>
      <c r="P23" s="1869"/>
      <c r="Q23" s="1869"/>
    </row>
    <row r="24" spans="4:17" x14ac:dyDescent="0.3">
      <c r="D24" s="1869"/>
      <c r="E24" s="1869"/>
      <c r="F24" s="1869"/>
      <c r="G24" s="1869"/>
      <c r="H24" s="1869"/>
      <c r="I24" s="1869"/>
      <c r="J24" s="1869"/>
      <c r="K24" s="1869"/>
      <c r="L24" s="1869"/>
      <c r="M24" s="1869"/>
      <c r="N24" s="1869"/>
      <c r="O24" s="1869"/>
      <c r="P24" s="1869"/>
      <c r="Q24" s="1869"/>
    </row>
    <row r="25" spans="4:17" x14ac:dyDescent="0.3">
      <c r="D25" s="1869"/>
      <c r="E25" s="1869"/>
      <c r="F25" s="1869"/>
      <c r="G25" s="1869"/>
      <c r="H25" s="1869"/>
      <c r="I25" s="1869"/>
      <c r="J25" s="1869"/>
      <c r="K25" s="1869"/>
      <c r="L25" s="1869"/>
      <c r="M25" s="1869"/>
      <c r="N25" s="1869"/>
      <c r="O25" s="1869"/>
      <c r="P25" s="1869"/>
      <c r="Q25" s="1869"/>
    </row>
    <row r="26" spans="4:17" x14ac:dyDescent="0.3">
      <c r="D26" s="1869"/>
      <c r="E26" s="1869"/>
      <c r="F26" s="1869"/>
      <c r="G26" s="1869"/>
      <c r="H26" s="1869"/>
      <c r="I26" s="1869"/>
      <c r="J26" s="1869"/>
      <c r="K26" s="1869"/>
      <c r="L26" s="1869"/>
      <c r="M26" s="1869"/>
      <c r="N26" s="1869"/>
      <c r="O26" s="1869"/>
      <c r="P26" s="1869"/>
      <c r="Q26" s="1869"/>
    </row>
    <row r="27" spans="4:17" x14ac:dyDescent="0.3">
      <c r="D27" s="1869"/>
      <c r="E27" s="1869"/>
      <c r="F27" s="1869"/>
      <c r="G27" s="1869"/>
      <c r="H27" s="1869"/>
      <c r="I27" s="1869"/>
      <c r="J27" s="1869"/>
      <c r="K27" s="1869"/>
      <c r="L27" s="1869"/>
      <c r="M27" s="1869"/>
      <c r="N27" s="1869"/>
      <c r="O27" s="1869"/>
      <c r="P27" s="1869"/>
      <c r="Q27" s="1869"/>
    </row>
    <row r="28" spans="4:17" x14ac:dyDescent="0.3">
      <c r="D28" s="1869"/>
      <c r="E28" s="1869"/>
      <c r="F28" s="1869"/>
      <c r="G28" s="1869"/>
      <c r="H28" s="1869"/>
      <c r="I28" s="1869"/>
      <c r="J28" s="1869"/>
      <c r="K28" s="1869"/>
      <c r="L28" s="1869"/>
      <c r="M28" s="1869"/>
      <c r="N28" s="1869"/>
      <c r="O28" s="1869"/>
      <c r="P28" s="1869"/>
      <c r="Q28" s="1869"/>
    </row>
    <row r="29" spans="4:17" x14ac:dyDescent="0.3">
      <c r="D29" s="1869"/>
      <c r="E29" s="1869"/>
      <c r="F29" s="1869"/>
      <c r="G29" s="1869"/>
      <c r="H29" s="1869"/>
      <c r="I29" s="1869"/>
      <c r="J29" s="1869"/>
      <c r="K29" s="1869"/>
      <c r="L29" s="1869"/>
      <c r="M29" s="1869"/>
      <c r="N29" s="1869"/>
      <c r="O29" s="1869"/>
      <c r="P29" s="1869"/>
      <c r="Q29" s="1869"/>
    </row>
    <row r="30" spans="4:17" x14ac:dyDescent="0.3">
      <c r="D30" s="1869"/>
      <c r="E30" s="1869"/>
      <c r="F30" s="1869"/>
      <c r="G30" s="1869"/>
      <c r="H30" s="1869"/>
      <c r="I30" s="1869"/>
      <c r="J30" s="1869"/>
      <c r="K30" s="1869"/>
      <c r="L30" s="1869"/>
      <c r="M30" s="1869"/>
      <c r="N30" s="1869"/>
      <c r="O30" s="1869"/>
      <c r="P30" s="1869"/>
      <c r="Q30" s="1869"/>
    </row>
    <row r="31" spans="4:17" x14ac:dyDescent="0.3">
      <c r="D31" s="1869"/>
      <c r="E31" s="1869"/>
      <c r="F31" s="1869"/>
      <c r="G31" s="1869"/>
      <c r="H31" s="1869"/>
      <c r="I31" s="1869"/>
      <c r="J31" s="1869"/>
      <c r="K31" s="1869"/>
      <c r="L31" s="1869"/>
      <c r="M31" s="1869"/>
      <c r="N31" s="1869"/>
      <c r="O31" s="1869"/>
      <c r="P31" s="1869"/>
      <c r="Q31" s="1869"/>
    </row>
    <row r="32" spans="4:17" x14ac:dyDescent="0.3">
      <c r="D32" s="1869"/>
      <c r="E32" s="1869"/>
      <c r="F32" s="1869"/>
      <c r="G32" s="1869"/>
      <c r="H32" s="1869"/>
      <c r="I32" s="1869"/>
      <c r="J32" s="1869"/>
      <c r="K32" s="1869"/>
      <c r="L32" s="1869"/>
      <c r="M32" s="1869"/>
      <c r="N32" s="1869"/>
      <c r="O32" s="1869"/>
      <c r="P32" s="1869"/>
      <c r="Q32" s="1869"/>
    </row>
    <row r="33" spans="1:42" x14ac:dyDescent="0.3">
      <c r="D33" s="1869"/>
      <c r="E33" s="1869"/>
      <c r="F33" s="1869"/>
      <c r="G33" s="1869"/>
      <c r="H33" s="1869"/>
      <c r="I33" s="1869"/>
      <c r="J33" s="1869"/>
      <c r="K33" s="1869"/>
      <c r="L33" s="1869"/>
      <c r="M33" s="1869"/>
      <c r="N33" s="1869"/>
      <c r="O33" s="1869"/>
      <c r="P33" s="1869"/>
      <c r="Q33" s="1869"/>
    </row>
    <row r="34" spans="1:42" x14ac:dyDescent="0.3">
      <c r="D34" s="4957" t="s">
        <v>942</v>
      </c>
      <c r="E34" s="4958"/>
      <c r="F34" s="4961">
        <v>2014</v>
      </c>
      <c r="G34" s="4962"/>
      <c r="H34" s="4963">
        <v>2015</v>
      </c>
      <c r="I34" s="4964"/>
      <c r="J34" s="4963">
        <v>2016</v>
      </c>
      <c r="K34" s="4964"/>
      <c r="L34" s="4963" t="s">
        <v>125</v>
      </c>
      <c r="M34" s="4964"/>
      <c r="N34" s="4963" t="s">
        <v>126</v>
      </c>
      <c r="O34" s="4964"/>
      <c r="P34" s="4965" t="s">
        <v>302</v>
      </c>
      <c r="Q34" s="4966"/>
      <c r="R34" s="3225"/>
    </row>
    <row r="35" spans="1:42" x14ac:dyDescent="0.3">
      <c r="D35" s="4959"/>
      <c r="E35" s="4960"/>
      <c r="F35" s="3226" t="s">
        <v>934</v>
      </c>
      <c r="G35" s="3226" t="s">
        <v>939</v>
      </c>
      <c r="H35" s="3227" t="s">
        <v>934</v>
      </c>
      <c r="I35" s="3226" t="s">
        <v>939</v>
      </c>
      <c r="J35" s="3227" t="s">
        <v>1315</v>
      </c>
      <c r="K35" s="3226" t="s">
        <v>939</v>
      </c>
      <c r="L35" s="3227" t="s">
        <v>1318</v>
      </c>
      <c r="M35" s="3227" t="s">
        <v>1319</v>
      </c>
      <c r="N35" s="3227" t="s">
        <v>1320</v>
      </c>
      <c r="O35" s="3227" t="s">
        <v>1321</v>
      </c>
      <c r="P35" s="3228" t="s">
        <v>1322</v>
      </c>
      <c r="Q35" s="3228" t="s">
        <v>1323</v>
      </c>
      <c r="R35" s="1914"/>
    </row>
    <row r="36" spans="1:42" x14ac:dyDescent="0.3">
      <c r="D36" s="4953" t="s">
        <v>402</v>
      </c>
      <c r="E36" s="4953"/>
      <c r="F36" s="3229">
        <v>67.300000000000011</v>
      </c>
      <c r="G36" s="3230">
        <f>(0.604)*100</f>
        <v>60.4</v>
      </c>
      <c r="H36" s="3231">
        <v>58.599999999999994</v>
      </c>
      <c r="I36" s="3232">
        <v>68.400000000000006</v>
      </c>
      <c r="J36" s="3233">
        <v>45.6</v>
      </c>
      <c r="K36" s="3234">
        <v>46.94</v>
      </c>
      <c r="L36" s="3235">
        <v>67</v>
      </c>
      <c r="M36" s="3236">
        <v>64</v>
      </c>
      <c r="N36" s="3235">
        <v>69</v>
      </c>
      <c r="O36" s="3236">
        <v>58</v>
      </c>
      <c r="P36" s="3237">
        <v>71</v>
      </c>
      <c r="Q36" s="3237">
        <v>68</v>
      </c>
    </row>
    <row r="37" spans="1:42" x14ac:dyDescent="0.3">
      <c r="D37" s="4952" t="s">
        <v>404</v>
      </c>
      <c r="E37" s="4952"/>
      <c r="F37" s="3238">
        <v>70.600000000000009</v>
      </c>
      <c r="G37" s="3239">
        <f>(0.784)*100</f>
        <v>78.400000000000006</v>
      </c>
      <c r="H37" s="3240">
        <v>73.7</v>
      </c>
      <c r="I37" s="3241">
        <v>76.3</v>
      </c>
      <c r="J37" s="3242">
        <v>65.900000000000006</v>
      </c>
      <c r="K37" s="3234">
        <v>47.43</v>
      </c>
      <c r="L37" s="3235">
        <v>61</v>
      </c>
      <c r="M37" s="3236">
        <v>52</v>
      </c>
      <c r="N37" s="3235">
        <v>68</v>
      </c>
      <c r="O37" s="3236">
        <v>62</v>
      </c>
      <c r="P37" s="3237">
        <v>67</v>
      </c>
      <c r="Q37" s="3237">
        <v>56</v>
      </c>
    </row>
    <row r="38" spans="1:42" x14ac:dyDescent="0.3">
      <c r="D38" s="4952" t="s">
        <v>407</v>
      </c>
      <c r="E38" s="4952"/>
      <c r="F38" s="3238">
        <v>62.8</v>
      </c>
      <c r="G38" s="3239">
        <f>(0.675*100)</f>
        <v>67.5</v>
      </c>
      <c r="H38" s="3240">
        <v>70.199999999999989</v>
      </c>
      <c r="I38" s="3241">
        <v>63.8</v>
      </c>
      <c r="J38" s="3242">
        <v>62</v>
      </c>
      <c r="K38" s="3243">
        <v>60.370000000000005</v>
      </c>
      <c r="L38" s="3235">
        <v>62</v>
      </c>
      <c r="M38" s="3236">
        <v>69</v>
      </c>
      <c r="N38" s="3235">
        <v>66</v>
      </c>
      <c r="O38" s="3236">
        <v>65</v>
      </c>
      <c r="P38" s="3237">
        <v>62</v>
      </c>
      <c r="Q38" s="3237">
        <v>65</v>
      </c>
    </row>
    <row r="39" spans="1:42" x14ac:dyDescent="0.3">
      <c r="D39" s="4952" t="s">
        <v>1324</v>
      </c>
      <c r="E39" s="4952"/>
      <c r="F39" s="3238">
        <v>76.400000000000006</v>
      </c>
      <c r="G39" s="3239">
        <f>(0.771)*100</f>
        <v>77.100000000000009</v>
      </c>
      <c r="H39" s="3240">
        <v>78</v>
      </c>
      <c r="I39" s="3241">
        <v>69.7</v>
      </c>
      <c r="J39" s="3242">
        <v>59</v>
      </c>
      <c r="K39" s="3234">
        <v>61.06</v>
      </c>
      <c r="L39" s="3235">
        <v>51</v>
      </c>
      <c r="M39" s="3236">
        <v>75</v>
      </c>
      <c r="N39" s="3235">
        <v>71</v>
      </c>
      <c r="O39" s="3236">
        <v>75</v>
      </c>
      <c r="P39" s="3237">
        <v>69</v>
      </c>
      <c r="Q39" s="3237">
        <v>61</v>
      </c>
    </row>
    <row r="40" spans="1:42" x14ac:dyDescent="0.3">
      <c r="D40" s="4954" t="s">
        <v>409</v>
      </c>
      <c r="E40" s="4954"/>
      <c r="F40" s="3238">
        <v>75.7</v>
      </c>
      <c r="G40" s="3239">
        <f>(0.626)*100</f>
        <v>62.6</v>
      </c>
      <c r="H40" s="3240">
        <v>66.8</v>
      </c>
      <c r="I40" s="3241">
        <v>77.7</v>
      </c>
      <c r="J40" s="3242">
        <v>63.7</v>
      </c>
      <c r="K40" s="3234">
        <v>82.49</v>
      </c>
      <c r="L40" s="3235">
        <v>75</v>
      </c>
      <c r="M40" s="3236">
        <v>79</v>
      </c>
      <c r="N40" s="3235">
        <v>77</v>
      </c>
      <c r="O40" s="3236">
        <v>70</v>
      </c>
      <c r="P40" s="3237">
        <v>68</v>
      </c>
      <c r="Q40" s="3237">
        <v>68</v>
      </c>
    </row>
    <row r="41" spans="1:42" x14ac:dyDescent="0.3">
      <c r="D41" s="4952" t="s">
        <v>408</v>
      </c>
      <c r="E41" s="4952"/>
      <c r="F41" s="3238">
        <v>59.099999999999994</v>
      </c>
      <c r="G41" s="3239">
        <f>(0.667)*100</f>
        <v>66.7</v>
      </c>
      <c r="H41" s="3240">
        <v>71.7</v>
      </c>
      <c r="I41" s="3241">
        <v>82.6</v>
      </c>
      <c r="J41" s="3242">
        <v>58.7</v>
      </c>
      <c r="K41" s="3243">
        <v>55.11</v>
      </c>
      <c r="L41" s="3235">
        <v>72</v>
      </c>
      <c r="M41" s="3236">
        <v>65</v>
      </c>
      <c r="N41" s="3235">
        <v>73</v>
      </c>
      <c r="O41" s="3236">
        <v>75</v>
      </c>
      <c r="P41" s="3237">
        <v>71</v>
      </c>
      <c r="Q41" s="3237">
        <v>72</v>
      </c>
    </row>
    <row r="42" spans="1:42" x14ac:dyDescent="0.3">
      <c r="D42" s="4952" t="s">
        <v>406</v>
      </c>
      <c r="E42" s="4952"/>
      <c r="F42" s="3238">
        <v>73.900000000000006</v>
      </c>
      <c r="G42" s="3239">
        <f>(0.746)*100</f>
        <v>74.599999999999994</v>
      </c>
      <c r="H42" s="3240">
        <v>52.1</v>
      </c>
      <c r="I42" s="3241">
        <v>78.2</v>
      </c>
      <c r="J42" s="3242">
        <v>69</v>
      </c>
      <c r="K42" s="3234">
        <v>72.87</v>
      </c>
      <c r="L42" s="3235">
        <v>62</v>
      </c>
      <c r="M42" s="3236">
        <v>68</v>
      </c>
      <c r="N42" s="3235">
        <v>72</v>
      </c>
      <c r="O42" s="3236">
        <v>65</v>
      </c>
      <c r="P42" s="3237">
        <v>63</v>
      </c>
      <c r="Q42" s="3237">
        <v>64</v>
      </c>
    </row>
    <row r="43" spans="1:42" x14ac:dyDescent="0.3">
      <c r="D43" s="4952" t="s">
        <v>403</v>
      </c>
      <c r="E43" s="4952"/>
      <c r="F43" s="3238">
        <v>71.000000000000014</v>
      </c>
      <c r="G43" s="3239">
        <f>(0.678)*100</f>
        <v>67.800000000000011</v>
      </c>
      <c r="H43" s="3240">
        <v>64.400000000000006</v>
      </c>
      <c r="I43" s="3241">
        <v>77</v>
      </c>
      <c r="J43" s="3242">
        <v>46.3</v>
      </c>
      <c r="K43" s="3234">
        <v>48.45</v>
      </c>
      <c r="L43" s="3235">
        <v>61</v>
      </c>
      <c r="M43" s="3236">
        <v>63</v>
      </c>
      <c r="N43" s="3235">
        <v>58</v>
      </c>
      <c r="O43" s="3236">
        <v>65</v>
      </c>
      <c r="P43" s="3237">
        <v>70</v>
      </c>
      <c r="Q43" s="3237">
        <v>70</v>
      </c>
    </row>
    <row r="44" spans="1:42" x14ac:dyDescent="0.3">
      <c r="D44" s="4952" t="s">
        <v>401</v>
      </c>
      <c r="E44" s="4952"/>
      <c r="F44" s="3244">
        <v>46.900000000000006</v>
      </c>
      <c r="G44" s="3245">
        <f>(0.554)*100</f>
        <v>55.400000000000006</v>
      </c>
      <c r="H44" s="3246">
        <v>48.199999999999996</v>
      </c>
      <c r="I44" s="3247">
        <v>49.699999999999996</v>
      </c>
      <c r="J44" s="3246">
        <v>49.1</v>
      </c>
      <c r="K44" s="3248">
        <v>33.599999999999994</v>
      </c>
      <c r="L44" s="3249">
        <v>52</v>
      </c>
      <c r="M44" s="3250">
        <v>63</v>
      </c>
      <c r="N44" s="3249">
        <v>71</v>
      </c>
      <c r="O44" s="3250">
        <v>55</v>
      </c>
      <c r="P44" s="3237">
        <v>67</v>
      </c>
      <c r="Q44" s="3237">
        <v>58</v>
      </c>
    </row>
    <row r="45" spans="1:42" x14ac:dyDescent="0.3">
      <c r="D45" s="1869"/>
      <c r="E45" s="1869"/>
      <c r="F45" s="1869"/>
      <c r="G45" s="1869"/>
      <c r="H45" s="1869"/>
      <c r="I45" s="1869"/>
      <c r="J45" s="1869"/>
      <c r="K45" s="1869"/>
      <c r="L45" s="1869"/>
      <c r="M45" s="1869"/>
      <c r="N45" s="1869"/>
      <c r="O45" s="1869"/>
      <c r="P45" s="1869"/>
      <c r="Q45" s="1869"/>
    </row>
    <row r="46" spans="1:42" x14ac:dyDescent="0.3">
      <c r="D46" s="1869"/>
      <c r="E46" s="1869"/>
      <c r="F46" s="1869"/>
      <c r="G46" s="1869"/>
      <c r="H46" s="1869"/>
      <c r="I46" s="1869"/>
      <c r="J46" s="1869"/>
      <c r="K46" s="1869"/>
      <c r="L46" s="1869"/>
      <c r="M46" s="1869"/>
      <c r="N46" s="1869"/>
      <c r="O46" s="1869"/>
      <c r="P46" s="1869"/>
      <c r="Q46" s="1869"/>
    </row>
    <row r="47" spans="1:42" x14ac:dyDescent="0.3">
      <c r="D47" s="1869"/>
      <c r="E47" s="1869"/>
      <c r="F47" s="1869"/>
      <c r="G47" s="1869"/>
      <c r="H47" s="1869"/>
      <c r="I47" s="1869"/>
      <c r="J47" s="1869"/>
      <c r="K47" s="1869"/>
      <c r="L47" s="1869"/>
      <c r="M47" s="1869"/>
      <c r="N47" s="1869"/>
      <c r="O47" s="1869"/>
      <c r="P47" s="1869"/>
      <c r="Q47" s="1869"/>
    </row>
    <row r="48" spans="1:42" ht="15" customHeight="1" x14ac:dyDescent="0.3">
      <c r="A48" s="819">
        <v>6</v>
      </c>
      <c r="B48" s="819" t="s">
        <v>58</v>
      </c>
      <c r="C48" s="819"/>
      <c r="D48" s="4642" t="s">
        <v>363</v>
      </c>
      <c r="E48" s="4643"/>
      <c r="F48" s="4643"/>
      <c r="G48" s="4643"/>
      <c r="H48" s="4643"/>
      <c r="I48" s="4643"/>
      <c r="J48" s="4643"/>
      <c r="K48" s="4643"/>
      <c r="L48" s="4643"/>
      <c r="M48" s="4643"/>
      <c r="N48" s="4643"/>
      <c r="O48" s="4643"/>
      <c r="P48" s="4643"/>
      <c r="Q48" s="4643"/>
      <c r="R48" s="4643"/>
      <c r="S48" s="4643"/>
      <c r="T48" s="4643"/>
      <c r="U48" s="4643"/>
      <c r="V48" s="4643"/>
      <c r="W48" s="4643"/>
      <c r="X48" s="4643"/>
      <c r="Y48" s="4643"/>
      <c r="Z48" s="4643"/>
      <c r="AA48" s="4643"/>
      <c r="AB48" s="4643"/>
      <c r="AC48" s="4643"/>
      <c r="AD48" s="4643"/>
      <c r="AE48" s="4643"/>
      <c r="AF48" s="4643"/>
      <c r="AG48" s="4643"/>
      <c r="AH48" s="4643"/>
      <c r="AI48" s="4643"/>
      <c r="AJ48" s="4643"/>
      <c r="AK48" s="4643"/>
      <c r="AL48" s="4643"/>
      <c r="AM48" s="4643"/>
      <c r="AN48" s="4643"/>
      <c r="AO48" s="4643"/>
      <c r="AP48" s="4644"/>
    </row>
    <row r="49" spans="1:59" ht="14.25" customHeight="1" x14ac:dyDescent="0.3">
      <c r="A49" s="870">
        <v>7</v>
      </c>
      <c r="B49" s="870" t="s">
        <v>60</v>
      </c>
      <c r="C49" s="870"/>
      <c r="D49" s="4642" t="s">
        <v>1325</v>
      </c>
      <c r="E49" s="4643"/>
      <c r="F49" s="4643"/>
      <c r="G49" s="4643"/>
      <c r="H49" s="4643"/>
      <c r="I49" s="4643"/>
      <c r="J49" s="4643"/>
      <c r="K49" s="4643"/>
      <c r="L49" s="4643"/>
      <c r="M49" s="4643"/>
      <c r="N49" s="4643"/>
      <c r="O49" s="4643"/>
      <c r="P49" s="4643"/>
      <c r="Q49" s="4643"/>
      <c r="R49" s="4643"/>
      <c r="S49" s="4643"/>
      <c r="T49" s="4643"/>
      <c r="U49" s="4643"/>
      <c r="V49" s="4643"/>
      <c r="W49" s="4643"/>
      <c r="X49" s="4643"/>
      <c r="Y49" s="4643"/>
      <c r="Z49" s="4643"/>
      <c r="AA49" s="4643"/>
      <c r="AB49" s="4643"/>
      <c r="AC49" s="4643"/>
      <c r="AD49" s="4643"/>
      <c r="AE49" s="4643"/>
      <c r="AF49" s="4643"/>
      <c r="AG49" s="4643"/>
      <c r="AH49" s="4643"/>
      <c r="AI49" s="4643"/>
      <c r="AJ49" s="4643"/>
      <c r="AK49" s="4643"/>
      <c r="AL49" s="4643"/>
      <c r="AM49" s="4643"/>
      <c r="AN49" s="4643"/>
      <c r="AO49" s="4643"/>
      <c r="AP49" s="4644"/>
    </row>
    <row r="50" spans="1:59" ht="21" customHeight="1" x14ac:dyDescent="0.3">
      <c r="A50" s="819">
        <v>8</v>
      </c>
      <c r="B50" s="819" t="s">
        <v>62</v>
      </c>
      <c r="C50" s="819"/>
      <c r="D50" s="4642" t="s">
        <v>1326</v>
      </c>
      <c r="E50" s="4643"/>
      <c r="F50" s="4643"/>
      <c r="G50" s="4643"/>
      <c r="H50" s="4643"/>
      <c r="I50" s="4643"/>
      <c r="J50" s="4643"/>
      <c r="K50" s="4643"/>
      <c r="L50" s="4643"/>
      <c r="M50" s="4643"/>
      <c r="N50" s="4643"/>
      <c r="O50" s="4643"/>
      <c r="P50" s="4643"/>
      <c r="Q50" s="4643"/>
      <c r="R50" s="4643"/>
      <c r="S50" s="4643"/>
      <c r="T50" s="4643"/>
      <c r="U50" s="4643"/>
      <c r="V50" s="4643"/>
      <c r="W50" s="4643"/>
      <c r="X50" s="4643"/>
      <c r="Y50" s="4643"/>
      <c r="Z50" s="4643"/>
      <c r="AA50" s="4643"/>
      <c r="AB50" s="4643"/>
      <c r="AC50" s="4643"/>
      <c r="AD50" s="4643"/>
      <c r="AE50" s="4643"/>
      <c r="AF50" s="4643"/>
      <c r="AG50" s="4643"/>
      <c r="AH50" s="4643"/>
      <c r="AI50" s="4643"/>
      <c r="AJ50" s="4643"/>
      <c r="AK50" s="4643"/>
      <c r="AL50" s="4643"/>
      <c r="AM50" s="4643"/>
      <c r="AN50" s="4643"/>
      <c r="AO50" s="4643"/>
      <c r="AP50" s="4644"/>
    </row>
    <row r="51" spans="1:59" ht="46.5" customHeight="1" x14ac:dyDescent="0.3">
      <c r="A51" s="819">
        <v>9</v>
      </c>
      <c r="B51" s="819" t="s">
        <v>278</v>
      </c>
      <c r="D51" s="4642" t="s">
        <v>1327</v>
      </c>
      <c r="E51" s="4643"/>
      <c r="F51" s="4643"/>
      <c r="G51" s="4643"/>
      <c r="H51" s="4643"/>
      <c r="I51" s="4643"/>
      <c r="J51" s="4643"/>
      <c r="K51" s="4643"/>
      <c r="L51" s="4643"/>
      <c r="M51" s="4643"/>
      <c r="N51" s="4643"/>
      <c r="O51" s="4643"/>
      <c r="P51" s="4643"/>
      <c r="Q51" s="4643"/>
      <c r="R51" s="4643"/>
      <c r="S51" s="4643"/>
      <c r="T51" s="4643"/>
      <c r="U51" s="4643"/>
      <c r="V51" s="4643"/>
      <c r="W51" s="4643"/>
      <c r="X51" s="4643"/>
      <c r="Y51" s="4643"/>
      <c r="Z51" s="4643"/>
      <c r="AA51" s="4643"/>
      <c r="AB51" s="4643"/>
      <c r="AC51" s="4643"/>
      <c r="AD51" s="4643"/>
      <c r="AE51" s="4643"/>
      <c r="AF51" s="4643"/>
      <c r="AG51" s="4643"/>
      <c r="AH51" s="4643"/>
      <c r="AI51" s="4643"/>
      <c r="AJ51" s="4643"/>
      <c r="AK51" s="4643"/>
      <c r="AL51" s="4643"/>
      <c r="AM51" s="4643"/>
      <c r="AN51" s="4643"/>
      <c r="AO51" s="4643"/>
      <c r="AP51" s="4644"/>
    </row>
    <row r="52" spans="1:59" ht="74" customHeight="1" x14ac:dyDescent="0.3"/>
    <row r="53" spans="1:59" hidden="1" x14ac:dyDescent="0.3">
      <c r="E53" s="1912">
        <v>2000</v>
      </c>
      <c r="F53" s="1912">
        <v>2001</v>
      </c>
      <c r="G53" s="1912">
        <v>2002</v>
      </c>
      <c r="H53" s="1912">
        <v>2003</v>
      </c>
      <c r="I53" s="1912">
        <v>2004</v>
      </c>
      <c r="J53" s="1912">
        <v>2005</v>
      </c>
      <c r="K53" s="1912">
        <v>2006</v>
      </c>
      <c r="L53" s="1912">
        <v>2007</v>
      </c>
      <c r="M53" s="1912">
        <v>2008</v>
      </c>
      <c r="N53" s="1912">
        <v>2009</v>
      </c>
      <c r="O53" s="1912">
        <v>2010</v>
      </c>
      <c r="P53" s="1912">
        <v>2011</v>
      </c>
      <c r="Q53" s="1912">
        <v>2012</v>
      </c>
    </row>
    <row r="54" spans="1:59" hidden="1" x14ac:dyDescent="0.3">
      <c r="E54" s="1912">
        <v>72</v>
      </c>
      <c r="F54" s="1912">
        <v>70</v>
      </c>
      <c r="G54" s="1912">
        <v>71</v>
      </c>
      <c r="H54" s="1912">
        <v>76</v>
      </c>
      <c r="I54" s="1912">
        <v>85</v>
      </c>
      <c r="J54" s="1912">
        <v>85</v>
      </c>
      <c r="K54" s="1912">
        <v>82</v>
      </c>
      <c r="L54" s="1912">
        <v>77</v>
      </c>
      <c r="M54" s="1912">
        <v>61</v>
      </c>
      <c r="N54" s="1912">
        <v>64</v>
      </c>
      <c r="O54" s="1912">
        <v>67</v>
      </c>
      <c r="P54" s="1912">
        <v>64</v>
      </c>
      <c r="Q54" s="1912">
        <v>58</v>
      </c>
    </row>
    <row r="56" spans="1:59" ht="14.5" thickBot="1" x14ac:dyDescent="0.35"/>
    <row r="57" spans="1:59" ht="14.5" thickBot="1" x14ac:dyDescent="0.35">
      <c r="D57" s="3251"/>
      <c r="E57" s="3252">
        <v>2003</v>
      </c>
      <c r="F57" s="3253">
        <v>2004</v>
      </c>
      <c r="G57" s="3253">
        <v>2005</v>
      </c>
      <c r="H57" s="3253">
        <v>2006</v>
      </c>
      <c r="I57" s="3253">
        <v>2007</v>
      </c>
      <c r="J57" s="3253">
        <v>2008</v>
      </c>
      <c r="K57" s="3253">
        <v>2009</v>
      </c>
      <c r="L57" s="3252">
        <v>2010</v>
      </c>
      <c r="M57" s="3253">
        <v>2011</v>
      </c>
      <c r="N57" s="3253">
        <v>2012</v>
      </c>
      <c r="O57" s="3253">
        <v>2013</v>
      </c>
      <c r="P57" s="3253">
        <v>2014</v>
      </c>
      <c r="Q57" s="3253">
        <v>2015</v>
      </c>
      <c r="R57" s="3254">
        <v>2016</v>
      </c>
      <c r="S57" s="3255">
        <v>2017</v>
      </c>
      <c r="T57" s="3256">
        <v>2018</v>
      </c>
      <c r="U57" s="3257">
        <v>2019</v>
      </c>
      <c r="AO57" s="3258"/>
      <c r="AP57" s="3258">
        <v>2000</v>
      </c>
      <c r="AQ57" s="3258">
        <v>2001</v>
      </c>
      <c r="AR57" s="3258">
        <v>2002</v>
      </c>
      <c r="AS57" s="3258">
        <v>2003</v>
      </c>
      <c r="AT57" s="3258">
        <v>2004</v>
      </c>
      <c r="AU57" s="3258">
        <v>2005</v>
      </c>
      <c r="AV57" s="3258">
        <v>2006</v>
      </c>
      <c r="AW57" s="3258">
        <v>2007</v>
      </c>
      <c r="AX57" s="3258">
        <v>2008</v>
      </c>
      <c r="AY57" s="3258">
        <v>2009</v>
      </c>
      <c r="AZ57" s="3258">
        <v>2010</v>
      </c>
      <c r="BA57" s="3258">
        <v>2011</v>
      </c>
      <c r="BB57" s="3258">
        <v>2012</v>
      </c>
      <c r="BC57" s="3258">
        <v>2013</v>
      </c>
      <c r="BD57" s="3258">
        <v>2014</v>
      </c>
      <c r="BE57" s="3258">
        <v>2015</v>
      </c>
      <c r="BF57" s="3258">
        <v>2016</v>
      </c>
      <c r="BG57" s="3258" t="s">
        <v>125</v>
      </c>
    </row>
    <row r="58" spans="1:59" ht="41.5" thickBot="1" x14ac:dyDescent="0.35">
      <c r="D58" s="3259" t="s">
        <v>1312</v>
      </c>
      <c r="E58" s="3260">
        <v>76</v>
      </c>
      <c r="F58" s="3261">
        <v>85</v>
      </c>
      <c r="G58" s="3261">
        <v>85</v>
      </c>
      <c r="H58" s="3261">
        <v>82</v>
      </c>
      <c r="I58" s="3260">
        <v>77</v>
      </c>
      <c r="J58" s="3260">
        <v>61</v>
      </c>
      <c r="K58" s="3260">
        <v>64</v>
      </c>
      <c r="L58" s="3260">
        <v>67</v>
      </c>
      <c r="M58" s="3261">
        <v>64</v>
      </c>
      <c r="N58" s="3261">
        <v>58</v>
      </c>
      <c r="O58" s="3261">
        <v>55</v>
      </c>
      <c r="P58" s="3261">
        <v>67</v>
      </c>
      <c r="Q58" s="3261">
        <v>67</v>
      </c>
      <c r="R58" s="3262">
        <v>58</v>
      </c>
      <c r="S58" s="3263">
        <v>65</v>
      </c>
      <c r="T58" s="3264">
        <v>59</v>
      </c>
      <c r="U58" s="3265">
        <v>66</v>
      </c>
      <c r="AO58" s="3266" t="s">
        <v>1312</v>
      </c>
      <c r="AP58" s="3258">
        <v>72</v>
      </c>
      <c r="AQ58" s="3258">
        <v>70</v>
      </c>
      <c r="AR58" s="3258">
        <v>71</v>
      </c>
      <c r="AS58" s="3258">
        <v>76</v>
      </c>
      <c r="AT58" s="3258">
        <v>85</v>
      </c>
      <c r="AU58" s="3258">
        <v>85</v>
      </c>
      <c r="AV58" s="3258">
        <v>82</v>
      </c>
      <c r="AW58" s="3258">
        <v>77</v>
      </c>
      <c r="AX58" s="3258">
        <v>61</v>
      </c>
      <c r="AY58" s="3258">
        <v>64</v>
      </c>
      <c r="AZ58" s="3258">
        <v>67</v>
      </c>
      <c r="BA58" s="3258">
        <v>64</v>
      </c>
      <c r="BB58" s="3258">
        <v>58</v>
      </c>
      <c r="BC58" s="3258">
        <v>55</v>
      </c>
      <c r="BD58" s="3258">
        <v>67</v>
      </c>
      <c r="BE58" s="3258">
        <v>67</v>
      </c>
      <c r="BF58" s="3258">
        <v>60</v>
      </c>
      <c r="BG58" s="3258">
        <v>65</v>
      </c>
    </row>
    <row r="59" spans="1:59" x14ac:dyDescent="0.3">
      <c r="W59" s="3267"/>
    </row>
  </sheetData>
  <mergeCells count="43">
    <mergeCell ref="D2:AP2"/>
    <mergeCell ref="D3:AP3"/>
    <mergeCell ref="D4:AP4"/>
    <mergeCell ref="E7:F7"/>
    <mergeCell ref="G7:H7"/>
    <mergeCell ref="I7:J7"/>
    <mergeCell ref="K7:L7"/>
    <mergeCell ref="M7:N7"/>
    <mergeCell ref="O7:P7"/>
    <mergeCell ref="Q7:R7"/>
    <mergeCell ref="U7:V7"/>
    <mergeCell ref="W7:X7"/>
    <mergeCell ref="Y7:Z7"/>
    <mergeCell ref="AA7:AB7"/>
    <mergeCell ref="AC7:AD7"/>
    <mergeCell ref="D41:E41"/>
    <mergeCell ref="AQ7:AR7"/>
    <mergeCell ref="D34:E35"/>
    <mergeCell ref="F34:G34"/>
    <mergeCell ref="H34:I34"/>
    <mergeCell ref="J34:K34"/>
    <mergeCell ref="L34:M34"/>
    <mergeCell ref="N34:O34"/>
    <mergeCell ref="P34:Q34"/>
    <mergeCell ref="AE7:AF7"/>
    <mergeCell ref="AG7:AH7"/>
    <mergeCell ref="AI7:AJ7"/>
    <mergeCell ref="AK7:AL7"/>
    <mergeCell ref="AM7:AN7"/>
    <mergeCell ref="AO7:AP7"/>
    <mergeCell ref="S7:T7"/>
    <mergeCell ref="D36:E36"/>
    <mergeCell ref="D37:E37"/>
    <mergeCell ref="D38:E38"/>
    <mergeCell ref="D39:E39"/>
    <mergeCell ref="D40:E40"/>
    <mergeCell ref="D51:AP51"/>
    <mergeCell ref="D42:E42"/>
    <mergeCell ref="D43:E43"/>
    <mergeCell ref="D44:E44"/>
    <mergeCell ref="D48:AP48"/>
    <mergeCell ref="D49:AP49"/>
    <mergeCell ref="D50:AP50"/>
  </mergeCells>
  <pageMargins left="0.74803149606299213" right="0.74803149606299213" top="0.98425196850393704" bottom="0.98425196850393704" header="0.51181102362204722" footer="0.51181102362204722"/>
  <pageSetup paperSize="9" scale="3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BD76"/>
  <sheetViews>
    <sheetView showGridLines="0" view="pageBreakPreview" topLeftCell="C1" zoomScaleNormal="100" zoomScaleSheetLayoutView="100" workbookViewId="0">
      <selection activeCell="T37" sqref="T37"/>
    </sheetView>
  </sheetViews>
  <sheetFormatPr defaultColWidth="9.08984375" defaultRowHeight="14.5" x14ac:dyDescent="0.35"/>
  <cols>
    <col min="1" max="1" width="3.6328125" style="2077" customWidth="1"/>
    <col min="2" max="2" width="14.453125" style="2077" customWidth="1"/>
    <col min="3" max="3" width="3.6328125" style="2077" customWidth="1"/>
    <col min="4" max="4" width="18.6328125" style="140" customWidth="1"/>
    <col min="5" max="11" width="6.6328125" style="140" customWidth="1"/>
    <col min="12" max="12" width="8.90625" style="140" customWidth="1"/>
    <col min="13" max="13" width="8.6328125" style="140" customWidth="1"/>
    <col min="14" max="14" width="10.36328125" style="140" customWidth="1"/>
    <col min="15" max="15" width="9.90625" style="140" customWidth="1"/>
    <col min="16" max="16" width="10.36328125" style="140" customWidth="1"/>
    <col min="17" max="17" width="9.6328125" style="140" customWidth="1"/>
    <col min="18" max="21" width="6.6328125" style="140" customWidth="1"/>
    <col min="22" max="22" width="7" style="140" customWidth="1"/>
    <col min="23" max="24" width="6.6328125" style="140" customWidth="1"/>
    <col min="25" max="29" width="6.36328125" style="140" customWidth="1"/>
    <col min="30" max="30" width="5.08984375" style="140" customWidth="1"/>
    <col min="31" max="33" width="6.36328125" style="140" customWidth="1"/>
    <col min="34" max="34" width="5.08984375" style="140" customWidth="1"/>
    <col min="35" max="35" width="6.36328125" style="140" customWidth="1"/>
    <col min="36" max="36" width="5.08984375" style="140" customWidth="1"/>
    <col min="37" max="37" width="15.90625" style="140" bestFit="1" customWidth="1"/>
    <col min="38" max="43" width="9.08984375" style="140"/>
    <col min="44" max="44" width="10" style="140" customWidth="1"/>
    <col min="45" max="262" width="9.08984375" style="140"/>
    <col min="263" max="263" width="3.6328125" style="140" customWidth="1"/>
    <col min="264" max="264" width="14.453125" style="140" customWidth="1"/>
    <col min="265" max="265" width="3.6328125" style="140" customWidth="1"/>
    <col min="266" max="266" width="18.6328125" style="140" customWidth="1"/>
    <col min="267" max="286" width="6.6328125" style="140" customWidth="1"/>
    <col min="287" max="289" width="6.36328125" style="140" customWidth="1"/>
    <col min="290" max="518" width="9.08984375" style="140"/>
    <col min="519" max="519" width="3.6328125" style="140" customWidth="1"/>
    <col min="520" max="520" width="14.453125" style="140" customWidth="1"/>
    <col min="521" max="521" width="3.6328125" style="140" customWidth="1"/>
    <col min="522" max="522" width="18.6328125" style="140" customWidth="1"/>
    <col min="523" max="542" width="6.6328125" style="140" customWidth="1"/>
    <col min="543" max="545" width="6.36328125" style="140" customWidth="1"/>
    <col min="546" max="774" width="9.08984375" style="140"/>
    <col min="775" max="775" width="3.6328125" style="140" customWidth="1"/>
    <col min="776" max="776" width="14.453125" style="140" customWidth="1"/>
    <col min="777" max="777" width="3.6328125" style="140" customWidth="1"/>
    <col min="778" max="778" width="18.6328125" style="140" customWidth="1"/>
    <col min="779" max="798" width="6.6328125" style="140" customWidth="1"/>
    <col min="799" max="801" width="6.36328125" style="140" customWidth="1"/>
    <col min="802" max="1030" width="9.08984375" style="140"/>
    <col min="1031" max="1031" width="3.6328125" style="140" customWidth="1"/>
    <col min="1032" max="1032" width="14.453125" style="140" customWidth="1"/>
    <col min="1033" max="1033" width="3.6328125" style="140" customWidth="1"/>
    <col min="1034" max="1034" width="18.6328125" style="140" customWidth="1"/>
    <col min="1035" max="1054" width="6.6328125" style="140" customWidth="1"/>
    <col min="1055" max="1057" width="6.36328125" style="140" customWidth="1"/>
    <col min="1058" max="1286" width="9.08984375" style="140"/>
    <col min="1287" max="1287" width="3.6328125" style="140" customWidth="1"/>
    <col min="1288" max="1288" width="14.453125" style="140" customWidth="1"/>
    <col min="1289" max="1289" width="3.6328125" style="140" customWidth="1"/>
    <col min="1290" max="1290" width="18.6328125" style="140" customWidth="1"/>
    <col min="1291" max="1310" width="6.6328125" style="140" customWidth="1"/>
    <col min="1311" max="1313" width="6.36328125" style="140" customWidth="1"/>
    <col min="1314" max="1542" width="9.08984375" style="140"/>
    <col min="1543" max="1543" width="3.6328125" style="140" customWidth="1"/>
    <col min="1544" max="1544" width="14.453125" style="140" customWidth="1"/>
    <col min="1545" max="1545" width="3.6328125" style="140" customWidth="1"/>
    <col min="1546" max="1546" width="18.6328125" style="140" customWidth="1"/>
    <col min="1547" max="1566" width="6.6328125" style="140" customWidth="1"/>
    <col min="1567" max="1569" width="6.36328125" style="140" customWidth="1"/>
    <col min="1570" max="1798" width="9.08984375" style="140"/>
    <col min="1799" max="1799" width="3.6328125" style="140" customWidth="1"/>
    <col min="1800" max="1800" width="14.453125" style="140" customWidth="1"/>
    <col min="1801" max="1801" width="3.6328125" style="140" customWidth="1"/>
    <col min="1802" max="1802" width="18.6328125" style="140" customWidth="1"/>
    <col min="1803" max="1822" width="6.6328125" style="140" customWidth="1"/>
    <col min="1823" max="1825" width="6.36328125" style="140" customWidth="1"/>
    <col min="1826" max="2054" width="9.08984375" style="140"/>
    <col min="2055" max="2055" width="3.6328125" style="140" customWidth="1"/>
    <col min="2056" max="2056" width="14.453125" style="140" customWidth="1"/>
    <col min="2057" max="2057" width="3.6328125" style="140" customWidth="1"/>
    <col min="2058" max="2058" width="18.6328125" style="140" customWidth="1"/>
    <col min="2059" max="2078" width="6.6328125" style="140" customWidth="1"/>
    <col min="2079" max="2081" width="6.36328125" style="140" customWidth="1"/>
    <col min="2082" max="2310" width="9.08984375" style="140"/>
    <col min="2311" max="2311" width="3.6328125" style="140" customWidth="1"/>
    <col min="2312" max="2312" width="14.453125" style="140" customWidth="1"/>
    <col min="2313" max="2313" width="3.6328125" style="140" customWidth="1"/>
    <col min="2314" max="2314" width="18.6328125" style="140" customWidth="1"/>
    <col min="2315" max="2334" width="6.6328125" style="140" customWidth="1"/>
    <col min="2335" max="2337" width="6.36328125" style="140" customWidth="1"/>
    <col min="2338" max="2566" width="9.08984375" style="140"/>
    <col min="2567" max="2567" width="3.6328125" style="140" customWidth="1"/>
    <col min="2568" max="2568" width="14.453125" style="140" customWidth="1"/>
    <col min="2569" max="2569" width="3.6328125" style="140" customWidth="1"/>
    <col min="2570" max="2570" width="18.6328125" style="140" customWidth="1"/>
    <col min="2571" max="2590" width="6.6328125" style="140" customWidth="1"/>
    <col min="2591" max="2593" width="6.36328125" style="140" customWidth="1"/>
    <col min="2594" max="2822" width="9.08984375" style="140"/>
    <col min="2823" max="2823" width="3.6328125" style="140" customWidth="1"/>
    <col min="2824" max="2824" width="14.453125" style="140" customWidth="1"/>
    <col min="2825" max="2825" width="3.6328125" style="140" customWidth="1"/>
    <col min="2826" max="2826" width="18.6328125" style="140" customWidth="1"/>
    <col min="2827" max="2846" width="6.6328125" style="140" customWidth="1"/>
    <col min="2847" max="2849" width="6.36328125" style="140" customWidth="1"/>
    <col min="2850" max="3078" width="9.08984375" style="140"/>
    <col min="3079" max="3079" width="3.6328125" style="140" customWidth="1"/>
    <col min="3080" max="3080" width="14.453125" style="140" customWidth="1"/>
    <col min="3081" max="3081" width="3.6328125" style="140" customWidth="1"/>
    <col min="3082" max="3082" width="18.6328125" style="140" customWidth="1"/>
    <col min="3083" max="3102" width="6.6328125" style="140" customWidth="1"/>
    <col min="3103" max="3105" width="6.36328125" style="140" customWidth="1"/>
    <col min="3106" max="3334" width="9.08984375" style="140"/>
    <col min="3335" max="3335" width="3.6328125" style="140" customWidth="1"/>
    <col min="3336" max="3336" width="14.453125" style="140" customWidth="1"/>
    <col min="3337" max="3337" width="3.6328125" style="140" customWidth="1"/>
    <col min="3338" max="3338" width="18.6328125" style="140" customWidth="1"/>
    <col min="3339" max="3358" width="6.6328125" style="140" customWidth="1"/>
    <col min="3359" max="3361" width="6.36328125" style="140" customWidth="1"/>
    <col min="3362" max="3590" width="9.08984375" style="140"/>
    <col min="3591" max="3591" width="3.6328125" style="140" customWidth="1"/>
    <col min="3592" max="3592" width="14.453125" style="140" customWidth="1"/>
    <col min="3593" max="3593" width="3.6328125" style="140" customWidth="1"/>
    <col min="3594" max="3594" width="18.6328125" style="140" customWidth="1"/>
    <col min="3595" max="3614" width="6.6328125" style="140" customWidth="1"/>
    <col min="3615" max="3617" width="6.36328125" style="140" customWidth="1"/>
    <col min="3618" max="3846" width="9.08984375" style="140"/>
    <col min="3847" max="3847" width="3.6328125" style="140" customWidth="1"/>
    <col min="3848" max="3848" width="14.453125" style="140" customWidth="1"/>
    <col min="3849" max="3849" width="3.6328125" style="140" customWidth="1"/>
    <col min="3850" max="3850" width="18.6328125" style="140" customWidth="1"/>
    <col min="3851" max="3870" width="6.6328125" style="140" customWidth="1"/>
    <col min="3871" max="3873" width="6.36328125" style="140" customWidth="1"/>
    <col min="3874" max="4102" width="9.08984375" style="140"/>
    <col min="4103" max="4103" width="3.6328125" style="140" customWidth="1"/>
    <col min="4104" max="4104" width="14.453125" style="140" customWidth="1"/>
    <col min="4105" max="4105" width="3.6328125" style="140" customWidth="1"/>
    <col min="4106" max="4106" width="18.6328125" style="140" customWidth="1"/>
    <col min="4107" max="4126" width="6.6328125" style="140" customWidth="1"/>
    <col min="4127" max="4129" width="6.36328125" style="140" customWidth="1"/>
    <col min="4130" max="4358" width="9.08984375" style="140"/>
    <col min="4359" max="4359" width="3.6328125" style="140" customWidth="1"/>
    <col min="4360" max="4360" width="14.453125" style="140" customWidth="1"/>
    <col min="4361" max="4361" width="3.6328125" style="140" customWidth="1"/>
    <col min="4362" max="4362" width="18.6328125" style="140" customWidth="1"/>
    <col min="4363" max="4382" width="6.6328125" style="140" customWidth="1"/>
    <col min="4383" max="4385" width="6.36328125" style="140" customWidth="1"/>
    <col min="4386" max="4614" width="9.08984375" style="140"/>
    <col min="4615" max="4615" width="3.6328125" style="140" customWidth="1"/>
    <col min="4616" max="4616" width="14.453125" style="140" customWidth="1"/>
    <col min="4617" max="4617" width="3.6328125" style="140" customWidth="1"/>
    <col min="4618" max="4618" width="18.6328125" style="140" customWidth="1"/>
    <col min="4619" max="4638" width="6.6328125" style="140" customWidth="1"/>
    <col min="4639" max="4641" width="6.36328125" style="140" customWidth="1"/>
    <col min="4642" max="4870" width="9.08984375" style="140"/>
    <col min="4871" max="4871" width="3.6328125" style="140" customWidth="1"/>
    <col min="4872" max="4872" width="14.453125" style="140" customWidth="1"/>
    <col min="4873" max="4873" width="3.6328125" style="140" customWidth="1"/>
    <col min="4874" max="4874" width="18.6328125" style="140" customWidth="1"/>
    <col min="4875" max="4894" width="6.6328125" style="140" customWidth="1"/>
    <col min="4895" max="4897" width="6.36328125" style="140" customWidth="1"/>
    <col min="4898" max="5126" width="9.08984375" style="140"/>
    <col min="5127" max="5127" width="3.6328125" style="140" customWidth="1"/>
    <col min="5128" max="5128" width="14.453125" style="140" customWidth="1"/>
    <col min="5129" max="5129" width="3.6328125" style="140" customWidth="1"/>
    <col min="5130" max="5130" width="18.6328125" style="140" customWidth="1"/>
    <col min="5131" max="5150" width="6.6328125" style="140" customWidth="1"/>
    <col min="5151" max="5153" width="6.36328125" style="140" customWidth="1"/>
    <col min="5154" max="5382" width="9.08984375" style="140"/>
    <col min="5383" max="5383" width="3.6328125" style="140" customWidth="1"/>
    <col min="5384" max="5384" width="14.453125" style="140" customWidth="1"/>
    <col min="5385" max="5385" width="3.6328125" style="140" customWidth="1"/>
    <col min="5386" max="5386" width="18.6328125" style="140" customWidth="1"/>
    <col min="5387" max="5406" width="6.6328125" style="140" customWidth="1"/>
    <col min="5407" max="5409" width="6.36328125" style="140" customWidth="1"/>
    <col min="5410" max="5638" width="9.08984375" style="140"/>
    <col min="5639" max="5639" width="3.6328125" style="140" customWidth="1"/>
    <col min="5640" max="5640" width="14.453125" style="140" customWidth="1"/>
    <col min="5641" max="5641" width="3.6328125" style="140" customWidth="1"/>
    <col min="5642" max="5642" width="18.6328125" style="140" customWidth="1"/>
    <col min="5643" max="5662" width="6.6328125" style="140" customWidth="1"/>
    <col min="5663" max="5665" width="6.36328125" style="140" customWidth="1"/>
    <col min="5666" max="5894" width="9.08984375" style="140"/>
    <col min="5895" max="5895" width="3.6328125" style="140" customWidth="1"/>
    <col min="5896" max="5896" width="14.453125" style="140" customWidth="1"/>
    <col min="5897" max="5897" width="3.6328125" style="140" customWidth="1"/>
    <col min="5898" max="5898" width="18.6328125" style="140" customWidth="1"/>
    <col min="5899" max="5918" width="6.6328125" style="140" customWidth="1"/>
    <col min="5919" max="5921" width="6.36328125" style="140" customWidth="1"/>
    <col min="5922" max="6150" width="9.08984375" style="140"/>
    <col min="6151" max="6151" width="3.6328125" style="140" customWidth="1"/>
    <col min="6152" max="6152" width="14.453125" style="140" customWidth="1"/>
    <col min="6153" max="6153" width="3.6328125" style="140" customWidth="1"/>
    <col min="6154" max="6154" width="18.6328125" style="140" customWidth="1"/>
    <col min="6155" max="6174" width="6.6328125" style="140" customWidth="1"/>
    <col min="6175" max="6177" width="6.36328125" style="140" customWidth="1"/>
    <col min="6178" max="6406" width="9.08984375" style="140"/>
    <col min="6407" max="6407" width="3.6328125" style="140" customWidth="1"/>
    <col min="6408" max="6408" width="14.453125" style="140" customWidth="1"/>
    <col min="6409" max="6409" width="3.6328125" style="140" customWidth="1"/>
    <col min="6410" max="6410" width="18.6328125" style="140" customWidth="1"/>
    <col min="6411" max="6430" width="6.6328125" style="140" customWidth="1"/>
    <col min="6431" max="6433" width="6.36328125" style="140" customWidth="1"/>
    <col min="6434" max="6662" width="9.08984375" style="140"/>
    <col min="6663" max="6663" width="3.6328125" style="140" customWidth="1"/>
    <col min="6664" max="6664" width="14.453125" style="140" customWidth="1"/>
    <col min="6665" max="6665" width="3.6328125" style="140" customWidth="1"/>
    <col min="6666" max="6666" width="18.6328125" style="140" customWidth="1"/>
    <col min="6667" max="6686" width="6.6328125" style="140" customWidth="1"/>
    <col min="6687" max="6689" width="6.36328125" style="140" customWidth="1"/>
    <col min="6690" max="6918" width="9.08984375" style="140"/>
    <col min="6919" max="6919" width="3.6328125" style="140" customWidth="1"/>
    <col min="6920" max="6920" width="14.453125" style="140" customWidth="1"/>
    <col min="6921" max="6921" width="3.6328125" style="140" customWidth="1"/>
    <col min="6922" max="6922" width="18.6328125" style="140" customWidth="1"/>
    <col min="6923" max="6942" width="6.6328125" style="140" customWidth="1"/>
    <col min="6943" max="6945" width="6.36328125" style="140" customWidth="1"/>
    <col min="6946" max="7174" width="9.08984375" style="140"/>
    <col min="7175" max="7175" width="3.6328125" style="140" customWidth="1"/>
    <col min="7176" max="7176" width="14.453125" style="140" customWidth="1"/>
    <col min="7177" max="7177" width="3.6328125" style="140" customWidth="1"/>
    <col min="7178" max="7178" width="18.6328125" style="140" customWidth="1"/>
    <col min="7179" max="7198" width="6.6328125" style="140" customWidth="1"/>
    <col min="7199" max="7201" width="6.36328125" style="140" customWidth="1"/>
    <col min="7202" max="7430" width="9.08984375" style="140"/>
    <col min="7431" max="7431" width="3.6328125" style="140" customWidth="1"/>
    <col min="7432" max="7432" width="14.453125" style="140" customWidth="1"/>
    <col min="7433" max="7433" width="3.6328125" style="140" customWidth="1"/>
    <col min="7434" max="7434" width="18.6328125" style="140" customWidth="1"/>
    <col min="7435" max="7454" width="6.6328125" style="140" customWidth="1"/>
    <col min="7455" max="7457" width="6.36328125" style="140" customWidth="1"/>
    <col min="7458" max="7686" width="9.08984375" style="140"/>
    <col min="7687" max="7687" width="3.6328125" style="140" customWidth="1"/>
    <col min="7688" max="7688" width="14.453125" style="140" customWidth="1"/>
    <col min="7689" max="7689" width="3.6328125" style="140" customWidth="1"/>
    <col min="7690" max="7690" width="18.6328125" style="140" customWidth="1"/>
    <col min="7691" max="7710" width="6.6328125" style="140" customWidth="1"/>
    <col min="7711" max="7713" width="6.36328125" style="140" customWidth="1"/>
    <col min="7714" max="7942" width="9.08984375" style="140"/>
    <col min="7943" max="7943" width="3.6328125" style="140" customWidth="1"/>
    <col min="7944" max="7944" width="14.453125" style="140" customWidth="1"/>
    <col min="7945" max="7945" width="3.6328125" style="140" customWidth="1"/>
    <col min="7946" max="7946" width="18.6328125" style="140" customWidth="1"/>
    <col min="7947" max="7966" width="6.6328125" style="140" customWidth="1"/>
    <col min="7967" max="7969" width="6.36328125" style="140" customWidth="1"/>
    <col min="7970" max="8198" width="9.08984375" style="140"/>
    <col min="8199" max="8199" width="3.6328125" style="140" customWidth="1"/>
    <col min="8200" max="8200" width="14.453125" style="140" customWidth="1"/>
    <col min="8201" max="8201" width="3.6328125" style="140" customWidth="1"/>
    <col min="8202" max="8202" width="18.6328125" style="140" customWidth="1"/>
    <col min="8203" max="8222" width="6.6328125" style="140" customWidth="1"/>
    <col min="8223" max="8225" width="6.36328125" style="140" customWidth="1"/>
    <col min="8226" max="8454" width="9.08984375" style="140"/>
    <col min="8455" max="8455" width="3.6328125" style="140" customWidth="1"/>
    <col min="8456" max="8456" width="14.453125" style="140" customWidth="1"/>
    <col min="8457" max="8457" width="3.6328125" style="140" customWidth="1"/>
    <col min="8458" max="8458" width="18.6328125" style="140" customWidth="1"/>
    <col min="8459" max="8478" width="6.6328125" style="140" customWidth="1"/>
    <col min="8479" max="8481" width="6.36328125" style="140" customWidth="1"/>
    <col min="8482" max="8710" width="9.08984375" style="140"/>
    <col min="8711" max="8711" width="3.6328125" style="140" customWidth="1"/>
    <col min="8712" max="8712" width="14.453125" style="140" customWidth="1"/>
    <col min="8713" max="8713" width="3.6328125" style="140" customWidth="1"/>
    <col min="8714" max="8714" width="18.6328125" style="140" customWidth="1"/>
    <col min="8715" max="8734" width="6.6328125" style="140" customWidth="1"/>
    <col min="8735" max="8737" width="6.36328125" style="140" customWidth="1"/>
    <col min="8738" max="8966" width="9.08984375" style="140"/>
    <col min="8967" max="8967" width="3.6328125" style="140" customWidth="1"/>
    <col min="8968" max="8968" width="14.453125" style="140" customWidth="1"/>
    <col min="8969" max="8969" width="3.6328125" style="140" customWidth="1"/>
    <col min="8970" max="8970" width="18.6328125" style="140" customWidth="1"/>
    <col min="8971" max="8990" width="6.6328125" style="140" customWidth="1"/>
    <col min="8991" max="8993" width="6.36328125" style="140" customWidth="1"/>
    <col min="8994" max="9222" width="9.08984375" style="140"/>
    <col min="9223" max="9223" width="3.6328125" style="140" customWidth="1"/>
    <col min="9224" max="9224" width="14.453125" style="140" customWidth="1"/>
    <col min="9225" max="9225" width="3.6328125" style="140" customWidth="1"/>
    <col min="9226" max="9226" width="18.6328125" style="140" customWidth="1"/>
    <col min="9227" max="9246" width="6.6328125" style="140" customWidth="1"/>
    <col min="9247" max="9249" width="6.36328125" style="140" customWidth="1"/>
    <col min="9250" max="9478" width="9.08984375" style="140"/>
    <col min="9479" max="9479" width="3.6328125" style="140" customWidth="1"/>
    <col min="9480" max="9480" width="14.453125" style="140" customWidth="1"/>
    <col min="9481" max="9481" width="3.6328125" style="140" customWidth="1"/>
    <col min="9482" max="9482" width="18.6328125" style="140" customWidth="1"/>
    <col min="9483" max="9502" width="6.6328125" style="140" customWidth="1"/>
    <col min="9503" max="9505" width="6.36328125" style="140" customWidth="1"/>
    <col min="9506" max="9734" width="9.08984375" style="140"/>
    <col min="9735" max="9735" width="3.6328125" style="140" customWidth="1"/>
    <col min="9736" max="9736" width="14.453125" style="140" customWidth="1"/>
    <col min="9737" max="9737" width="3.6328125" style="140" customWidth="1"/>
    <col min="9738" max="9738" width="18.6328125" style="140" customWidth="1"/>
    <col min="9739" max="9758" width="6.6328125" style="140" customWidth="1"/>
    <col min="9759" max="9761" width="6.36328125" style="140" customWidth="1"/>
    <col min="9762" max="9990" width="9.08984375" style="140"/>
    <col min="9991" max="9991" width="3.6328125" style="140" customWidth="1"/>
    <col min="9992" max="9992" width="14.453125" style="140" customWidth="1"/>
    <col min="9993" max="9993" width="3.6328125" style="140" customWidth="1"/>
    <col min="9994" max="9994" width="18.6328125" style="140" customWidth="1"/>
    <col min="9995" max="10014" width="6.6328125" style="140" customWidth="1"/>
    <col min="10015" max="10017" width="6.36328125" style="140" customWidth="1"/>
    <col min="10018" max="10246" width="9.08984375" style="140"/>
    <col min="10247" max="10247" width="3.6328125" style="140" customWidth="1"/>
    <col min="10248" max="10248" width="14.453125" style="140" customWidth="1"/>
    <col min="10249" max="10249" width="3.6328125" style="140" customWidth="1"/>
    <col min="10250" max="10250" width="18.6328125" style="140" customWidth="1"/>
    <col min="10251" max="10270" width="6.6328125" style="140" customWidth="1"/>
    <col min="10271" max="10273" width="6.36328125" style="140" customWidth="1"/>
    <col min="10274" max="10502" width="9.08984375" style="140"/>
    <col min="10503" max="10503" width="3.6328125" style="140" customWidth="1"/>
    <col min="10504" max="10504" width="14.453125" style="140" customWidth="1"/>
    <col min="10505" max="10505" width="3.6328125" style="140" customWidth="1"/>
    <col min="10506" max="10506" width="18.6328125" style="140" customWidth="1"/>
    <col min="10507" max="10526" width="6.6328125" style="140" customWidth="1"/>
    <col min="10527" max="10529" width="6.36328125" style="140" customWidth="1"/>
    <col min="10530" max="10758" width="9.08984375" style="140"/>
    <col min="10759" max="10759" width="3.6328125" style="140" customWidth="1"/>
    <col min="10760" max="10760" width="14.453125" style="140" customWidth="1"/>
    <col min="10761" max="10761" width="3.6328125" style="140" customWidth="1"/>
    <col min="10762" max="10762" width="18.6328125" style="140" customWidth="1"/>
    <col min="10763" max="10782" width="6.6328125" style="140" customWidth="1"/>
    <col min="10783" max="10785" width="6.36328125" style="140" customWidth="1"/>
    <col min="10786" max="11014" width="9.08984375" style="140"/>
    <col min="11015" max="11015" width="3.6328125" style="140" customWidth="1"/>
    <col min="11016" max="11016" width="14.453125" style="140" customWidth="1"/>
    <col min="11017" max="11017" width="3.6328125" style="140" customWidth="1"/>
    <col min="11018" max="11018" width="18.6328125" style="140" customWidth="1"/>
    <col min="11019" max="11038" width="6.6328125" style="140" customWidth="1"/>
    <col min="11039" max="11041" width="6.36328125" style="140" customWidth="1"/>
    <col min="11042" max="11270" width="9.08984375" style="140"/>
    <col min="11271" max="11271" width="3.6328125" style="140" customWidth="1"/>
    <col min="11272" max="11272" width="14.453125" style="140" customWidth="1"/>
    <col min="11273" max="11273" width="3.6328125" style="140" customWidth="1"/>
    <col min="11274" max="11274" width="18.6328125" style="140" customWidth="1"/>
    <col min="11275" max="11294" width="6.6328125" style="140" customWidth="1"/>
    <col min="11295" max="11297" width="6.36328125" style="140" customWidth="1"/>
    <col min="11298" max="11526" width="9.08984375" style="140"/>
    <col min="11527" max="11527" width="3.6328125" style="140" customWidth="1"/>
    <col min="11528" max="11528" width="14.453125" style="140" customWidth="1"/>
    <col min="11529" max="11529" width="3.6328125" style="140" customWidth="1"/>
    <col min="11530" max="11530" width="18.6328125" style="140" customWidth="1"/>
    <col min="11531" max="11550" width="6.6328125" style="140" customWidth="1"/>
    <col min="11551" max="11553" width="6.36328125" style="140" customWidth="1"/>
    <col min="11554" max="11782" width="9.08984375" style="140"/>
    <col min="11783" max="11783" width="3.6328125" style="140" customWidth="1"/>
    <col min="11784" max="11784" width="14.453125" style="140" customWidth="1"/>
    <col min="11785" max="11785" width="3.6328125" style="140" customWidth="1"/>
    <col min="11786" max="11786" width="18.6328125" style="140" customWidth="1"/>
    <col min="11787" max="11806" width="6.6328125" style="140" customWidth="1"/>
    <col min="11807" max="11809" width="6.36328125" style="140" customWidth="1"/>
    <col min="11810" max="12038" width="9.08984375" style="140"/>
    <col min="12039" max="12039" width="3.6328125" style="140" customWidth="1"/>
    <col min="12040" max="12040" width="14.453125" style="140" customWidth="1"/>
    <col min="12041" max="12041" width="3.6328125" style="140" customWidth="1"/>
    <col min="12042" max="12042" width="18.6328125" style="140" customWidth="1"/>
    <col min="12043" max="12062" width="6.6328125" style="140" customWidth="1"/>
    <col min="12063" max="12065" width="6.36328125" style="140" customWidth="1"/>
    <col min="12066" max="12294" width="9.08984375" style="140"/>
    <col min="12295" max="12295" width="3.6328125" style="140" customWidth="1"/>
    <col min="12296" max="12296" width="14.453125" style="140" customWidth="1"/>
    <col min="12297" max="12297" width="3.6328125" style="140" customWidth="1"/>
    <col min="12298" max="12298" width="18.6328125" style="140" customWidth="1"/>
    <col min="12299" max="12318" width="6.6328125" style="140" customWidth="1"/>
    <col min="12319" max="12321" width="6.36328125" style="140" customWidth="1"/>
    <col min="12322" max="12550" width="9.08984375" style="140"/>
    <col min="12551" max="12551" width="3.6328125" style="140" customWidth="1"/>
    <col min="12552" max="12552" width="14.453125" style="140" customWidth="1"/>
    <col min="12553" max="12553" width="3.6328125" style="140" customWidth="1"/>
    <col min="12554" max="12554" width="18.6328125" style="140" customWidth="1"/>
    <col min="12555" max="12574" width="6.6328125" style="140" customWidth="1"/>
    <col min="12575" max="12577" width="6.36328125" style="140" customWidth="1"/>
    <col min="12578" max="12806" width="9.08984375" style="140"/>
    <col min="12807" max="12807" width="3.6328125" style="140" customWidth="1"/>
    <col min="12808" max="12808" width="14.453125" style="140" customWidth="1"/>
    <col min="12809" max="12809" width="3.6328125" style="140" customWidth="1"/>
    <col min="12810" max="12810" width="18.6328125" style="140" customWidth="1"/>
    <col min="12811" max="12830" width="6.6328125" style="140" customWidth="1"/>
    <col min="12831" max="12833" width="6.36328125" style="140" customWidth="1"/>
    <col min="12834" max="13062" width="9.08984375" style="140"/>
    <col min="13063" max="13063" width="3.6328125" style="140" customWidth="1"/>
    <col min="13064" max="13064" width="14.453125" style="140" customWidth="1"/>
    <col min="13065" max="13065" width="3.6328125" style="140" customWidth="1"/>
    <col min="13066" max="13066" width="18.6328125" style="140" customWidth="1"/>
    <col min="13067" max="13086" width="6.6328125" style="140" customWidth="1"/>
    <col min="13087" max="13089" width="6.36328125" style="140" customWidth="1"/>
    <col min="13090" max="13318" width="9.08984375" style="140"/>
    <col min="13319" max="13319" width="3.6328125" style="140" customWidth="1"/>
    <col min="13320" max="13320" width="14.453125" style="140" customWidth="1"/>
    <col min="13321" max="13321" width="3.6328125" style="140" customWidth="1"/>
    <col min="13322" max="13322" width="18.6328125" style="140" customWidth="1"/>
    <col min="13323" max="13342" width="6.6328125" style="140" customWidth="1"/>
    <col min="13343" max="13345" width="6.36328125" style="140" customWidth="1"/>
    <col min="13346" max="13574" width="9.08984375" style="140"/>
    <col min="13575" max="13575" width="3.6328125" style="140" customWidth="1"/>
    <col min="13576" max="13576" width="14.453125" style="140" customWidth="1"/>
    <col min="13577" max="13577" width="3.6328125" style="140" customWidth="1"/>
    <col min="13578" max="13578" width="18.6328125" style="140" customWidth="1"/>
    <col min="13579" max="13598" width="6.6328125" style="140" customWidth="1"/>
    <col min="13599" max="13601" width="6.36328125" style="140" customWidth="1"/>
    <col min="13602" max="13830" width="9.08984375" style="140"/>
    <col min="13831" max="13831" width="3.6328125" style="140" customWidth="1"/>
    <col min="13832" max="13832" width="14.453125" style="140" customWidth="1"/>
    <col min="13833" max="13833" width="3.6328125" style="140" customWidth="1"/>
    <col min="13834" max="13834" width="18.6328125" style="140" customWidth="1"/>
    <col min="13835" max="13854" width="6.6328125" style="140" customWidth="1"/>
    <col min="13855" max="13857" width="6.36328125" style="140" customWidth="1"/>
    <col min="13858" max="14086" width="9.08984375" style="140"/>
    <col min="14087" max="14087" width="3.6328125" style="140" customWidth="1"/>
    <col min="14088" max="14088" width="14.453125" style="140" customWidth="1"/>
    <col min="14089" max="14089" width="3.6328125" style="140" customWidth="1"/>
    <col min="14090" max="14090" width="18.6328125" style="140" customWidth="1"/>
    <col min="14091" max="14110" width="6.6328125" style="140" customWidth="1"/>
    <col min="14111" max="14113" width="6.36328125" style="140" customWidth="1"/>
    <col min="14114" max="14342" width="9.08984375" style="140"/>
    <col min="14343" max="14343" width="3.6328125" style="140" customWidth="1"/>
    <col min="14344" max="14344" width="14.453125" style="140" customWidth="1"/>
    <col min="14345" max="14345" width="3.6328125" style="140" customWidth="1"/>
    <col min="14346" max="14346" width="18.6328125" style="140" customWidth="1"/>
    <col min="14347" max="14366" width="6.6328125" style="140" customWidth="1"/>
    <col min="14367" max="14369" width="6.36328125" style="140" customWidth="1"/>
    <col min="14370" max="14598" width="9.08984375" style="140"/>
    <col min="14599" max="14599" width="3.6328125" style="140" customWidth="1"/>
    <col min="14600" max="14600" width="14.453125" style="140" customWidth="1"/>
    <col min="14601" max="14601" width="3.6328125" style="140" customWidth="1"/>
    <col min="14602" max="14602" width="18.6328125" style="140" customWidth="1"/>
    <col min="14603" max="14622" width="6.6328125" style="140" customWidth="1"/>
    <col min="14623" max="14625" width="6.36328125" style="140" customWidth="1"/>
    <col min="14626" max="14854" width="9.08984375" style="140"/>
    <col min="14855" max="14855" width="3.6328125" style="140" customWidth="1"/>
    <col min="14856" max="14856" width="14.453125" style="140" customWidth="1"/>
    <col min="14857" max="14857" width="3.6328125" style="140" customWidth="1"/>
    <col min="14858" max="14858" width="18.6328125" style="140" customWidth="1"/>
    <col min="14859" max="14878" width="6.6328125" style="140" customWidth="1"/>
    <col min="14879" max="14881" width="6.36328125" style="140" customWidth="1"/>
    <col min="14882" max="15110" width="9.08984375" style="140"/>
    <col min="15111" max="15111" width="3.6328125" style="140" customWidth="1"/>
    <col min="15112" max="15112" width="14.453125" style="140" customWidth="1"/>
    <col min="15113" max="15113" width="3.6328125" style="140" customWidth="1"/>
    <col min="15114" max="15114" width="18.6328125" style="140" customWidth="1"/>
    <col min="15115" max="15134" width="6.6328125" style="140" customWidth="1"/>
    <col min="15135" max="15137" width="6.36328125" style="140" customWidth="1"/>
    <col min="15138" max="15366" width="9.08984375" style="140"/>
    <col min="15367" max="15367" width="3.6328125" style="140" customWidth="1"/>
    <col min="15368" max="15368" width="14.453125" style="140" customWidth="1"/>
    <col min="15369" max="15369" width="3.6328125" style="140" customWidth="1"/>
    <col min="15370" max="15370" width="18.6328125" style="140" customWidth="1"/>
    <col min="15371" max="15390" width="6.6328125" style="140" customWidth="1"/>
    <col min="15391" max="15393" width="6.36328125" style="140" customWidth="1"/>
    <col min="15394" max="15622" width="9.08984375" style="140"/>
    <col min="15623" max="15623" width="3.6328125" style="140" customWidth="1"/>
    <col min="15624" max="15624" width="14.453125" style="140" customWidth="1"/>
    <col min="15625" max="15625" width="3.6328125" style="140" customWidth="1"/>
    <col min="15626" max="15626" width="18.6328125" style="140" customWidth="1"/>
    <col min="15627" max="15646" width="6.6328125" style="140" customWidth="1"/>
    <col min="15647" max="15649" width="6.36328125" style="140" customWidth="1"/>
    <col min="15650" max="15878" width="9.08984375" style="140"/>
    <col min="15879" max="15879" width="3.6328125" style="140" customWidth="1"/>
    <col min="15880" max="15880" width="14.453125" style="140" customWidth="1"/>
    <col min="15881" max="15881" width="3.6328125" style="140" customWidth="1"/>
    <col min="15882" max="15882" width="18.6328125" style="140" customWidth="1"/>
    <col min="15883" max="15902" width="6.6328125" style="140" customWidth="1"/>
    <col min="15903" max="15905" width="6.36328125" style="140" customWidth="1"/>
    <col min="15906" max="16134" width="9.08984375" style="140"/>
    <col min="16135" max="16135" width="3.6328125" style="140" customWidth="1"/>
    <col min="16136" max="16136" width="14.453125" style="140" customWidth="1"/>
    <col min="16137" max="16137" width="3.6328125" style="140" customWidth="1"/>
    <col min="16138" max="16138" width="18.6328125" style="140" customWidth="1"/>
    <col min="16139" max="16158" width="6.6328125" style="140" customWidth="1"/>
    <col min="16159" max="16161" width="6.36328125" style="140" customWidth="1"/>
    <col min="16162" max="16384" width="9.08984375" style="140"/>
  </cols>
  <sheetData>
    <row r="1" spans="1:56" x14ac:dyDescent="0.35">
      <c r="A1" s="2631"/>
      <c r="B1" s="1868"/>
      <c r="C1" s="1868"/>
      <c r="D1" s="1869"/>
      <c r="E1" s="1869"/>
      <c r="F1" s="1869"/>
      <c r="G1" s="1869"/>
      <c r="H1" s="1869"/>
      <c r="I1" s="1869"/>
      <c r="J1" s="1869"/>
      <c r="K1" s="1869"/>
      <c r="L1" s="1869"/>
      <c r="M1" s="1869"/>
      <c r="N1" s="1869"/>
      <c r="O1" s="1869"/>
      <c r="P1" s="1869"/>
      <c r="Q1" s="1869"/>
      <c r="R1" s="1912"/>
      <c r="S1" s="1912"/>
      <c r="T1" s="1912"/>
      <c r="U1" s="1912"/>
      <c r="V1" s="1914"/>
      <c r="W1" s="1914"/>
      <c r="X1" s="1914"/>
      <c r="Y1" s="1427"/>
      <c r="Z1" s="1427"/>
      <c r="AA1" s="1427"/>
      <c r="AB1" s="1427"/>
      <c r="AC1" s="1427"/>
      <c r="AD1" s="1427"/>
      <c r="AE1" s="1427"/>
      <c r="AF1" s="1427"/>
      <c r="AG1" s="1427"/>
      <c r="AH1" s="1427"/>
      <c r="AI1" s="1427"/>
      <c r="AJ1" s="1427"/>
    </row>
    <row r="2" spans="1:56" ht="12.75" customHeight="1" x14ac:dyDescent="0.35">
      <c r="A2" s="819">
        <v>1</v>
      </c>
      <c r="B2" s="819" t="s">
        <v>0</v>
      </c>
      <c r="C2" s="819">
        <v>57</v>
      </c>
      <c r="D2" s="4642" t="s">
        <v>1328</v>
      </c>
      <c r="E2" s="4643"/>
      <c r="F2" s="4643"/>
      <c r="G2" s="4643"/>
      <c r="H2" s="4643"/>
      <c r="I2" s="4643"/>
      <c r="J2" s="4643"/>
      <c r="K2" s="4643"/>
      <c r="L2" s="4643"/>
      <c r="M2" s="4643"/>
      <c r="N2" s="4643"/>
      <c r="O2" s="4643"/>
      <c r="P2" s="4643"/>
      <c r="Q2" s="4643"/>
      <c r="R2" s="4643"/>
      <c r="S2" s="4643"/>
      <c r="T2" s="4643"/>
      <c r="U2" s="4643"/>
      <c r="V2" s="4643"/>
      <c r="W2" s="4644"/>
      <c r="X2" s="33"/>
      <c r="Y2" s="33"/>
      <c r="Z2" s="33"/>
      <c r="AA2" s="33"/>
      <c r="AB2" s="33"/>
      <c r="AC2" s="33"/>
      <c r="AD2" s="33"/>
      <c r="AE2" s="33"/>
      <c r="AF2" s="33"/>
      <c r="AG2" s="33"/>
      <c r="AH2" s="33"/>
      <c r="AI2" s="33"/>
      <c r="AJ2" s="33"/>
    </row>
    <row r="3" spans="1:56" ht="12.75" customHeight="1" x14ac:dyDescent="0.35">
      <c r="A3" s="819">
        <v>2</v>
      </c>
      <c r="B3" s="819" t="s">
        <v>2</v>
      </c>
      <c r="C3" s="819"/>
      <c r="D3" s="4642" t="s">
        <v>1313</v>
      </c>
      <c r="E3" s="4643"/>
      <c r="F3" s="4643"/>
      <c r="G3" s="4643"/>
      <c r="H3" s="4643"/>
      <c r="I3" s="4643"/>
      <c r="J3" s="4643"/>
      <c r="K3" s="4643"/>
      <c r="L3" s="4643"/>
      <c r="M3" s="4643"/>
      <c r="N3" s="4643"/>
      <c r="O3" s="4643"/>
      <c r="P3" s="4643"/>
      <c r="Q3" s="4643"/>
      <c r="R3" s="4643"/>
      <c r="S3" s="4643"/>
      <c r="T3" s="4643"/>
      <c r="U3" s="4643"/>
      <c r="V3" s="4643"/>
      <c r="W3" s="4644"/>
      <c r="X3" s="33"/>
      <c r="Y3" s="33"/>
      <c r="Z3" s="33"/>
      <c r="AA3" s="33"/>
      <c r="AB3" s="33"/>
      <c r="AC3" s="33"/>
      <c r="AD3" s="33"/>
      <c r="AE3" s="33"/>
      <c r="AF3" s="33"/>
      <c r="AG3" s="33"/>
      <c r="AH3" s="33"/>
      <c r="AI3" s="33"/>
      <c r="AJ3" s="33"/>
    </row>
    <row r="4" spans="1:56" ht="17.25" customHeight="1" x14ac:dyDescent="0.35">
      <c r="A4" s="819">
        <v>3</v>
      </c>
      <c r="B4" s="819" t="s">
        <v>4</v>
      </c>
      <c r="C4" s="819"/>
      <c r="D4" s="4642" t="s">
        <v>1329</v>
      </c>
      <c r="E4" s="4643"/>
      <c r="F4" s="4643"/>
      <c r="G4" s="4643"/>
      <c r="H4" s="4643"/>
      <c r="I4" s="4643"/>
      <c r="J4" s="4643"/>
      <c r="K4" s="4643"/>
      <c r="L4" s="4643"/>
      <c r="M4" s="4643"/>
      <c r="N4" s="4643"/>
      <c r="O4" s="4643"/>
      <c r="P4" s="4643"/>
      <c r="Q4" s="4643"/>
      <c r="R4" s="4643"/>
      <c r="S4" s="4643"/>
      <c r="T4" s="4643"/>
      <c r="U4" s="4643"/>
      <c r="V4" s="4643"/>
      <c r="W4" s="4644"/>
      <c r="X4" s="33"/>
      <c r="Y4" s="33"/>
      <c r="Z4" s="33"/>
      <c r="AA4" s="33"/>
      <c r="AB4" s="33"/>
      <c r="AC4" s="33"/>
      <c r="AD4" s="33"/>
      <c r="AE4" s="33"/>
      <c r="AF4" s="33"/>
      <c r="AG4" s="33"/>
      <c r="AH4" s="33"/>
      <c r="AI4" s="33"/>
      <c r="AJ4" s="33"/>
    </row>
    <row r="5" spans="1:56" ht="15.75" customHeight="1" x14ac:dyDescent="0.35">
      <c r="A5" s="819">
        <v>4</v>
      </c>
      <c r="B5" s="819" t="s">
        <v>763</v>
      </c>
      <c r="C5" s="819"/>
      <c r="D5" s="4642" t="s">
        <v>1330</v>
      </c>
      <c r="E5" s="4643"/>
      <c r="F5" s="4643"/>
      <c r="G5" s="4643"/>
      <c r="H5" s="4643"/>
      <c r="I5" s="4643"/>
      <c r="J5" s="4643"/>
      <c r="K5" s="4643"/>
      <c r="L5" s="4643"/>
      <c r="M5" s="4643"/>
      <c r="N5" s="4643"/>
      <c r="O5" s="4643"/>
      <c r="P5" s="4643"/>
      <c r="Q5" s="4643"/>
      <c r="R5" s="4643"/>
      <c r="S5" s="4643"/>
      <c r="T5" s="4643"/>
      <c r="U5" s="4643"/>
      <c r="V5" s="4643"/>
      <c r="W5" s="4644"/>
      <c r="X5" s="33"/>
      <c r="Y5" s="33"/>
      <c r="Z5" s="33"/>
      <c r="AA5" s="33"/>
      <c r="AB5" s="33"/>
      <c r="AC5" s="33"/>
      <c r="AD5" s="33"/>
      <c r="AE5" s="33"/>
      <c r="AF5" s="33"/>
      <c r="AG5" s="33"/>
      <c r="AH5" s="33"/>
      <c r="AI5" s="33"/>
      <c r="AJ5" s="33"/>
    </row>
    <row r="6" spans="1:56" x14ac:dyDescent="0.35">
      <c r="C6" s="1192"/>
      <c r="D6" s="1190"/>
      <c r="E6" s="1190"/>
      <c r="F6" s="1190"/>
      <c r="G6" s="1190"/>
      <c r="H6" s="1190"/>
      <c r="I6" s="1190"/>
      <c r="J6" s="1190"/>
      <c r="K6" s="1190"/>
      <c r="L6" s="1190"/>
      <c r="M6" s="1190"/>
      <c r="N6" s="1190"/>
      <c r="O6" s="1190"/>
      <c r="P6" s="1190"/>
      <c r="Q6" s="1869"/>
      <c r="R6" s="1912"/>
      <c r="S6" s="1912"/>
      <c r="T6" s="1912"/>
      <c r="U6" s="1912"/>
      <c r="V6" s="33"/>
      <c r="W6" s="33"/>
      <c r="X6" s="33"/>
      <c r="Y6" s="33"/>
      <c r="Z6" s="33"/>
      <c r="AA6" s="33"/>
      <c r="AB6" s="33"/>
      <c r="AC6" s="33"/>
      <c r="AD6" s="33"/>
      <c r="AE6" s="33"/>
      <c r="AF6" s="33"/>
      <c r="AG6" s="33"/>
      <c r="AH6" s="33"/>
      <c r="AI6" s="33"/>
      <c r="AJ6" s="33"/>
    </row>
    <row r="7" spans="1:56" x14ac:dyDescent="0.35">
      <c r="A7" s="819">
        <v>5</v>
      </c>
      <c r="B7" s="1192" t="s">
        <v>6</v>
      </c>
      <c r="C7" s="1224"/>
      <c r="D7" s="3205" t="s">
        <v>85</v>
      </c>
      <c r="E7" s="3205" t="str">
        <f>D2</f>
        <v>Public opinion on race relations</v>
      </c>
      <c r="F7" s="3205"/>
      <c r="G7" s="90"/>
      <c r="H7" s="90"/>
      <c r="I7" s="90"/>
      <c r="J7" s="90"/>
      <c r="K7" s="90"/>
      <c r="L7" s="90"/>
      <c r="M7" s="120"/>
      <c r="N7" s="120"/>
      <c r="O7" s="108"/>
      <c r="P7" s="108"/>
      <c r="Q7" s="108"/>
      <c r="R7" s="33"/>
      <c r="S7" s="33"/>
      <c r="T7" s="178"/>
      <c r="U7" s="178"/>
      <c r="V7" s="33"/>
      <c r="W7" s="1912"/>
      <c r="X7" s="1912"/>
      <c r="Y7" s="1912"/>
      <c r="Z7" s="1912"/>
      <c r="AA7" s="1912"/>
      <c r="AB7" s="1912"/>
      <c r="AC7" s="1912"/>
      <c r="AD7" s="1912"/>
      <c r="AE7" s="1912"/>
      <c r="AF7" s="1912"/>
      <c r="AG7" s="1912"/>
      <c r="AH7" s="1912"/>
      <c r="AI7" s="1912"/>
      <c r="AJ7" s="1912"/>
      <c r="AK7" s="1912"/>
    </row>
    <row r="8" spans="1:56" x14ac:dyDescent="0.35">
      <c r="A8" s="2633"/>
      <c r="B8" s="1224"/>
      <c r="C8" s="1224"/>
      <c r="D8" s="3268"/>
      <c r="E8" s="3269">
        <v>2000</v>
      </c>
      <c r="F8" s="3269">
        <v>2001</v>
      </c>
      <c r="G8" s="3269">
        <v>2002</v>
      </c>
      <c r="H8" s="3269">
        <v>2003</v>
      </c>
      <c r="I8" s="3269">
        <v>2004</v>
      </c>
      <c r="J8" s="3269">
        <v>2005</v>
      </c>
      <c r="K8" s="3269">
        <v>2006</v>
      </c>
      <c r="L8" s="3269">
        <v>2007</v>
      </c>
      <c r="M8" s="3269">
        <v>2008</v>
      </c>
      <c r="N8" s="3269">
        <v>2009</v>
      </c>
      <c r="O8" s="3269">
        <v>2010</v>
      </c>
      <c r="P8" s="3269">
        <v>2011</v>
      </c>
      <c r="Q8" s="3269">
        <v>2012</v>
      </c>
      <c r="R8" s="3269">
        <v>2013</v>
      </c>
      <c r="S8" s="3269">
        <v>2014</v>
      </c>
      <c r="T8" s="3269">
        <v>2015</v>
      </c>
      <c r="U8" s="3270">
        <v>2016</v>
      </c>
      <c r="V8" s="3271" t="s">
        <v>125</v>
      </c>
      <c r="W8" s="3271" t="s">
        <v>126</v>
      </c>
      <c r="X8" s="3271" t="s">
        <v>302</v>
      </c>
      <c r="Y8" s="1912"/>
      <c r="Z8" s="1912"/>
      <c r="AA8" s="1912"/>
      <c r="AB8" s="1912"/>
      <c r="AC8" s="1912"/>
      <c r="AD8" s="1912"/>
      <c r="AE8" s="1912"/>
      <c r="AF8" s="1912"/>
      <c r="AG8" s="1912"/>
      <c r="AH8" s="1912"/>
      <c r="AI8" s="1912"/>
      <c r="AJ8" s="1912"/>
      <c r="AK8" s="1912"/>
      <c r="BC8" s="1427"/>
      <c r="BD8" s="1427"/>
    </row>
    <row r="9" spans="1:56" x14ac:dyDescent="0.35">
      <c r="A9" s="2633"/>
      <c r="B9" s="1224"/>
      <c r="C9" s="1224"/>
      <c r="D9" s="3272" t="s">
        <v>1331</v>
      </c>
      <c r="E9" s="3269">
        <v>72</v>
      </c>
      <c r="F9" s="3269">
        <v>40</v>
      </c>
      <c r="G9" s="3269">
        <v>44</v>
      </c>
      <c r="H9" s="3269">
        <v>49</v>
      </c>
      <c r="I9" s="3269">
        <v>60</v>
      </c>
      <c r="J9" s="3269">
        <v>59</v>
      </c>
      <c r="K9" s="3269">
        <v>59</v>
      </c>
      <c r="L9" s="3269">
        <v>59</v>
      </c>
      <c r="M9" s="3269">
        <v>49</v>
      </c>
      <c r="N9" s="3269">
        <v>53</v>
      </c>
      <c r="O9" s="3269">
        <v>50</v>
      </c>
      <c r="P9" s="3269">
        <v>44</v>
      </c>
      <c r="Q9" s="3269">
        <v>39</v>
      </c>
      <c r="R9" s="3269">
        <v>36</v>
      </c>
      <c r="S9" s="3269">
        <v>45</v>
      </c>
      <c r="T9" s="3269">
        <v>39</v>
      </c>
      <c r="U9" s="3270">
        <v>29</v>
      </c>
      <c r="V9" s="3271">
        <v>38</v>
      </c>
      <c r="W9" s="3271">
        <v>42</v>
      </c>
      <c r="X9" s="3271">
        <v>40</v>
      </c>
      <c r="Y9" s="1912"/>
      <c r="Z9" s="1912"/>
      <c r="AA9" s="1912"/>
      <c r="AB9" s="1912"/>
      <c r="AC9" s="1912"/>
      <c r="AD9" s="1912"/>
      <c r="AE9" s="1912"/>
      <c r="AF9" s="1912"/>
      <c r="AG9" s="1912"/>
      <c r="AH9" s="1912"/>
      <c r="AI9" s="1912"/>
      <c r="AJ9" s="1912"/>
      <c r="AK9" s="1912"/>
    </row>
    <row r="10" spans="1:56" x14ac:dyDescent="0.35">
      <c r="A10" s="2633"/>
      <c r="B10" s="1224"/>
      <c r="C10" s="1224"/>
      <c r="W10" s="1912"/>
      <c r="X10" s="1912"/>
      <c r="Y10" s="1912"/>
      <c r="Z10" s="1912"/>
      <c r="AA10" s="1912"/>
      <c r="AB10" s="1912"/>
      <c r="AC10" s="1912"/>
      <c r="AD10" s="1912"/>
      <c r="AE10" s="1912"/>
      <c r="AF10" s="1912"/>
      <c r="AG10" s="1912"/>
      <c r="AH10" s="1912"/>
      <c r="AI10" s="1912"/>
      <c r="AJ10" s="1912"/>
      <c r="AK10" s="1912"/>
    </row>
    <row r="11" spans="1:56" x14ac:dyDescent="0.35">
      <c r="A11" s="819"/>
      <c r="B11" s="819"/>
      <c r="C11" s="819"/>
    </row>
    <row r="12" spans="1:56" x14ac:dyDescent="0.35">
      <c r="A12" s="819">
        <v>6</v>
      </c>
      <c r="B12" s="819" t="s">
        <v>56</v>
      </c>
      <c r="C12" s="819"/>
      <c r="D12" s="1869"/>
      <c r="E12" s="1869"/>
      <c r="F12" s="1869"/>
      <c r="G12" s="1869"/>
      <c r="H12" s="1869"/>
      <c r="I12" s="1869"/>
      <c r="J12" s="1869"/>
      <c r="K12" s="1869"/>
      <c r="L12" s="1869"/>
      <c r="M12" s="1869"/>
      <c r="N12" s="1869"/>
      <c r="O12" s="1869"/>
      <c r="P12" s="1869"/>
      <c r="Q12" s="1869"/>
      <c r="R12" s="1912"/>
      <c r="S12" s="1912"/>
      <c r="T12" s="1912"/>
      <c r="U12" s="1912"/>
      <c r="V12" s="1912"/>
      <c r="W12" s="1912"/>
      <c r="X12" s="1912"/>
    </row>
    <row r="13" spans="1:56" x14ac:dyDescent="0.35">
      <c r="A13" s="819"/>
      <c r="B13" s="819"/>
      <c r="C13" s="819"/>
      <c r="D13" s="1869"/>
      <c r="E13" s="1869"/>
      <c r="F13" s="1869"/>
      <c r="G13" s="1869"/>
      <c r="H13" s="1869"/>
      <c r="I13" s="1869"/>
      <c r="J13" s="1869"/>
      <c r="K13" s="1869"/>
      <c r="L13" s="1869"/>
      <c r="M13" s="1869"/>
      <c r="N13" s="1869"/>
      <c r="O13" s="1869"/>
      <c r="P13" s="1869"/>
      <c r="Q13" s="1869"/>
      <c r="R13" s="1912"/>
      <c r="S13" s="1912"/>
      <c r="T13" s="1912"/>
      <c r="U13" s="1912"/>
      <c r="V13" s="1912"/>
      <c r="W13" s="1912"/>
      <c r="X13" s="1912"/>
      <c r="AI13" s="3273"/>
    </row>
    <row r="14" spans="1:56" x14ac:dyDescent="0.35">
      <c r="A14" s="2631"/>
      <c r="B14" s="1868"/>
      <c r="C14" s="1868"/>
      <c r="D14" s="1869"/>
      <c r="E14" s="1869"/>
      <c r="F14" s="1869"/>
      <c r="G14" s="1869"/>
      <c r="H14" s="1869"/>
      <c r="I14" s="1869"/>
      <c r="J14" s="1869"/>
      <c r="K14" s="1869"/>
      <c r="L14" s="1869"/>
      <c r="M14" s="1869"/>
      <c r="N14" s="1869"/>
      <c r="O14" s="1869"/>
      <c r="P14" s="1869"/>
      <c r="Q14" s="1869"/>
      <c r="R14" s="1912"/>
      <c r="S14" s="1912"/>
      <c r="T14" s="1912"/>
      <c r="U14" s="1912"/>
      <c r="V14" s="1912"/>
      <c r="W14" s="1912"/>
      <c r="X14" s="1912"/>
      <c r="AJ14" s="3273"/>
    </row>
    <row r="15" spans="1:56" x14ac:dyDescent="0.35">
      <c r="A15" s="2631"/>
      <c r="B15" s="1868"/>
      <c r="C15" s="1868"/>
      <c r="D15" s="1869"/>
      <c r="E15" s="1869"/>
      <c r="F15" s="1869"/>
      <c r="G15" s="1869"/>
      <c r="H15" s="1869"/>
      <c r="I15" s="1869"/>
      <c r="J15" s="1869"/>
      <c r="K15" s="1869"/>
      <c r="L15" s="1869"/>
      <c r="M15" s="1869"/>
      <c r="N15" s="1869"/>
      <c r="O15" s="1869"/>
      <c r="P15" s="1869"/>
      <c r="Q15" s="1869"/>
      <c r="R15" s="1912"/>
      <c r="S15" s="1912"/>
      <c r="T15" s="1912"/>
      <c r="U15" s="1912"/>
      <c r="V15" s="1912"/>
      <c r="W15" s="1912"/>
      <c r="X15" s="1912"/>
    </row>
    <row r="16" spans="1:56" x14ac:dyDescent="0.35">
      <c r="A16" s="2631"/>
      <c r="B16" s="1868"/>
      <c r="C16" s="1868"/>
      <c r="D16" s="1869"/>
      <c r="E16" s="1869"/>
      <c r="F16" s="1869"/>
      <c r="G16" s="1869"/>
      <c r="H16" s="1869"/>
      <c r="I16" s="1869"/>
      <c r="J16" s="1869"/>
      <c r="K16" s="1869"/>
      <c r="L16" s="1869"/>
      <c r="M16" s="1869"/>
      <c r="N16" s="1869"/>
      <c r="O16" s="1869"/>
      <c r="P16" s="1869"/>
      <c r="Q16" s="1869"/>
      <c r="R16" s="1912"/>
      <c r="S16" s="1912"/>
      <c r="T16" s="1912"/>
      <c r="U16" s="1912"/>
      <c r="V16" s="1912"/>
      <c r="W16" s="1912"/>
      <c r="X16" s="1912"/>
    </row>
    <row r="17" spans="1:36" x14ac:dyDescent="0.35">
      <c r="A17" s="2631"/>
      <c r="B17" s="1868"/>
      <c r="C17" s="1868"/>
      <c r="D17" s="1869"/>
      <c r="E17" s="1869"/>
      <c r="F17" s="1869"/>
      <c r="G17" s="1869"/>
      <c r="H17" s="1869"/>
      <c r="I17" s="1869"/>
      <c r="J17" s="1869"/>
      <c r="K17" s="1869"/>
      <c r="L17" s="1869"/>
      <c r="M17" s="1869"/>
      <c r="N17" s="1869"/>
      <c r="O17" s="1869"/>
      <c r="P17" s="1869"/>
      <c r="Q17" s="1869"/>
      <c r="R17" s="1912"/>
      <c r="S17" s="1912"/>
      <c r="T17" s="1912"/>
      <c r="U17" s="1912"/>
      <c r="V17" s="1912"/>
      <c r="W17" s="1912"/>
      <c r="X17" s="1912"/>
    </row>
    <row r="18" spans="1:36" x14ac:dyDescent="0.35">
      <c r="A18" s="2631"/>
      <c r="B18" s="1868"/>
      <c r="C18" s="1868"/>
      <c r="D18" s="1869"/>
      <c r="E18" s="1869"/>
      <c r="F18" s="1869"/>
      <c r="G18" s="1869"/>
      <c r="H18" s="1869"/>
      <c r="I18" s="1869"/>
      <c r="J18" s="1869"/>
      <c r="K18" s="1869"/>
      <c r="L18" s="1869"/>
      <c r="M18" s="1869"/>
      <c r="N18" s="1869"/>
      <c r="O18" s="1869"/>
      <c r="P18" s="1869"/>
      <c r="Q18" s="1869"/>
      <c r="R18" s="1912"/>
      <c r="S18" s="1912"/>
      <c r="T18" s="1912"/>
      <c r="U18" s="1912"/>
      <c r="V18" s="1912"/>
      <c r="W18" s="1912"/>
      <c r="X18" s="1912"/>
    </row>
    <row r="19" spans="1:36" x14ac:dyDescent="0.35">
      <c r="A19" s="2631"/>
      <c r="B19" s="1868"/>
      <c r="C19" s="1868"/>
      <c r="D19" s="1869"/>
      <c r="E19" s="1869"/>
      <c r="F19" s="1869"/>
      <c r="G19" s="1869"/>
      <c r="H19" s="1869"/>
      <c r="I19" s="1869"/>
      <c r="J19" s="1869"/>
      <c r="K19" s="1869"/>
      <c r="L19" s="1869"/>
      <c r="M19" s="1869"/>
      <c r="N19" s="1869"/>
      <c r="O19" s="1869"/>
      <c r="P19" s="1869"/>
      <c r="Q19" s="1869"/>
      <c r="R19" s="1912"/>
      <c r="S19" s="1912"/>
      <c r="T19" s="1912"/>
      <c r="U19" s="1912"/>
      <c r="V19" s="1912"/>
      <c r="W19" s="1912"/>
      <c r="X19" s="1912"/>
    </row>
    <row r="20" spans="1:36" x14ac:dyDescent="0.35">
      <c r="A20" s="2631"/>
      <c r="B20" s="1868"/>
      <c r="C20" s="1868"/>
      <c r="D20" s="1869"/>
      <c r="E20" s="1869"/>
      <c r="F20" s="1869"/>
      <c r="G20" s="1869"/>
      <c r="H20" s="1869"/>
      <c r="I20" s="1869"/>
      <c r="J20" s="1869"/>
      <c r="K20" s="1869"/>
      <c r="L20" s="1869"/>
      <c r="M20" s="1869"/>
      <c r="N20" s="1869"/>
      <c r="O20" s="1869"/>
      <c r="P20" s="1869"/>
      <c r="Q20" s="1869"/>
      <c r="R20" s="1912"/>
      <c r="S20" s="1912"/>
      <c r="T20" s="1912"/>
      <c r="U20" s="1912"/>
      <c r="V20" s="1912"/>
      <c r="W20" s="1912"/>
      <c r="X20" s="1912"/>
    </row>
    <row r="21" spans="1:36" x14ac:dyDescent="0.35">
      <c r="A21" s="2631"/>
      <c r="B21" s="1868"/>
      <c r="C21" s="1868"/>
      <c r="D21" s="1869"/>
      <c r="E21" s="1869"/>
      <c r="F21" s="1869"/>
      <c r="G21" s="1869"/>
      <c r="H21" s="1869"/>
      <c r="I21" s="1869"/>
      <c r="J21" s="1869"/>
      <c r="K21" s="1869"/>
      <c r="L21" s="1869"/>
      <c r="M21" s="1869"/>
      <c r="N21" s="1869"/>
      <c r="O21" s="1869"/>
      <c r="P21" s="1869"/>
      <c r="Q21" s="1869"/>
      <c r="R21" s="1912"/>
      <c r="S21" s="1912"/>
      <c r="T21" s="1912"/>
      <c r="U21" s="1912"/>
      <c r="V21" s="1912"/>
      <c r="W21" s="1912"/>
      <c r="X21" s="1912"/>
    </row>
    <row r="22" spans="1:36" x14ac:dyDescent="0.35">
      <c r="A22" s="2631"/>
      <c r="B22" s="1868"/>
      <c r="C22" s="1868"/>
      <c r="D22" s="1869"/>
      <c r="E22" s="1869"/>
      <c r="F22" s="1869"/>
      <c r="G22" s="1869"/>
      <c r="H22" s="1869"/>
      <c r="I22" s="1869"/>
      <c r="J22" s="1869"/>
      <c r="K22" s="1869"/>
      <c r="L22" s="1869"/>
      <c r="M22" s="1869"/>
      <c r="N22" s="1869"/>
      <c r="O22" s="1869"/>
      <c r="P22" s="1869"/>
      <c r="Q22" s="1869"/>
      <c r="R22" s="1912"/>
      <c r="S22" s="1912"/>
      <c r="T22" s="1912"/>
      <c r="U22" s="1912"/>
      <c r="V22" s="1912"/>
      <c r="W22" s="1912"/>
      <c r="X22" s="1912"/>
    </row>
    <row r="23" spans="1:36" x14ac:dyDescent="0.35">
      <c r="A23" s="2631"/>
      <c r="B23" s="1868"/>
      <c r="C23" s="1868"/>
      <c r="D23" s="1869"/>
      <c r="E23" s="1869"/>
      <c r="F23" s="1869"/>
      <c r="G23" s="1869"/>
      <c r="H23" s="1869"/>
      <c r="I23" s="1869"/>
      <c r="J23" s="1869"/>
      <c r="K23" s="1869"/>
      <c r="L23" s="1869"/>
      <c r="M23" s="1869"/>
      <c r="N23" s="1869"/>
      <c r="O23" s="1869"/>
      <c r="P23" s="1869"/>
      <c r="Q23" s="1869"/>
      <c r="R23" s="1912"/>
      <c r="S23" s="1912"/>
      <c r="T23" s="1912"/>
      <c r="U23" s="1912"/>
      <c r="V23" s="1912"/>
      <c r="W23" s="1912"/>
      <c r="X23" s="1912"/>
    </row>
    <row r="24" spans="1:36" x14ac:dyDescent="0.35">
      <c r="A24" s="2631"/>
      <c r="B24" s="1868"/>
      <c r="C24" s="1868"/>
      <c r="D24" s="1869"/>
      <c r="E24" s="1869"/>
      <c r="F24" s="1869"/>
      <c r="G24" s="1869"/>
      <c r="H24" s="1869"/>
      <c r="I24" s="1869"/>
      <c r="J24" s="1869"/>
      <c r="K24" s="1869"/>
      <c r="L24" s="1869"/>
      <c r="M24" s="1869"/>
      <c r="N24" s="1869"/>
      <c r="O24" s="1869"/>
      <c r="P24" s="1869"/>
      <c r="Q24" s="1869"/>
      <c r="R24" s="1912"/>
      <c r="S24" s="1912"/>
      <c r="T24" s="1912"/>
      <c r="U24" s="1912"/>
      <c r="V24" s="1912"/>
      <c r="W24" s="1912"/>
      <c r="X24" s="1912"/>
    </row>
    <row r="25" spans="1:36" x14ac:dyDescent="0.35">
      <c r="A25" s="2631"/>
      <c r="B25" s="1868"/>
      <c r="C25" s="1868"/>
      <c r="D25" s="1869"/>
      <c r="E25" s="1869"/>
      <c r="F25" s="1869"/>
      <c r="G25" s="1869"/>
      <c r="H25" s="1869"/>
      <c r="I25" s="1869"/>
      <c r="J25" s="1869"/>
      <c r="K25" s="1869"/>
      <c r="L25" s="1869"/>
      <c r="M25" s="1869"/>
      <c r="N25" s="1869"/>
      <c r="O25" s="1869"/>
      <c r="P25" s="1869"/>
      <c r="Q25" s="1869"/>
      <c r="R25" s="1912"/>
      <c r="S25" s="1912"/>
      <c r="T25" s="1912"/>
      <c r="U25" s="1912"/>
      <c r="V25" s="1912"/>
      <c r="W25" s="1912"/>
      <c r="X25" s="1912"/>
    </row>
    <row r="26" spans="1:36" x14ac:dyDescent="0.35">
      <c r="A26" s="2631"/>
      <c r="B26" s="1868"/>
      <c r="C26" s="1868"/>
      <c r="D26" s="1869"/>
      <c r="E26" s="1869"/>
      <c r="F26" s="1869"/>
      <c r="G26" s="1869"/>
      <c r="H26" s="1869"/>
      <c r="I26" s="1869"/>
      <c r="J26" s="1869"/>
      <c r="K26" s="1869"/>
      <c r="L26" s="1869"/>
      <c r="M26" s="1869"/>
      <c r="N26" s="1869"/>
      <c r="O26" s="1869"/>
      <c r="P26" s="1869"/>
      <c r="Q26" s="1869"/>
      <c r="R26" s="1912"/>
      <c r="S26" s="1912"/>
      <c r="T26" s="1912"/>
      <c r="U26" s="1912"/>
      <c r="V26" s="1912"/>
      <c r="W26" s="1912"/>
      <c r="X26" s="1912"/>
    </row>
    <row r="27" spans="1:36" x14ac:dyDescent="0.35">
      <c r="A27" s="2631"/>
      <c r="B27" s="1868"/>
      <c r="C27" s="1868"/>
      <c r="D27" s="1869"/>
      <c r="E27" s="1869"/>
      <c r="F27" s="1869"/>
      <c r="G27" s="1869"/>
      <c r="H27" s="1869"/>
      <c r="I27" s="1869"/>
      <c r="J27" s="1869"/>
      <c r="K27" s="1869"/>
      <c r="L27" s="1869"/>
      <c r="M27" s="1869"/>
      <c r="N27" s="1869"/>
      <c r="O27" s="1869"/>
      <c r="P27" s="1869"/>
      <c r="Q27" s="1869"/>
      <c r="R27" s="1912"/>
      <c r="S27" s="1912"/>
      <c r="T27" s="1912"/>
      <c r="U27" s="1912"/>
      <c r="V27" s="1912"/>
      <c r="W27" s="1912"/>
      <c r="X27" s="1912"/>
    </row>
    <row r="28" spans="1:36" x14ac:dyDescent="0.35">
      <c r="A28" s="2631"/>
      <c r="B28" s="1868"/>
      <c r="C28" s="1868"/>
      <c r="D28" s="1869"/>
      <c r="E28" s="1869"/>
      <c r="F28" s="1869"/>
      <c r="G28" s="1869"/>
      <c r="H28" s="1869"/>
      <c r="I28" s="1869"/>
      <c r="J28" s="1869"/>
      <c r="K28" s="1869"/>
      <c r="L28" s="1869"/>
      <c r="M28" s="1869"/>
      <c r="N28" s="1869"/>
      <c r="O28" s="1869"/>
      <c r="P28" s="1869"/>
      <c r="Q28" s="1869"/>
      <c r="R28" s="1912"/>
      <c r="S28" s="1912"/>
      <c r="T28" s="1912"/>
      <c r="U28" s="1912"/>
      <c r="V28" s="1912"/>
      <c r="W28" s="1912"/>
      <c r="X28" s="1912"/>
    </row>
    <row r="29" spans="1:36" x14ac:dyDescent="0.35">
      <c r="A29" s="2631"/>
      <c r="B29" s="1868"/>
      <c r="C29" s="1868"/>
      <c r="D29" s="1869"/>
      <c r="E29" s="1869"/>
      <c r="F29" s="1869"/>
      <c r="G29" s="1869"/>
      <c r="H29" s="1869"/>
      <c r="I29" s="1869"/>
      <c r="J29" s="1869"/>
      <c r="K29" s="1869"/>
      <c r="L29" s="1869"/>
      <c r="M29" s="1869"/>
      <c r="N29" s="1869"/>
      <c r="O29" s="1869"/>
      <c r="P29" s="1869"/>
      <c r="Q29" s="1869"/>
      <c r="R29" s="1912"/>
      <c r="S29" s="1912"/>
      <c r="T29" s="1912"/>
      <c r="U29" s="1912"/>
      <c r="V29" s="1912"/>
      <c r="W29" s="1912"/>
      <c r="X29" s="1912"/>
    </row>
    <row r="30" spans="1:36" x14ac:dyDescent="0.35">
      <c r="A30" s="2631"/>
      <c r="B30" s="1868"/>
      <c r="C30" s="1868"/>
      <c r="D30" s="1869"/>
      <c r="E30" s="1869"/>
      <c r="F30" s="1869"/>
      <c r="G30" s="1869"/>
      <c r="H30" s="1869"/>
      <c r="I30" s="1869"/>
      <c r="J30" s="1869"/>
      <c r="K30" s="1869"/>
      <c r="L30" s="1869"/>
      <c r="M30" s="1869"/>
      <c r="N30" s="1869"/>
      <c r="O30" s="1869"/>
      <c r="P30" s="1869"/>
      <c r="Q30" s="1869"/>
      <c r="R30" s="1912"/>
      <c r="S30" s="1912"/>
      <c r="T30" s="1912"/>
      <c r="U30" s="1912"/>
      <c r="V30" s="1912"/>
      <c r="W30" s="1912"/>
      <c r="X30" s="1912"/>
      <c r="Y30" s="1912"/>
      <c r="Z30" s="1912"/>
      <c r="AA30" s="1912"/>
      <c r="AB30" s="1912"/>
      <c r="AC30" s="1912"/>
      <c r="AD30" s="1912"/>
      <c r="AE30" s="1912"/>
      <c r="AF30" s="1912"/>
      <c r="AG30" s="1912"/>
      <c r="AH30" s="1912"/>
      <c r="AI30" s="1912"/>
      <c r="AJ30" s="1912"/>
    </row>
    <row r="31" spans="1:36" x14ac:dyDescent="0.35">
      <c r="A31" s="2631"/>
      <c r="B31" s="1868"/>
      <c r="C31" s="1868"/>
      <c r="D31" s="1869"/>
      <c r="E31" s="1869"/>
      <c r="F31" s="1869"/>
      <c r="G31" s="1869"/>
      <c r="H31" s="1869"/>
      <c r="I31" s="1869"/>
      <c r="J31" s="1869"/>
      <c r="K31" s="1869"/>
      <c r="L31" s="1869"/>
      <c r="M31" s="1869"/>
      <c r="N31" s="1869"/>
      <c r="O31" s="1869"/>
      <c r="P31" s="1869"/>
      <c r="Q31" s="1869"/>
      <c r="R31" s="1912"/>
      <c r="S31" s="1912"/>
      <c r="T31" s="1912"/>
      <c r="U31" s="1912"/>
      <c r="V31" s="1912"/>
      <c r="W31" s="1912"/>
      <c r="X31" s="1912"/>
      <c r="Y31" s="1912"/>
      <c r="Z31" s="1912"/>
      <c r="AA31" s="1912"/>
      <c r="AB31" s="1912"/>
      <c r="AC31" s="1912"/>
      <c r="AD31" s="1912"/>
      <c r="AE31" s="1912"/>
      <c r="AF31" s="1912"/>
      <c r="AG31" s="1912"/>
      <c r="AH31" s="1912"/>
      <c r="AI31" s="1912"/>
      <c r="AJ31" s="1912"/>
    </row>
    <row r="32" spans="1:36" x14ac:dyDescent="0.35">
      <c r="A32" s="2631"/>
      <c r="B32" s="1868"/>
      <c r="C32" s="1868"/>
      <c r="D32" s="4957" t="s">
        <v>942</v>
      </c>
      <c r="E32" s="4958"/>
      <c r="F32" s="4979">
        <v>2014</v>
      </c>
      <c r="G32" s="4962"/>
      <c r="H32" s="4963">
        <v>2015</v>
      </c>
      <c r="I32" s="4964"/>
      <c r="J32" s="4963">
        <v>2016</v>
      </c>
      <c r="K32" s="4964"/>
      <c r="L32" s="4963" t="s">
        <v>125</v>
      </c>
      <c r="M32" s="4964"/>
      <c r="N32" s="4963" t="s">
        <v>126</v>
      </c>
      <c r="O32" s="4964"/>
      <c r="P32" s="4977" t="s">
        <v>302</v>
      </c>
      <c r="Q32" s="4978"/>
      <c r="R32" s="1912"/>
      <c r="S32" s="1912"/>
      <c r="T32" s="1912"/>
      <c r="U32" s="1912"/>
      <c r="V32" s="1912"/>
      <c r="W32" s="1912"/>
      <c r="X32" s="1912"/>
      <c r="Y32" s="1912"/>
      <c r="Z32" s="1912"/>
      <c r="AA32" s="1912"/>
      <c r="AB32" s="1912"/>
      <c r="AC32" s="1912"/>
      <c r="AD32" s="1912"/>
      <c r="AE32" s="1912"/>
      <c r="AF32" s="1912"/>
      <c r="AG32" s="1912"/>
      <c r="AH32" s="1912"/>
      <c r="AI32" s="1912"/>
      <c r="AJ32" s="1912"/>
    </row>
    <row r="33" spans="1:36" x14ac:dyDescent="0.35">
      <c r="A33" s="2631"/>
      <c r="B33" s="1868"/>
      <c r="C33" s="1868"/>
      <c r="D33" s="4959"/>
      <c r="E33" s="4960"/>
      <c r="F33" s="3227" t="s">
        <v>934</v>
      </c>
      <c r="G33" s="3226" t="s">
        <v>939</v>
      </c>
      <c r="H33" s="3227" t="s">
        <v>934</v>
      </c>
      <c r="I33" s="3226" t="s">
        <v>939</v>
      </c>
      <c r="J33" s="3227" t="s">
        <v>1315</v>
      </c>
      <c r="K33" s="3226" t="s">
        <v>939</v>
      </c>
      <c r="L33" s="3227" t="s">
        <v>1318</v>
      </c>
      <c r="M33" s="3227" t="s">
        <v>1319</v>
      </c>
      <c r="N33" s="3227" t="s">
        <v>1320</v>
      </c>
      <c r="O33" s="3227" t="s">
        <v>1321</v>
      </c>
      <c r="P33" s="4530" t="s">
        <v>1322</v>
      </c>
      <c r="Q33" s="4530" t="s">
        <v>1323</v>
      </c>
      <c r="R33" s="2128"/>
      <c r="S33" s="1912"/>
      <c r="T33" s="1912"/>
      <c r="U33" s="1912"/>
      <c r="V33" s="1912"/>
      <c r="W33" s="1912"/>
      <c r="X33" s="1912"/>
      <c r="Y33" s="1912"/>
      <c r="Z33" s="1912"/>
      <c r="AA33" s="1912"/>
      <c r="AB33" s="1912"/>
      <c r="AC33" s="1912"/>
      <c r="AD33" s="1912"/>
      <c r="AE33" s="1912"/>
      <c r="AF33" s="1912"/>
      <c r="AG33" s="1912"/>
      <c r="AH33" s="1912"/>
      <c r="AI33" s="1912"/>
      <c r="AJ33" s="1912"/>
    </row>
    <row r="34" spans="1:36" x14ac:dyDescent="0.35">
      <c r="A34" s="2631"/>
      <c r="B34" s="1868"/>
      <c r="C34" s="1868"/>
      <c r="D34" s="4952" t="s">
        <v>402</v>
      </c>
      <c r="E34" s="4952"/>
      <c r="F34" s="3229">
        <v>41.9</v>
      </c>
      <c r="G34" s="3230">
        <v>38.299999999999997</v>
      </c>
      <c r="H34" s="3229">
        <v>38.700000000000003</v>
      </c>
      <c r="I34" s="3230">
        <v>31.9</v>
      </c>
      <c r="J34" s="3234">
        <v>23.6</v>
      </c>
      <c r="K34" s="3274">
        <v>30</v>
      </c>
      <c r="L34" s="3235">
        <v>22</v>
      </c>
      <c r="M34" s="3236">
        <v>45</v>
      </c>
      <c r="N34" s="3235">
        <v>33</v>
      </c>
      <c r="O34" s="3236">
        <v>38</v>
      </c>
      <c r="P34" s="4531">
        <v>34</v>
      </c>
      <c r="Q34" s="4534">
        <v>48</v>
      </c>
      <c r="R34" s="1912"/>
      <c r="S34" s="1912"/>
      <c r="T34" s="1912"/>
      <c r="U34" s="1912"/>
      <c r="V34" s="1912"/>
      <c r="W34" s="1912"/>
      <c r="X34" s="1912"/>
      <c r="Y34" s="1912"/>
      <c r="Z34" s="1912"/>
      <c r="AA34" s="1912"/>
      <c r="AB34" s="1912"/>
      <c r="AC34" s="1912"/>
      <c r="AD34" s="1912"/>
      <c r="AE34" s="1912"/>
      <c r="AF34" s="1912"/>
      <c r="AG34" s="1912"/>
      <c r="AH34" s="1912"/>
      <c r="AI34" s="1912"/>
      <c r="AJ34" s="1912"/>
    </row>
    <row r="35" spans="1:36" x14ac:dyDescent="0.35">
      <c r="A35" s="2631"/>
      <c r="B35" s="1868"/>
      <c r="C35" s="1868"/>
      <c r="D35" s="4952" t="s">
        <v>404</v>
      </c>
      <c r="E35" s="4952"/>
      <c r="F35" s="3238">
        <v>52</v>
      </c>
      <c r="G35" s="3239">
        <v>50.4</v>
      </c>
      <c r="H35" s="3238">
        <v>36.299999999999997</v>
      </c>
      <c r="I35" s="3239">
        <v>25.3</v>
      </c>
      <c r="J35" s="3234">
        <v>19.7</v>
      </c>
      <c r="K35" s="3274">
        <v>16.47</v>
      </c>
      <c r="L35" s="3235">
        <v>41</v>
      </c>
      <c r="M35" s="3236">
        <v>32</v>
      </c>
      <c r="N35" s="3235">
        <v>45</v>
      </c>
      <c r="O35" s="3236">
        <v>44</v>
      </c>
      <c r="P35" s="4532">
        <v>34</v>
      </c>
      <c r="Q35" s="4535">
        <v>34</v>
      </c>
      <c r="R35" s="1912"/>
      <c r="S35" s="1912"/>
      <c r="T35" s="1912"/>
      <c r="U35" s="1912"/>
      <c r="V35" s="1912"/>
      <c r="W35" s="1912"/>
      <c r="X35" s="1912"/>
      <c r="Y35" s="1912"/>
      <c r="Z35" s="1912"/>
      <c r="AA35" s="1912"/>
      <c r="AB35" s="1912"/>
      <c r="AC35" s="1912"/>
      <c r="AD35" s="1912"/>
      <c r="AE35" s="1912"/>
      <c r="AF35" s="1912"/>
      <c r="AG35" s="1912"/>
      <c r="AH35" s="1912"/>
      <c r="AI35" s="1912"/>
      <c r="AJ35" s="1912"/>
    </row>
    <row r="36" spans="1:36" x14ac:dyDescent="0.35">
      <c r="A36" s="2631"/>
      <c r="B36" s="1868"/>
      <c r="C36" s="1868"/>
      <c r="D36" s="4952" t="s">
        <v>407</v>
      </c>
      <c r="E36" s="4952"/>
      <c r="F36" s="3238">
        <v>43.8</v>
      </c>
      <c r="G36" s="3239">
        <v>44.6</v>
      </c>
      <c r="H36" s="3238">
        <v>50.8</v>
      </c>
      <c r="I36" s="3239">
        <v>41.8</v>
      </c>
      <c r="J36" s="3234">
        <v>35.9</v>
      </c>
      <c r="K36" s="3274">
        <v>34.619999999999997</v>
      </c>
      <c r="L36" s="3235">
        <v>33</v>
      </c>
      <c r="M36" s="3236">
        <v>42</v>
      </c>
      <c r="N36" s="3235">
        <v>36</v>
      </c>
      <c r="O36" s="3236">
        <v>39</v>
      </c>
      <c r="P36" s="4532">
        <v>33</v>
      </c>
      <c r="Q36" s="4535">
        <v>44</v>
      </c>
      <c r="R36" s="1912"/>
      <c r="S36" s="1912"/>
      <c r="T36" s="1912"/>
      <c r="U36" s="1912"/>
      <c r="V36" s="1912"/>
      <c r="W36" s="1912"/>
      <c r="X36" s="1912"/>
      <c r="Y36" s="1912"/>
      <c r="Z36" s="1912"/>
      <c r="AA36" s="1912"/>
      <c r="AB36" s="1912"/>
      <c r="AC36" s="1912"/>
      <c r="AD36" s="1912"/>
      <c r="AE36" s="1912"/>
      <c r="AF36" s="1912"/>
      <c r="AG36" s="1912"/>
      <c r="AH36" s="1912"/>
      <c r="AI36" s="1912"/>
      <c r="AJ36" s="1912"/>
    </row>
    <row r="37" spans="1:36" x14ac:dyDescent="0.35">
      <c r="A37" s="2631"/>
      <c r="B37" s="1868"/>
      <c r="C37" s="1868"/>
      <c r="D37" s="4952" t="s">
        <v>1324</v>
      </c>
      <c r="E37" s="4952"/>
      <c r="F37" s="3238">
        <v>47.7</v>
      </c>
      <c r="G37" s="3239">
        <v>54.3</v>
      </c>
      <c r="H37" s="3238">
        <v>36.6</v>
      </c>
      <c r="I37" s="3239">
        <v>40.200000000000003</v>
      </c>
      <c r="J37" s="3234">
        <v>33.799999999999997</v>
      </c>
      <c r="K37" s="3274">
        <v>32.51</v>
      </c>
      <c r="L37" s="3235">
        <v>23</v>
      </c>
      <c r="M37" s="3236">
        <v>50</v>
      </c>
      <c r="N37" s="3235">
        <v>35</v>
      </c>
      <c r="O37" s="3236">
        <v>54</v>
      </c>
      <c r="P37" s="4532">
        <v>39</v>
      </c>
      <c r="Q37" s="4535">
        <v>43</v>
      </c>
      <c r="R37" s="1912"/>
      <c r="S37" s="1912"/>
      <c r="T37" s="1912"/>
      <c r="U37" s="1912"/>
      <c r="V37" s="1912"/>
      <c r="W37" s="1912"/>
      <c r="X37" s="1912"/>
      <c r="Y37" s="1912"/>
      <c r="Z37" s="1912"/>
      <c r="AA37" s="1912"/>
      <c r="AB37" s="1912"/>
      <c r="AC37" s="1912"/>
      <c r="AD37" s="1912"/>
      <c r="AE37" s="1912"/>
      <c r="AF37" s="1912"/>
      <c r="AG37" s="1912"/>
      <c r="AH37" s="1912"/>
      <c r="AI37" s="1912"/>
      <c r="AJ37" s="1912"/>
    </row>
    <row r="38" spans="1:36" x14ac:dyDescent="0.35">
      <c r="A38" s="2631"/>
      <c r="B38" s="1868"/>
      <c r="C38" s="1868"/>
      <c r="D38" s="4954" t="s">
        <v>409</v>
      </c>
      <c r="E38" s="4954"/>
      <c r="F38" s="3238">
        <v>44.6</v>
      </c>
      <c r="G38" s="3239">
        <v>34.5</v>
      </c>
      <c r="H38" s="3238">
        <v>46.4</v>
      </c>
      <c r="I38" s="3239">
        <v>39.1</v>
      </c>
      <c r="J38" s="3234">
        <v>18</v>
      </c>
      <c r="K38" s="3274">
        <v>33.979999999999997</v>
      </c>
      <c r="L38" s="3235">
        <v>39</v>
      </c>
      <c r="M38" s="3236">
        <v>61</v>
      </c>
      <c r="N38" s="3235">
        <v>48</v>
      </c>
      <c r="O38" s="3236">
        <v>56</v>
      </c>
      <c r="P38" s="4532">
        <v>50</v>
      </c>
      <c r="Q38" s="4535">
        <v>52</v>
      </c>
      <c r="R38" s="1912"/>
      <c r="S38" s="1912"/>
      <c r="T38" s="1912"/>
      <c r="U38" s="1912"/>
      <c r="V38" s="1912"/>
      <c r="W38" s="1912"/>
      <c r="X38" s="1912"/>
      <c r="Y38" s="1912"/>
      <c r="Z38" s="1912"/>
      <c r="AA38" s="1912"/>
      <c r="AB38" s="1912"/>
      <c r="AC38" s="1912"/>
      <c r="AD38" s="1912"/>
      <c r="AE38" s="1912"/>
      <c r="AF38" s="1912"/>
      <c r="AG38" s="1912"/>
      <c r="AH38" s="1912"/>
      <c r="AI38" s="1912"/>
      <c r="AJ38" s="1912"/>
    </row>
    <row r="39" spans="1:36" x14ac:dyDescent="0.35">
      <c r="A39" s="2631"/>
      <c r="B39" s="1868"/>
      <c r="C39" s="1868"/>
      <c r="D39" s="4952" t="s">
        <v>408</v>
      </c>
      <c r="E39" s="4952"/>
      <c r="F39" s="3238">
        <v>47.6</v>
      </c>
      <c r="G39" s="3239">
        <v>48.3</v>
      </c>
      <c r="H39" s="3238">
        <v>39.1</v>
      </c>
      <c r="I39" s="3239">
        <v>38</v>
      </c>
      <c r="J39" s="3234">
        <v>30.5</v>
      </c>
      <c r="K39" s="3274">
        <v>26.57</v>
      </c>
      <c r="L39" s="3235">
        <v>39</v>
      </c>
      <c r="M39" s="3236">
        <v>48</v>
      </c>
      <c r="N39" s="3235">
        <v>47</v>
      </c>
      <c r="O39" s="3236">
        <v>48</v>
      </c>
      <c r="P39" s="4532">
        <v>40</v>
      </c>
      <c r="Q39" s="4535">
        <v>45</v>
      </c>
      <c r="R39" s="1912"/>
      <c r="S39" s="1912"/>
      <c r="T39" s="1912"/>
      <c r="U39" s="1912"/>
      <c r="V39" s="1912"/>
      <c r="W39" s="1912"/>
      <c r="X39" s="1912"/>
      <c r="Y39" s="1912"/>
      <c r="Z39" s="1912"/>
      <c r="AA39" s="1912"/>
      <c r="AB39" s="1912"/>
      <c r="AC39" s="1912"/>
      <c r="AD39" s="1912"/>
      <c r="AE39" s="1912"/>
      <c r="AF39" s="1912"/>
      <c r="AG39" s="1912"/>
      <c r="AH39" s="1912"/>
      <c r="AI39" s="1912"/>
      <c r="AJ39" s="1912"/>
    </row>
    <row r="40" spans="1:36" x14ac:dyDescent="0.35">
      <c r="A40" s="2631"/>
      <c r="B40" s="1868"/>
      <c r="C40" s="1868"/>
      <c r="D40" s="4952" t="s">
        <v>406</v>
      </c>
      <c r="E40" s="4952"/>
      <c r="F40" s="3238">
        <v>43.5</v>
      </c>
      <c r="G40" s="3239">
        <v>54.9</v>
      </c>
      <c r="H40" s="3238">
        <v>36.299999999999997</v>
      </c>
      <c r="I40" s="3239">
        <v>51.5</v>
      </c>
      <c r="J40" s="3234">
        <v>23.3</v>
      </c>
      <c r="K40" s="3274">
        <v>18.11</v>
      </c>
      <c r="L40" s="3235">
        <v>35</v>
      </c>
      <c r="M40" s="3236">
        <v>47</v>
      </c>
      <c r="N40" s="3235">
        <v>46</v>
      </c>
      <c r="O40" s="3236">
        <v>53</v>
      </c>
      <c r="P40" s="4532">
        <v>46</v>
      </c>
      <c r="Q40" s="4535">
        <v>38</v>
      </c>
      <c r="R40" s="1912"/>
      <c r="S40" s="1912"/>
      <c r="T40" s="1912"/>
      <c r="U40" s="1912"/>
      <c r="V40" s="1912"/>
      <c r="W40" s="1912"/>
      <c r="X40" s="1912"/>
      <c r="Y40" s="1912"/>
      <c r="Z40" s="1912"/>
      <c r="AA40" s="1912"/>
      <c r="AB40" s="1912"/>
      <c r="AC40" s="1912"/>
      <c r="AD40" s="1912"/>
      <c r="AE40" s="1912"/>
      <c r="AF40" s="1912"/>
      <c r="AG40" s="1912"/>
      <c r="AH40" s="1912"/>
      <c r="AI40" s="1912"/>
      <c r="AJ40" s="1912"/>
    </row>
    <row r="41" spans="1:36" x14ac:dyDescent="0.35">
      <c r="A41" s="2631"/>
      <c r="B41" s="1868"/>
      <c r="C41" s="1868"/>
      <c r="D41" s="4952" t="s">
        <v>403</v>
      </c>
      <c r="E41" s="4952"/>
      <c r="F41" s="3238">
        <v>42</v>
      </c>
      <c r="G41" s="3239">
        <v>45.5</v>
      </c>
      <c r="H41" s="3238">
        <v>32.700000000000003</v>
      </c>
      <c r="I41" s="3239">
        <v>29.6</v>
      </c>
      <c r="J41" s="3275">
        <v>7.2</v>
      </c>
      <c r="K41" s="3274">
        <v>27.04</v>
      </c>
      <c r="L41" s="3235">
        <v>35</v>
      </c>
      <c r="M41" s="3236">
        <v>34</v>
      </c>
      <c r="N41" s="3235">
        <v>43</v>
      </c>
      <c r="O41" s="3236">
        <v>48</v>
      </c>
      <c r="P41" s="4532">
        <v>34</v>
      </c>
      <c r="Q41" s="4535">
        <v>37</v>
      </c>
      <c r="R41" s="1912"/>
      <c r="S41" s="1912"/>
      <c r="T41" s="1912"/>
      <c r="U41" s="1912"/>
      <c r="V41" s="1912"/>
      <c r="W41" s="1912"/>
      <c r="X41" s="1912"/>
      <c r="Y41" s="1912"/>
      <c r="Z41" s="1912"/>
      <c r="AA41" s="1912"/>
      <c r="AB41" s="1912"/>
      <c r="AC41" s="1912"/>
      <c r="AD41" s="1912"/>
      <c r="AE41" s="1912"/>
      <c r="AF41" s="1912"/>
      <c r="AG41" s="1912"/>
      <c r="AH41" s="1912"/>
      <c r="AI41" s="1912"/>
      <c r="AJ41" s="1912"/>
    </row>
    <row r="42" spans="1:36" x14ac:dyDescent="0.35">
      <c r="A42" s="2631"/>
      <c r="B42" s="1868"/>
      <c r="C42" s="1868"/>
      <c r="D42" s="4952" t="s">
        <v>401</v>
      </c>
      <c r="E42" s="4952"/>
      <c r="F42" s="3244">
        <v>29.9</v>
      </c>
      <c r="G42" s="3245">
        <v>44.9</v>
      </c>
      <c r="H42" s="3244">
        <v>32.1</v>
      </c>
      <c r="I42" s="3245">
        <v>27.3</v>
      </c>
      <c r="J42" s="3244">
        <v>23.1</v>
      </c>
      <c r="K42" s="3276">
        <v>21.75</v>
      </c>
      <c r="L42" s="3249">
        <v>27</v>
      </c>
      <c r="M42" s="3250">
        <v>32</v>
      </c>
      <c r="N42" s="3249">
        <v>34</v>
      </c>
      <c r="O42" s="3250">
        <v>36</v>
      </c>
      <c r="P42" s="4533">
        <v>33</v>
      </c>
      <c r="Q42" s="4536">
        <v>32</v>
      </c>
      <c r="R42" s="1912"/>
      <c r="S42" s="1912"/>
      <c r="T42" s="1912"/>
      <c r="U42" s="1912"/>
      <c r="V42" s="1912"/>
      <c r="W42" s="1912"/>
      <c r="X42" s="1912"/>
      <c r="Y42" s="1912"/>
      <c r="Z42" s="1912"/>
      <c r="AA42" s="1912"/>
      <c r="AB42" s="1912"/>
      <c r="AC42" s="1912"/>
      <c r="AD42" s="1912"/>
      <c r="AE42" s="1912"/>
      <c r="AF42" s="1912"/>
      <c r="AG42" s="1912"/>
      <c r="AH42" s="1912"/>
      <c r="AI42" s="1912"/>
      <c r="AJ42" s="1912"/>
    </row>
    <row r="43" spans="1:36" x14ac:dyDescent="0.35">
      <c r="A43" s="2631"/>
      <c r="B43" s="1868"/>
      <c r="C43" s="1868"/>
      <c r="D43" s="1869"/>
      <c r="E43" s="1869"/>
      <c r="F43" s="1869"/>
      <c r="G43" s="1869"/>
      <c r="H43" s="1869"/>
      <c r="I43" s="1869"/>
      <c r="J43" s="1869"/>
      <c r="K43" s="1869"/>
      <c r="L43" s="1869"/>
      <c r="M43" s="1869"/>
      <c r="N43" s="1869"/>
      <c r="O43" s="1869"/>
      <c r="P43" s="1869"/>
      <c r="Q43" s="1869"/>
      <c r="R43" s="1912"/>
      <c r="S43" s="1912"/>
      <c r="T43" s="1912"/>
      <c r="U43" s="1912"/>
      <c r="V43" s="1912"/>
      <c r="W43" s="1912"/>
      <c r="X43" s="1912"/>
      <c r="Y43" s="1912"/>
      <c r="Z43" s="1912"/>
      <c r="AA43" s="1912"/>
      <c r="AB43" s="1912"/>
      <c r="AC43" s="1912"/>
      <c r="AD43" s="1912"/>
      <c r="AE43" s="1912"/>
      <c r="AF43" s="1912"/>
      <c r="AG43" s="1912"/>
      <c r="AH43" s="1912"/>
      <c r="AI43" s="1912"/>
      <c r="AJ43" s="1912"/>
    </row>
    <row r="44" spans="1:36" x14ac:dyDescent="0.35">
      <c r="A44" s="2631"/>
      <c r="B44" s="1868"/>
      <c r="C44" s="1868"/>
      <c r="D44" s="1869"/>
      <c r="E44" s="1869"/>
      <c r="F44" s="1869"/>
      <c r="G44" s="1869"/>
      <c r="H44" s="1869"/>
      <c r="I44" s="1869"/>
      <c r="J44" s="1869"/>
      <c r="K44" s="1869"/>
      <c r="L44" s="1869"/>
      <c r="M44" s="1869"/>
      <c r="N44" s="1869"/>
      <c r="O44" s="1869"/>
      <c r="P44" s="1869"/>
      <c r="Q44" s="1869"/>
      <c r="R44" s="1912"/>
      <c r="S44" s="1912"/>
      <c r="T44" s="1912"/>
      <c r="U44" s="1912"/>
      <c r="V44" s="1912"/>
      <c r="W44" s="1912"/>
      <c r="X44" s="1912"/>
      <c r="Y44" s="1912"/>
      <c r="Z44" s="1912"/>
      <c r="AA44" s="1912"/>
      <c r="AB44" s="1912"/>
      <c r="AC44" s="1912"/>
      <c r="AD44" s="1912"/>
      <c r="AE44" s="1912"/>
      <c r="AF44" s="1912"/>
      <c r="AG44" s="1912"/>
      <c r="AH44" s="1912"/>
      <c r="AI44" s="1912"/>
      <c r="AJ44" s="1912"/>
    </row>
    <row r="45" spans="1:36" x14ac:dyDescent="0.35">
      <c r="A45" s="870">
        <v>7</v>
      </c>
      <c r="B45" s="870" t="s">
        <v>58</v>
      </c>
      <c r="C45" s="870"/>
      <c r="D45" s="4642" t="s">
        <v>363</v>
      </c>
      <c r="E45" s="4643"/>
      <c r="F45" s="4643"/>
      <c r="G45" s="4643"/>
      <c r="H45" s="4643"/>
      <c r="I45" s="4643"/>
      <c r="J45" s="4643"/>
      <c r="K45" s="4643"/>
      <c r="L45" s="4643"/>
      <c r="M45" s="4643"/>
      <c r="N45" s="4643"/>
      <c r="O45" s="4643"/>
      <c r="P45" s="4643"/>
      <c r="Q45" s="4643"/>
      <c r="R45" s="4643"/>
      <c r="S45" s="4643"/>
      <c r="T45" s="4643"/>
      <c r="U45" s="4643"/>
      <c r="V45" s="4643"/>
      <c r="W45" s="4644"/>
      <c r="X45" s="1912"/>
      <c r="Y45" s="1912"/>
      <c r="Z45" s="1912"/>
      <c r="AA45" s="1912"/>
      <c r="AB45" s="1912"/>
      <c r="AC45" s="1912"/>
      <c r="AD45" s="1912"/>
      <c r="AE45" s="1912"/>
      <c r="AF45" s="1912"/>
      <c r="AG45" s="1912"/>
      <c r="AH45" s="1912"/>
      <c r="AI45" s="1912"/>
      <c r="AJ45" s="1912"/>
    </row>
    <row r="46" spans="1:36" ht="12.75" customHeight="1" x14ac:dyDescent="0.35">
      <c r="A46" s="819">
        <v>8</v>
      </c>
      <c r="B46" s="819" t="s">
        <v>60</v>
      </c>
      <c r="C46" s="819"/>
      <c r="D46" s="4642" t="s">
        <v>1332</v>
      </c>
      <c r="E46" s="4643"/>
      <c r="F46" s="4643"/>
      <c r="G46" s="4643"/>
      <c r="H46" s="4643"/>
      <c r="I46" s="4643"/>
      <c r="J46" s="4643"/>
      <c r="K46" s="4643"/>
      <c r="L46" s="4643"/>
      <c r="M46" s="4643"/>
      <c r="N46" s="4643"/>
      <c r="O46" s="4643"/>
      <c r="P46" s="4643"/>
      <c r="Q46" s="4643"/>
      <c r="R46" s="4643"/>
      <c r="S46" s="4643"/>
      <c r="T46" s="4643"/>
      <c r="U46" s="4643"/>
      <c r="V46" s="4643"/>
      <c r="W46" s="4644"/>
      <c r="X46" s="1912"/>
      <c r="Y46" s="1912"/>
      <c r="Z46" s="1912"/>
      <c r="AA46" s="1912"/>
      <c r="AB46" s="1912"/>
      <c r="AC46" s="1912"/>
      <c r="AD46" s="1912"/>
      <c r="AE46" s="1912"/>
      <c r="AF46" s="1912"/>
      <c r="AG46" s="1912"/>
      <c r="AH46" s="1912"/>
      <c r="AI46" s="1912"/>
      <c r="AJ46" s="1912"/>
    </row>
    <row r="47" spans="1:36" ht="16.5" customHeight="1" x14ac:dyDescent="0.35">
      <c r="A47" s="870">
        <v>9</v>
      </c>
      <c r="B47" s="819" t="s">
        <v>62</v>
      </c>
      <c r="C47" s="1868"/>
      <c r="D47" s="4642" t="s">
        <v>1326</v>
      </c>
      <c r="E47" s="4643"/>
      <c r="F47" s="4643"/>
      <c r="G47" s="4643"/>
      <c r="H47" s="4643"/>
      <c r="I47" s="4643"/>
      <c r="J47" s="4643"/>
      <c r="K47" s="4643"/>
      <c r="L47" s="4643"/>
      <c r="M47" s="4643"/>
      <c r="N47" s="4643"/>
      <c r="O47" s="4643"/>
      <c r="P47" s="4643"/>
      <c r="Q47" s="4643"/>
      <c r="R47" s="4643"/>
      <c r="S47" s="4643"/>
      <c r="T47" s="4643"/>
      <c r="U47" s="4643"/>
      <c r="V47" s="4643"/>
      <c r="W47" s="4644"/>
      <c r="X47" s="1912"/>
      <c r="Y47" s="1912"/>
      <c r="Z47" s="1912"/>
      <c r="AA47" s="1912"/>
      <c r="AB47" s="1912"/>
      <c r="AC47" s="1912"/>
      <c r="AD47" s="1912"/>
      <c r="AE47" s="1912"/>
      <c r="AF47" s="1912"/>
      <c r="AG47" s="1912"/>
      <c r="AH47" s="1912"/>
      <c r="AI47" s="1912"/>
      <c r="AJ47" s="1912"/>
    </row>
    <row r="48" spans="1:36" ht="83.25" customHeight="1" x14ac:dyDescent="0.35">
      <c r="A48" s="819">
        <v>10</v>
      </c>
      <c r="B48" s="819" t="s">
        <v>278</v>
      </c>
      <c r="D48" s="4642" t="s">
        <v>1333</v>
      </c>
      <c r="E48" s="4643"/>
      <c r="F48" s="4643"/>
      <c r="G48" s="4643"/>
      <c r="H48" s="4643"/>
      <c r="I48" s="4643"/>
      <c r="J48" s="4643"/>
      <c r="K48" s="4643"/>
      <c r="L48" s="4643"/>
      <c r="M48" s="4643"/>
      <c r="N48" s="4643"/>
      <c r="O48" s="4643"/>
      <c r="P48" s="4643"/>
      <c r="Q48" s="4643"/>
      <c r="R48" s="4643"/>
      <c r="S48" s="4643"/>
      <c r="T48" s="4643"/>
      <c r="U48" s="4643"/>
      <c r="V48" s="4643"/>
      <c r="W48" s="4644"/>
      <c r="X48" s="1912"/>
      <c r="Y48" s="1912"/>
      <c r="Z48" s="1912"/>
      <c r="AA48" s="1912"/>
      <c r="AB48" s="1912"/>
      <c r="AC48" s="1912"/>
      <c r="AD48" s="1912"/>
      <c r="AE48" s="1912"/>
      <c r="AF48" s="1912"/>
      <c r="AG48" s="1912"/>
      <c r="AH48" s="1912"/>
      <c r="AI48" s="1912"/>
      <c r="AJ48" s="1912"/>
    </row>
    <row r="49" spans="7:36" x14ac:dyDescent="0.35">
      <c r="V49" s="1912"/>
      <c r="W49" s="1912"/>
      <c r="X49" s="1912"/>
      <c r="Y49" s="1912"/>
      <c r="Z49" s="1912"/>
      <c r="AA49" s="1912"/>
      <c r="AB49" s="1912"/>
      <c r="AC49" s="1912"/>
      <c r="AD49" s="1912"/>
      <c r="AE49" s="1912"/>
      <c r="AF49" s="1912"/>
      <c r="AG49" s="1912"/>
      <c r="AH49" s="1912"/>
      <c r="AI49" s="1912"/>
      <c r="AJ49" s="1912"/>
    </row>
    <row r="50" spans="7:36" x14ac:dyDescent="0.35">
      <c r="V50" s="1912"/>
      <c r="W50" s="1912"/>
      <c r="X50" s="1912"/>
      <c r="Y50" s="1912"/>
      <c r="Z50" s="1912"/>
      <c r="AA50" s="1912"/>
      <c r="AB50" s="1912"/>
      <c r="AC50" s="1912"/>
      <c r="AD50" s="1912"/>
      <c r="AE50" s="1912"/>
      <c r="AF50" s="1912"/>
      <c r="AG50" s="1912"/>
      <c r="AH50" s="1912"/>
      <c r="AI50" s="1912"/>
      <c r="AJ50" s="1912"/>
    </row>
    <row r="58" spans="7:36" x14ac:dyDescent="0.35">
      <c r="G58" s="3277"/>
    </row>
    <row r="73" spans="4:44" x14ac:dyDescent="0.35">
      <c r="D73" s="3278"/>
      <c r="E73" s="4973">
        <v>2000</v>
      </c>
      <c r="F73" s="4972"/>
      <c r="G73" s="4971">
        <v>2001</v>
      </c>
      <c r="H73" s="4972"/>
      <c r="I73" s="4971">
        <v>2002</v>
      </c>
      <c r="J73" s="4972"/>
      <c r="K73" s="4971">
        <v>2003</v>
      </c>
      <c r="L73" s="4972"/>
      <c r="M73" s="4971">
        <v>2004</v>
      </c>
      <c r="N73" s="4972"/>
      <c r="O73" s="4971">
        <v>2005</v>
      </c>
      <c r="P73" s="4972"/>
      <c r="Q73" s="4971">
        <v>2006</v>
      </c>
      <c r="R73" s="4972"/>
      <c r="S73" s="4971">
        <v>2007</v>
      </c>
      <c r="T73" s="4972"/>
      <c r="U73" s="4971">
        <v>2008</v>
      </c>
      <c r="V73" s="4972"/>
      <c r="W73" s="4971" t="s">
        <v>23</v>
      </c>
      <c r="X73" s="4972"/>
      <c r="Y73" s="4971">
        <v>2010</v>
      </c>
      <c r="Z73" s="4972"/>
      <c r="AA73" s="4971">
        <v>2011</v>
      </c>
      <c r="AB73" s="4972"/>
      <c r="AC73" s="4971">
        <v>2012</v>
      </c>
      <c r="AD73" s="4972"/>
      <c r="AE73" s="4971">
        <v>2013</v>
      </c>
      <c r="AF73" s="4972"/>
      <c r="AG73" s="4971">
        <v>2014</v>
      </c>
      <c r="AH73" s="4972"/>
      <c r="AI73" s="4973">
        <v>2015</v>
      </c>
      <c r="AJ73" s="4974"/>
      <c r="AK73" s="3279">
        <v>2016</v>
      </c>
      <c r="AL73" s="3280"/>
      <c r="AM73" s="3279" t="s">
        <v>125</v>
      </c>
      <c r="AN73" s="3280"/>
      <c r="AO73" s="3279" t="s">
        <v>126</v>
      </c>
      <c r="AP73" s="3280"/>
      <c r="AQ73" s="4975" t="s">
        <v>302</v>
      </c>
      <c r="AR73" s="4976"/>
    </row>
    <row r="74" spans="4:44" x14ac:dyDescent="0.35">
      <c r="D74" s="3281"/>
      <c r="E74" s="3282" t="s">
        <v>1315</v>
      </c>
      <c r="F74" s="3283" t="s">
        <v>939</v>
      </c>
      <c r="G74" s="3284" t="s">
        <v>1315</v>
      </c>
      <c r="H74" s="3283" t="s">
        <v>939</v>
      </c>
      <c r="I74" s="3284" t="s">
        <v>1315</v>
      </c>
      <c r="J74" s="3283" t="s">
        <v>939</v>
      </c>
      <c r="K74" s="3284" t="s">
        <v>1315</v>
      </c>
      <c r="L74" s="3285" t="s">
        <v>939</v>
      </c>
      <c r="M74" s="3284" t="s">
        <v>1315</v>
      </c>
      <c r="N74" s="3283" t="s">
        <v>939</v>
      </c>
      <c r="O74" s="3284" t="s">
        <v>1315</v>
      </c>
      <c r="P74" s="3283" t="s">
        <v>939</v>
      </c>
      <c r="Q74" s="3284" t="s">
        <v>1315</v>
      </c>
      <c r="R74" s="3283" t="s">
        <v>939</v>
      </c>
      <c r="S74" s="3284" t="s">
        <v>1315</v>
      </c>
      <c r="T74" s="3283" t="s">
        <v>939</v>
      </c>
      <c r="U74" s="1622" t="s">
        <v>934</v>
      </c>
      <c r="V74" s="3283" t="s">
        <v>939</v>
      </c>
      <c r="W74" s="1622" t="s">
        <v>934</v>
      </c>
      <c r="X74" s="3283" t="s">
        <v>1334</v>
      </c>
      <c r="Y74" s="1622" t="s">
        <v>1315</v>
      </c>
      <c r="Z74" s="3283" t="s">
        <v>939</v>
      </c>
      <c r="AA74" s="1622" t="s">
        <v>934</v>
      </c>
      <c r="AB74" s="3283" t="s">
        <v>1334</v>
      </c>
      <c r="AC74" s="1622" t="s">
        <v>934</v>
      </c>
      <c r="AD74" s="3283" t="s">
        <v>1334</v>
      </c>
      <c r="AE74" s="1622" t="s">
        <v>934</v>
      </c>
      <c r="AF74" s="3283" t="s">
        <v>1334</v>
      </c>
      <c r="AG74" s="1622" t="s">
        <v>934</v>
      </c>
      <c r="AH74" s="3283" t="s">
        <v>1334</v>
      </c>
      <c r="AI74" s="3286" t="s">
        <v>934</v>
      </c>
      <c r="AJ74" s="2139" t="s">
        <v>1334</v>
      </c>
      <c r="AK74" s="3287" t="s">
        <v>934</v>
      </c>
      <c r="AL74" s="2139" t="s">
        <v>1334</v>
      </c>
      <c r="AM74" s="3287" t="s">
        <v>1318</v>
      </c>
      <c r="AN74" s="2139" t="s">
        <v>1319</v>
      </c>
      <c r="AO74" s="3287" t="s">
        <v>1320</v>
      </c>
      <c r="AP74" s="2139" t="s">
        <v>1321</v>
      </c>
      <c r="AQ74" s="3288" t="s">
        <v>1322</v>
      </c>
      <c r="AR74" s="3289" t="s">
        <v>1323</v>
      </c>
    </row>
    <row r="75" spans="4:44" x14ac:dyDescent="0.35">
      <c r="D75" s="3290" t="s">
        <v>1335</v>
      </c>
      <c r="E75" s="3291">
        <v>74</v>
      </c>
      <c r="F75" s="3217">
        <v>69</v>
      </c>
      <c r="G75" s="2491">
        <v>40</v>
      </c>
      <c r="H75" s="2136">
        <v>40</v>
      </c>
      <c r="I75" s="1272">
        <v>43</v>
      </c>
      <c r="J75" s="2136">
        <v>44</v>
      </c>
      <c r="K75" s="2160">
        <v>47.9</v>
      </c>
      <c r="L75" s="3218">
        <v>50.8</v>
      </c>
      <c r="M75" s="2160">
        <v>60.4</v>
      </c>
      <c r="N75" s="3218">
        <v>59.4</v>
      </c>
      <c r="O75" s="3292">
        <v>59.7</v>
      </c>
      <c r="P75" s="3218">
        <v>58.6</v>
      </c>
      <c r="Q75" s="2160">
        <v>60.3</v>
      </c>
      <c r="R75" s="3218">
        <v>58.1</v>
      </c>
      <c r="S75" s="2160">
        <v>57</v>
      </c>
      <c r="T75" s="3218">
        <v>54.9</v>
      </c>
      <c r="U75" s="2160">
        <v>48.5</v>
      </c>
      <c r="V75" s="3218">
        <v>50</v>
      </c>
      <c r="W75" s="2160">
        <v>48.5</v>
      </c>
      <c r="X75" s="3218">
        <v>57</v>
      </c>
      <c r="Y75" s="2160">
        <v>46</v>
      </c>
      <c r="Z75" s="3218">
        <v>54</v>
      </c>
      <c r="AA75" s="2160">
        <v>48</v>
      </c>
      <c r="AB75" s="3218">
        <v>40.200000000000003</v>
      </c>
      <c r="AC75" s="2160">
        <v>42</v>
      </c>
      <c r="AD75" s="3218">
        <v>35.799999999999997</v>
      </c>
      <c r="AE75" s="2160">
        <v>37</v>
      </c>
      <c r="AF75" s="3218">
        <v>34</v>
      </c>
      <c r="AG75" s="2160">
        <v>43</v>
      </c>
      <c r="AH75" s="3218">
        <v>46</v>
      </c>
      <c r="AI75" s="2161">
        <v>40</v>
      </c>
      <c r="AJ75" s="3293">
        <v>37</v>
      </c>
      <c r="AK75" s="3294">
        <v>28</v>
      </c>
      <c r="AL75" s="3295">
        <v>29</v>
      </c>
      <c r="AM75" s="3294">
        <v>31</v>
      </c>
      <c r="AN75" s="3295">
        <v>45</v>
      </c>
      <c r="AO75" s="3294">
        <v>38</v>
      </c>
      <c r="AP75" s="3295">
        <v>45</v>
      </c>
      <c r="AQ75" s="3296">
        <v>37</v>
      </c>
      <c r="AR75" s="3297">
        <v>42</v>
      </c>
    </row>
    <row r="76" spans="4:44" x14ac:dyDescent="0.35">
      <c r="D76" s="1869"/>
      <c r="E76" s="3223">
        <f>+AVERAGE(E75:F75)</f>
        <v>71.5</v>
      </c>
      <c r="F76" s="3223"/>
      <c r="G76" s="3223">
        <f>+AVERAGE(G75:H75)</f>
        <v>40</v>
      </c>
      <c r="H76" s="3223"/>
      <c r="I76" s="3223">
        <f>+AVERAGE(I75:J75)</f>
        <v>43.5</v>
      </c>
      <c r="J76" s="3223"/>
      <c r="K76" s="3223">
        <f>+AVERAGE(K75:L75)</f>
        <v>49.349999999999994</v>
      </c>
      <c r="L76" s="3223"/>
      <c r="M76" s="3223">
        <f>+AVERAGE(M75:N75)</f>
        <v>59.9</v>
      </c>
      <c r="N76" s="3223"/>
      <c r="O76" s="3223">
        <f>+AVERAGE(O75:P75)</f>
        <v>59.150000000000006</v>
      </c>
      <c r="P76" s="3223"/>
      <c r="Q76" s="3223">
        <f>+AVERAGE(Q75:R75)</f>
        <v>59.2</v>
      </c>
      <c r="R76" s="3224"/>
      <c r="S76" s="3223">
        <f>+AVERAGE(S75:T75)</f>
        <v>55.95</v>
      </c>
      <c r="T76" s="3224"/>
      <c r="U76" s="3223">
        <f>+AVERAGE(U75:V75)</f>
        <v>49.25</v>
      </c>
      <c r="V76" s="3224"/>
      <c r="W76" s="3223">
        <f>+AVERAGE(W75:X75)</f>
        <v>52.75</v>
      </c>
      <c r="X76" s="3224"/>
      <c r="Y76" s="3223">
        <f>+AVERAGE(Y75:Z75)</f>
        <v>50</v>
      </c>
      <c r="Z76" s="3273"/>
      <c r="AA76" s="3223">
        <f>+AVERAGE(AA75:AB75)</f>
        <v>44.1</v>
      </c>
      <c r="AB76" s="3273"/>
      <c r="AC76" s="3223">
        <f>+AVERAGE(AC75:AD75)</f>
        <v>38.9</v>
      </c>
      <c r="AE76" s="3223">
        <f>+AVERAGE(AE75:AF75)</f>
        <v>35.5</v>
      </c>
      <c r="AF76" s="3273"/>
      <c r="AG76" s="3223">
        <f>+AVERAGE(AG75:AH75)</f>
        <v>44.5</v>
      </c>
      <c r="AI76" s="3273">
        <v>39</v>
      </c>
      <c r="AK76" s="140">
        <v>29</v>
      </c>
      <c r="AM76" s="140">
        <v>38</v>
      </c>
      <c r="AO76" s="140">
        <v>42</v>
      </c>
      <c r="AQ76" s="140">
        <v>40</v>
      </c>
    </row>
  </sheetData>
  <mergeCells count="41">
    <mergeCell ref="D2:W2"/>
    <mergeCell ref="D3:W3"/>
    <mergeCell ref="D4:W4"/>
    <mergeCell ref="D5:W5"/>
    <mergeCell ref="D32:E33"/>
    <mergeCell ref="F32:G32"/>
    <mergeCell ref="H32:I32"/>
    <mergeCell ref="J32:K32"/>
    <mergeCell ref="L32:M32"/>
    <mergeCell ref="N32:O32"/>
    <mergeCell ref="D46:W46"/>
    <mergeCell ref="P32:Q32"/>
    <mergeCell ref="D34:E34"/>
    <mergeCell ref="D35:E35"/>
    <mergeCell ref="D36:E36"/>
    <mergeCell ref="D37:E37"/>
    <mergeCell ref="D38:E38"/>
    <mergeCell ref="D39:E39"/>
    <mergeCell ref="D40:E40"/>
    <mergeCell ref="D41:E41"/>
    <mergeCell ref="D42:E42"/>
    <mergeCell ref="D45:W45"/>
    <mergeCell ref="D47:W47"/>
    <mergeCell ref="D48:W48"/>
    <mergeCell ref="E73:F73"/>
    <mergeCell ref="G73:H73"/>
    <mergeCell ref="I73:J73"/>
    <mergeCell ref="K73:L73"/>
    <mergeCell ref="M73:N73"/>
    <mergeCell ref="O73:P73"/>
    <mergeCell ref="Q73:R73"/>
    <mergeCell ref="S73:T73"/>
    <mergeCell ref="AG73:AH73"/>
    <mergeCell ref="AI73:AJ73"/>
    <mergeCell ref="AQ73:AR73"/>
    <mergeCell ref="U73:V73"/>
    <mergeCell ref="W73:X73"/>
    <mergeCell ref="Y73:Z73"/>
    <mergeCell ref="AA73:AB73"/>
    <mergeCell ref="AC73:AD73"/>
    <mergeCell ref="AE73:AF73"/>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C59"/>
  <sheetViews>
    <sheetView showGridLines="0" view="pageBreakPreview" zoomScaleNormal="100" zoomScaleSheetLayoutView="100" workbookViewId="0">
      <selection activeCell="I11" sqref="I11"/>
    </sheetView>
  </sheetViews>
  <sheetFormatPr defaultColWidth="9.08984375" defaultRowHeight="14.5" x14ac:dyDescent="0.35"/>
  <cols>
    <col min="1" max="1" width="3.6328125" style="1195" customWidth="1"/>
    <col min="2" max="2" width="14.453125" style="1195" customWidth="1"/>
    <col min="3" max="3" width="3.6328125" style="1195" customWidth="1"/>
    <col min="4" max="4" width="14.6328125" style="140" customWidth="1"/>
    <col min="5" max="10" width="6.6328125" style="140" customWidth="1"/>
    <col min="11" max="11" width="6.6328125" style="1427" customWidth="1"/>
    <col min="12" max="12" width="9.54296875" style="1427" customWidth="1"/>
    <col min="13" max="13" width="9.36328125" style="1427" customWidth="1"/>
    <col min="14" max="14" width="9.453125" style="1427" customWidth="1"/>
    <col min="15" max="15" width="8.6328125" style="1427" customWidth="1"/>
    <col min="16" max="16" width="10.6328125" style="1427" customWidth="1"/>
    <col min="17" max="17" width="13.6328125" style="1427" customWidth="1"/>
    <col min="18" max="18" width="14" style="1427" bestFit="1" customWidth="1"/>
    <col min="19" max="29" width="9.08984375" style="1427"/>
    <col min="30" max="257" width="9.08984375" style="140"/>
    <col min="258" max="258" width="3.6328125" style="140" customWidth="1"/>
    <col min="259" max="259" width="14.453125" style="140" customWidth="1"/>
    <col min="260" max="260" width="3.6328125" style="140" customWidth="1"/>
    <col min="261" max="261" width="14.6328125" style="140" customWidth="1"/>
    <col min="262" max="272" width="6.6328125" style="140" customWidth="1"/>
    <col min="273" max="273" width="9.36328125" style="140" bestFit="1" customWidth="1"/>
    <col min="274" max="513" width="9.08984375" style="140"/>
    <col min="514" max="514" width="3.6328125" style="140" customWidth="1"/>
    <col min="515" max="515" width="14.453125" style="140" customWidth="1"/>
    <col min="516" max="516" width="3.6328125" style="140" customWidth="1"/>
    <col min="517" max="517" width="14.6328125" style="140" customWidth="1"/>
    <col min="518" max="528" width="6.6328125" style="140" customWidth="1"/>
    <col min="529" max="529" width="9.36328125" style="140" bestFit="1" customWidth="1"/>
    <col min="530" max="769" width="9.08984375" style="140"/>
    <col min="770" max="770" width="3.6328125" style="140" customWidth="1"/>
    <col min="771" max="771" width="14.453125" style="140" customWidth="1"/>
    <col min="772" max="772" width="3.6328125" style="140" customWidth="1"/>
    <col min="773" max="773" width="14.6328125" style="140" customWidth="1"/>
    <col min="774" max="784" width="6.6328125" style="140" customWidth="1"/>
    <col min="785" max="785" width="9.36328125" style="140" bestFit="1" customWidth="1"/>
    <col min="786" max="1025" width="9.08984375" style="140"/>
    <col min="1026" max="1026" width="3.6328125" style="140" customWidth="1"/>
    <col min="1027" max="1027" width="14.453125" style="140" customWidth="1"/>
    <col min="1028" max="1028" width="3.6328125" style="140" customWidth="1"/>
    <col min="1029" max="1029" width="14.6328125" style="140" customWidth="1"/>
    <col min="1030" max="1040" width="6.6328125" style="140" customWidth="1"/>
    <col min="1041" max="1041" width="9.36328125" style="140" bestFit="1" customWidth="1"/>
    <col min="1042" max="1281" width="9.08984375" style="140"/>
    <col min="1282" max="1282" width="3.6328125" style="140" customWidth="1"/>
    <col min="1283" max="1283" width="14.453125" style="140" customWidth="1"/>
    <col min="1284" max="1284" width="3.6328125" style="140" customWidth="1"/>
    <col min="1285" max="1285" width="14.6328125" style="140" customWidth="1"/>
    <col min="1286" max="1296" width="6.6328125" style="140" customWidth="1"/>
    <col min="1297" max="1297" width="9.36328125" style="140" bestFit="1" customWidth="1"/>
    <col min="1298" max="1537" width="9.08984375" style="140"/>
    <col min="1538" max="1538" width="3.6328125" style="140" customWidth="1"/>
    <col min="1539" max="1539" width="14.453125" style="140" customWidth="1"/>
    <col min="1540" max="1540" width="3.6328125" style="140" customWidth="1"/>
    <col min="1541" max="1541" width="14.6328125" style="140" customWidth="1"/>
    <col min="1542" max="1552" width="6.6328125" style="140" customWidth="1"/>
    <col min="1553" max="1553" width="9.36328125" style="140" bestFit="1" customWidth="1"/>
    <col min="1554" max="1793" width="9.08984375" style="140"/>
    <col min="1794" max="1794" width="3.6328125" style="140" customWidth="1"/>
    <col min="1795" max="1795" width="14.453125" style="140" customWidth="1"/>
    <col min="1796" max="1796" width="3.6328125" style="140" customWidth="1"/>
    <col min="1797" max="1797" width="14.6328125" style="140" customWidth="1"/>
    <col min="1798" max="1808" width="6.6328125" style="140" customWidth="1"/>
    <col min="1809" max="1809" width="9.36328125" style="140" bestFit="1" customWidth="1"/>
    <col min="1810" max="2049" width="9.08984375" style="140"/>
    <col min="2050" max="2050" width="3.6328125" style="140" customWidth="1"/>
    <col min="2051" max="2051" width="14.453125" style="140" customWidth="1"/>
    <col min="2052" max="2052" width="3.6328125" style="140" customWidth="1"/>
    <col min="2053" max="2053" width="14.6328125" style="140" customWidth="1"/>
    <col min="2054" max="2064" width="6.6328125" style="140" customWidth="1"/>
    <col min="2065" max="2065" width="9.36328125" style="140" bestFit="1" customWidth="1"/>
    <col min="2066" max="2305" width="9.08984375" style="140"/>
    <col min="2306" max="2306" width="3.6328125" style="140" customWidth="1"/>
    <col min="2307" max="2307" width="14.453125" style="140" customWidth="1"/>
    <col min="2308" max="2308" width="3.6328125" style="140" customWidth="1"/>
    <col min="2309" max="2309" width="14.6328125" style="140" customWidth="1"/>
    <col min="2310" max="2320" width="6.6328125" style="140" customWidth="1"/>
    <col min="2321" max="2321" width="9.36328125" style="140" bestFit="1" customWidth="1"/>
    <col min="2322" max="2561" width="9.08984375" style="140"/>
    <col min="2562" max="2562" width="3.6328125" style="140" customWidth="1"/>
    <col min="2563" max="2563" width="14.453125" style="140" customWidth="1"/>
    <col min="2564" max="2564" width="3.6328125" style="140" customWidth="1"/>
    <col min="2565" max="2565" width="14.6328125" style="140" customWidth="1"/>
    <col min="2566" max="2576" width="6.6328125" style="140" customWidth="1"/>
    <col min="2577" max="2577" width="9.36328125" style="140" bestFit="1" customWidth="1"/>
    <col min="2578" max="2817" width="9.08984375" style="140"/>
    <col min="2818" max="2818" width="3.6328125" style="140" customWidth="1"/>
    <col min="2819" max="2819" width="14.453125" style="140" customWidth="1"/>
    <col min="2820" max="2820" width="3.6328125" style="140" customWidth="1"/>
    <col min="2821" max="2821" width="14.6328125" style="140" customWidth="1"/>
    <col min="2822" max="2832" width="6.6328125" style="140" customWidth="1"/>
    <col min="2833" max="2833" width="9.36328125" style="140" bestFit="1" customWidth="1"/>
    <col min="2834" max="3073" width="9.08984375" style="140"/>
    <col min="3074" max="3074" width="3.6328125" style="140" customWidth="1"/>
    <col min="3075" max="3075" width="14.453125" style="140" customWidth="1"/>
    <col min="3076" max="3076" width="3.6328125" style="140" customWidth="1"/>
    <col min="3077" max="3077" width="14.6328125" style="140" customWidth="1"/>
    <col min="3078" max="3088" width="6.6328125" style="140" customWidth="1"/>
    <col min="3089" max="3089" width="9.36328125" style="140" bestFit="1" customWidth="1"/>
    <col min="3090" max="3329" width="9.08984375" style="140"/>
    <col min="3330" max="3330" width="3.6328125" style="140" customWidth="1"/>
    <col min="3331" max="3331" width="14.453125" style="140" customWidth="1"/>
    <col min="3332" max="3332" width="3.6328125" style="140" customWidth="1"/>
    <col min="3333" max="3333" width="14.6328125" style="140" customWidth="1"/>
    <col min="3334" max="3344" width="6.6328125" style="140" customWidth="1"/>
    <col min="3345" max="3345" width="9.36328125" style="140" bestFit="1" customWidth="1"/>
    <col min="3346" max="3585" width="9.08984375" style="140"/>
    <col min="3586" max="3586" width="3.6328125" style="140" customWidth="1"/>
    <col min="3587" max="3587" width="14.453125" style="140" customWidth="1"/>
    <col min="3588" max="3588" width="3.6328125" style="140" customWidth="1"/>
    <col min="3589" max="3589" width="14.6328125" style="140" customWidth="1"/>
    <col min="3590" max="3600" width="6.6328125" style="140" customWidth="1"/>
    <col min="3601" max="3601" width="9.36328125" style="140" bestFit="1" customWidth="1"/>
    <col min="3602" max="3841" width="9.08984375" style="140"/>
    <col min="3842" max="3842" width="3.6328125" style="140" customWidth="1"/>
    <col min="3843" max="3843" width="14.453125" style="140" customWidth="1"/>
    <col min="3844" max="3844" width="3.6328125" style="140" customWidth="1"/>
    <col min="3845" max="3845" width="14.6328125" style="140" customWidth="1"/>
    <col min="3846" max="3856" width="6.6328125" style="140" customWidth="1"/>
    <col min="3857" max="3857" width="9.36328125" style="140" bestFit="1" customWidth="1"/>
    <col min="3858" max="4097" width="9.08984375" style="140"/>
    <col min="4098" max="4098" width="3.6328125" style="140" customWidth="1"/>
    <col min="4099" max="4099" width="14.453125" style="140" customWidth="1"/>
    <col min="4100" max="4100" width="3.6328125" style="140" customWidth="1"/>
    <col min="4101" max="4101" width="14.6328125" style="140" customWidth="1"/>
    <col min="4102" max="4112" width="6.6328125" style="140" customWidth="1"/>
    <col min="4113" max="4113" width="9.36328125" style="140" bestFit="1" customWidth="1"/>
    <col min="4114" max="4353" width="9.08984375" style="140"/>
    <col min="4354" max="4354" width="3.6328125" style="140" customWidth="1"/>
    <col min="4355" max="4355" width="14.453125" style="140" customWidth="1"/>
    <col min="4356" max="4356" width="3.6328125" style="140" customWidth="1"/>
    <col min="4357" max="4357" width="14.6328125" style="140" customWidth="1"/>
    <col min="4358" max="4368" width="6.6328125" style="140" customWidth="1"/>
    <col min="4369" max="4369" width="9.36328125" style="140" bestFit="1" customWidth="1"/>
    <col min="4370" max="4609" width="9.08984375" style="140"/>
    <col min="4610" max="4610" width="3.6328125" style="140" customWidth="1"/>
    <col min="4611" max="4611" width="14.453125" style="140" customWidth="1"/>
    <col min="4612" max="4612" width="3.6328125" style="140" customWidth="1"/>
    <col min="4613" max="4613" width="14.6328125" style="140" customWidth="1"/>
    <col min="4614" max="4624" width="6.6328125" style="140" customWidth="1"/>
    <col min="4625" max="4625" width="9.36328125" style="140" bestFit="1" customWidth="1"/>
    <col min="4626" max="4865" width="9.08984375" style="140"/>
    <col min="4866" max="4866" width="3.6328125" style="140" customWidth="1"/>
    <col min="4867" max="4867" width="14.453125" style="140" customWidth="1"/>
    <col min="4868" max="4868" width="3.6328125" style="140" customWidth="1"/>
    <col min="4869" max="4869" width="14.6328125" style="140" customWidth="1"/>
    <col min="4870" max="4880" width="6.6328125" style="140" customWidth="1"/>
    <col min="4881" max="4881" width="9.36328125" style="140" bestFit="1" customWidth="1"/>
    <col min="4882" max="5121" width="9.08984375" style="140"/>
    <col min="5122" max="5122" width="3.6328125" style="140" customWidth="1"/>
    <col min="5123" max="5123" width="14.453125" style="140" customWidth="1"/>
    <col min="5124" max="5124" width="3.6328125" style="140" customWidth="1"/>
    <col min="5125" max="5125" width="14.6328125" style="140" customWidth="1"/>
    <col min="5126" max="5136" width="6.6328125" style="140" customWidth="1"/>
    <col min="5137" max="5137" width="9.36328125" style="140" bestFit="1" customWidth="1"/>
    <col min="5138" max="5377" width="9.08984375" style="140"/>
    <col min="5378" max="5378" width="3.6328125" style="140" customWidth="1"/>
    <col min="5379" max="5379" width="14.453125" style="140" customWidth="1"/>
    <col min="5380" max="5380" width="3.6328125" style="140" customWidth="1"/>
    <col min="5381" max="5381" width="14.6328125" style="140" customWidth="1"/>
    <col min="5382" max="5392" width="6.6328125" style="140" customWidth="1"/>
    <col min="5393" max="5393" width="9.36328125" style="140" bestFit="1" customWidth="1"/>
    <col min="5394" max="5633" width="9.08984375" style="140"/>
    <col min="5634" max="5634" width="3.6328125" style="140" customWidth="1"/>
    <col min="5635" max="5635" width="14.453125" style="140" customWidth="1"/>
    <col min="5636" max="5636" width="3.6328125" style="140" customWidth="1"/>
    <col min="5637" max="5637" width="14.6328125" style="140" customWidth="1"/>
    <col min="5638" max="5648" width="6.6328125" style="140" customWidth="1"/>
    <col min="5649" max="5649" width="9.36328125" style="140" bestFit="1" customWidth="1"/>
    <col min="5650" max="5889" width="9.08984375" style="140"/>
    <col min="5890" max="5890" width="3.6328125" style="140" customWidth="1"/>
    <col min="5891" max="5891" width="14.453125" style="140" customWidth="1"/>
    <col min="5892" max="5892" width="3.6328125" style="140" customWidth="1"/>
    <col min="5893" max="5893" width="14.6328125" style="140" customWidth="1"/>
    <col min="5894" max="5904" width="6.6328125" style="140" customWidth="1"/>
    <col min="5905" max="5905" width="9.36328125" style="140" bestFit="1" customWidth="1"/>
    <col min="5906" max="6145" width="9.08984375" style="140"/>
    <col min="6146" max="6146" width="3.6328125" style="140" customWidth="1"/>
    <col min="6147" max="6147" width="14.453125" style="140" customWidth="1"/>
    <col min="6148" max="6148" width="3.6328125" style="140" customWidth="1"/>
    <col min="6149" max="6149" width="14.6328125" style="140" customWidth="1"/>
    <col min="6150" max="6160" width="6.6328125" style="140" customWidth="1"/>
    <col min="6161" max="6161" width="9.36328125" style="140" bestFit="1" customWidth="1"/>
    <col min="6162" max="6401" width="9.08984375" style="140"/>
    <col min="6402" max="6402" width="3.6328125" style="140" customWidth="1"/>
    <col min="6403" max="6403" width="14.453125" style="140" customWidth="1"/>
    <col min="6404" max="6404" width="3.6328125" style="140" customWidth="1"/>
    <col min="6405" max="6405" width="14.6328125" style="140" customWidth="1"/>
    <col min="6406" max="6416" width="6.6328125" style="140" customWidth="1"/>
    <col min="6417" max="6417" width="9.36328125" style="140" bestFit="1" customWidth="1"/>
    <col min="6418" max="6657" width="9.08984375" style="140"/>
    <col min="6658" max="6658" width="3.6328125" style="140" customWidth="1"/>
    <col min="6659" max="6659" width="14.453125" style="140" customWidth="1"/>
    <col min="6660" max="6660" width="3.6328125" style="140" customWidth="1"/>
    <col min="6661" max="6661" width="14.6328125" style="140" customWidth="1"/>
    <col min="6662" max="6672" width="6.6328125" style="140" customWidth="1"/>
    <col min="6673" max="6673" width="9.36328125" style="140" bestFit="1" customWidth="1"/>
    <col min="6674" max="6913" width="9.08984375" style="140"/>
    <col min="6914" max="6914" width="3.6328125" style="140" customWidth="1"/>
    <col min="6915" max="6915" width="14.453125" style="140" customWidth="1"/>
    <col min="6916" max="6916" width="3.6328125" style="140" customWidth="1"/>
    <col min="6917" max="6917" width="14.6328125" style="140" customWidth="1"/>
    <col min="6918" max="6928" width="6.6328125" style="140" customWidth="1"/>
    <col min="6929" max="6929" width="9.36328125" style="140" bestFit="1" customWidth="1"/>
    <col min="6930" max="7169" width="9.08984375" style="140"/>
    <col min="7170" max="7170" width="3.6328125" style="140" customWidth="1"/>
    <col min="7171" max="7171" width="14.453125" style="140" customWidth="1"/>
    <col min="7172" max="7172" width="3.6328125" style="140" customWidth="1"/>
    <col min="7173" max="7173" width="14.6328125" style="140" customWidth="1"/>
    <col min="7174" max="7184" width="6.6328125" style="140" customWidth="1"/>
    <col min="7185" max="7185" width="9.36328125" style="140" bestFit="1" customWidth="1"/>
    <col min="7186" max="7425" width="9.08984375" style="140"/>
    <col min="7426" max="7426" width="3.6328125" style="140" customWidth="1"/>
    <col min="7427" max="7427" width="14.453125" style="140" customWidth="1"/>
    <col min="7428" max="7428" width="3.6328125" style="140" customWidth="1"/>
    <col min="7429" max="7429" width="14.6328125" style="140" customWidth="1"/>
    <col min="7430" max="7440" width="6.6328125" style="140" customWidth="1"/>
    <col min="7441" max="7441" width="9.36328125" style="140" bestFit="1" customWidth="1"/>
    <col min="7442" max="7681" width="9.08984375" style="140"/>
    <col min="7682" max="7682" width="3.6328125" style="140" customWidth="1"/>
    <col min="7683" max="7683" width="14.453125" style="140" customWidth="1"/>
    <col min="7684" max="7684" width="3.6328125" style="140" customWidth="1"/>
    <col min="7685" max="7685" width="14.6328125" style="140" customWidth="1"/>
    <col min="7686" max="7696" width="6.6328125" style="140" customWidth="1"/>
    <col min="7697" max="7697" width="9.36328125" style="140" bestFit="1" customWidth="1"/>
    <col min="7698" max="7937" width="9.08984375" style="140"/>
    <col min="7938" max="7938" width="3.6328125" style="140" customWidth="1"/>
    <col min="7939" max="7939" width="14.453125" style="140" customWidth="1"/>
    <col min="7940" max="7940" width="3.6328125" style="140" customWidth="1"/>
    <col min="7941" max="7941" width="14.6328125" style="140" customWidth="1"/>
    <col min="7942" max="7952" width="6.6328125" style="140" customWidth="1"/>
    <col min="7953" max="7953" width="9.36328125" style="140" bestFit="1" customWidth="1"/>
    <col min="7954" max="8193" width="9.08984375" style="140"/>
    <col min="8194" max="8194" width="3.6328125" style="140" customWidth="1"/>
    <col min="8195" max="8195" width="14.453125" style="140" customWidth="1"/>
    <col min="8196" max="8196" width="3.6328125" style="140" customWidth="1"/>
    <col min="8197" max="8197" width="14.6328125" style="140" customWidth="1"/>
    <col min="8198" max="8208" width="6.6328125" style="140" customWidth="1"/>
    <col min="8209" max="8209" width="9.36328125" style="140" bestFit="1" customWidth="1"/>
    <col min="8210" max="8449" width="9.08984375" style="140"/>
    <col min="8450" max="8450" width="3.6328125" style="140" customWidth="1"/>
    <col min="8451" max="8451" width="14.453125" style="140" customWidth="1"/>
    <col min="8452" max="8452" width="3.6328125" style="140" customWidth="1"/>
    <col min="8453" max="8453" width="14.6328125" style="140" customWidth="1"/>
    <col min="8454" max="8464" width="6.6328125" style="140" customWidth="1"/>
    <col min="8465" max="8465" width="9.36328125" style="140" bestFit="1" customWidth="1"/>
    <col min="8466" max="8705" width="9.08984375" style="140"/>
    <col min="8706" max="8706" width="3.6328125" style="140" customWidth="1"/>
    <col min="8707" max="8707" width="14.453125" style="140" customWidth="1"/>
    <col min="8708" max="8708" width="3.6328125" style="140" customWidth="1"/>
    <col min="8709" max="8709" width="14.6328125" style="140" customWidth="1"/>
    <col min="8710" max="8720" width="6.6328125" style="140" customWidth="1"/>
    <col min="8721" max="8721" width="9.36328125" style="140" bestFit="1" customWidth="1"/>
    <col min="8722" max="8961" width="9.08984375" style="140"/>
    <col min="8962" max="8962" width="3.6328125" style="140" customWidth="1"/>
    <col min="8963" max="8963" width="14.453125" style="140" customWidth="1"/>
    <col min="8964" max="8964" width="3.6328125" style="140" customWidth="1"/>
    <col min="8965" max="8965" width="14.6328125" style="140" customWidth="1"/>
    <col min="8966" max="8976" width="6.6328125" style="140" customWidth="1"/>
    <col min="8977" max="8977" width="9.36328125" style="140" bestFit="1" customWidth="1"/>
    <col min="8978" max="9217" width="9.08984375" style="140"/>
    <col min="9218" max="9218" width="3.6328125" style="140" customWidth="1"/>
    <col min="9219" max="9219" width="14.453125" style="140" customWidth="1"/>
    <col min="9220" max="9220" width="3.6328125" style="140" customWidth="1"/>
    <col min="9221" max="9221" width="14.6328125" style="140" customWidth="1"/>
    <col min="9222" max="9232" width="6.6328125" style="140" customWidth="1"/>
    <col min="9233" max="9233" width="9.36328125" style="140" bestFit="1" customWidth="1"/>
    <col min="9234" max="9473" width="9.08984375" style="140"/>
    <col min="9474" max="9474" width="3.6328125" style="140" customWidth="1"/>
    <col min="9475" max="9475" width="14.453125" style="140" customWidth="1"/>
    <col min="9476" max="9476" width="3.6328125" style="140" customWidth="1"/>
    <col min="9477" max="9477" width="14.6328125" style="140" customWidth="1"/>
    <col min="9478" max="9488" width="6.6328125" style="140" customWidth="1"/>
    <col min="9489" max="9489" width="9.36328125" style="140" bestFit="1" customWidth="1"/>
    <col min="9490" max="9729" width="9.08984375" style="140"/>
    <col min="9730" max="9730" width="3.6328125" style="140" customWidth="1"/>
    <col min="9731" max="9731" width="14.453125" style="140" customWidth="1"/>
    <col min="9732" max="9732" width="3.6328125" style="140" customWidth="1"/>
    <col min="9733" max="9733" width="14.6328125" style="140" customWidth="1"/>
    <col min="9734" max="9744" width="6.6328125" style="140" customWidth="1"/>
    <col min="9745" max="9745" width="9.36328125" style="140" bestFit="1" customWidth="1"/>
    <col min="9746" max="9985" width="9.08984375" style="140"/>
    <col min="9986" max="9986" width="3.6328125" style="140" customWidth="1"/>
    <col min="9987" max="9987" width="14.453125" style="140" customWidth="1"/>
    <col min="9988" max="9988" width="3.6328125" style="140" customWidth="1"/>
    <col min="9989" max="9989" width="14.6328125" style="140" customWidth="1"/>
    <col min="9990" max="10000" width="6.6328125" style="140" customWidth="1"/>
    <col min="10001" max="10001" width="9.36328125" style="140" bestFit="1" customWidth="1"/>
    <col min="10002" max="10241" width="9.08984375" style="140"/>
    <col min="10242" max="10242" width="3.6328125" style="140" customWidth="1"/>
    <col min="10243" max="10243" width="14.453125" style="140" customWidth="1"/>
    <col min="10244" max="10244" width="3.6328125" style="140" customWidth="1"/>
    <col min="10245" max="10245" width="14.6328125" style="140" customWidth="1"/>
    <col min="10246" max="10256" width="6.6328125" style="140" customWidth="1"/>
    <col min="10257" max="10257" width="9.36328125" style="140" bestFit="1" customWidth="1"/>
    <col min="10258" max="10497" width="9.08984375" style="140"/>
    <col min="10498" max="10498" width="3.6328125" style="140" customWidth="1"/>
    <col min="10499" max="10499" width="14.453125" style="140" customWidth="1"/>
    <col min="10500" max="10500" width="3.6328125" style="140" customWidth="1"/>
    <col min="10501" max="10501" width="14.6328125" style="140" customWidth="1"/>
    <col min="10502" max="10512" width="6.6328125" style="140" customWidth="1"/>
    <col min="10513" max="10513" width="9.36328125" style="140" bestFit="1" customWidth="1"/>
    <col min="10514" max="10753" width="9.08984375" style="140"/>
    <col min="10754" max="10754" width="3.6328125" style="140" customWidth="1"/>
    <col min="10755" max="10755" width="14.453125" style="140" customWidth="1"/>
    <col min="10756" max="10756" width="3.6328125" style="140" customWidth="1"/>
    <col min="10757" max="10757" width="14.6328125" style="140" customWidth="1"/>
    <col min="10758" max="10768" width="6.6328125" style="140" customWidth="1"/>
    <col min="10769" max="10769" width="9.36328125" style="140" bestFit="1" customWidth="1"/>
    <col min="10770" max="11009" width="9.08984375" style="140"/>
    <col min="11010" max="11010" width="3.6328125" style="140" customWidth="1"/>
    <col min="11011" max="11011" width="14.453125" style="140" customWidth="1"/>
    <col min="11012" max="11012" width="3.6328125" style="140" customWidth="1"/>
    <col min="11013" max="11013" width="14.6328125" style="140" customWidth="1"/>
    <col min="11014" max="11024" width="6.6328125" style="140" customWidth="1"/>
    <col min="11025" max="11025" width="9.36328125" style="140" bestFit="1" customWidth="1"/>
    <col min="11026" max="11265" width="9.08984375" style="140"/>
    <col min="11266" max="11266" width="3.6328125" style="140" customWidth="1"/>
    <col min="11267" max="11267" width="14.453125" style="140" customWidth="1"/>
    <col min="11268" max="11268" width="3.6328125" style="140" customWidth="1"/>
    <col min="11269" max="11269" width="14.6328125" style="140" customWidth="1"/>
    <col min="11270" max="11280" width="6.6328125" style="140" customWidth="1"/>
    <col min="11281" max="11281" width="9.36328125" style="140" bestFit="1" customWidth="1"/>
    <col min="11282" max="11521" width="9.08984375" style="140"/>
    <col min="11522" max="11522" width="3.6328125" style="140" customWidth="1"/>
    <col min="11523" max="11523" width="14.453125" style="140" customWidth="1"/>
    <col min="11524" max="11524" width="3.6328125" style="140" customWidth="1"/>
    <col min="11525" max="11525" width="14.6328125" style="140" customWidth="1"/>
    <col min="11526" max="11536" width="6.6328125" style="140" customWidth="1"/>
    <col min="11537" max="11537" width="9.36328125" style="140" bestFit="1" customWidth="1"/>
    <col min="11538" max="11777" width="9.08984375" style="140"/>
    <col min="11778" max="11778" width="3.6328125" style="140" customWidth="1"/>
    <col min="11779" max="11779" width="14.453125" style="140" customWidth="1"/>
    <col min="11780" max="11780" width="3.6328125" style="140" customWidth="1"/>
    <col min="11781" max="11781" width="14.6328125" style="140" customWidth="1"/>
    <col min="11782" max="11792" width="6.6328125" style="140" customWidth="1"/>
    <col min="11793" max="11793" width="9.36328125" style="140" bestFit="1" customWidth="1"/>
    <col min="11794" max="12033" width="9.08984375" style="140"/>
    <col min="12034" max="12034" width="3.6328125" style="140" customWidth="1"/>
    <col min="12035" max="12035" width="14.453125" style="140" customWidth="1"/>
    <col min="12036" max="12036" width="3.6328125" style="140" customWidth="1"/>
    <col min="12037" max="12037" width="14.6328125" style="140" customWidth="1"/>
    <col min="12038" max="12048" width="6.6328125" style="140" customWidth="1"/>
    <col min="12049" max="12049" width="9.36328125" style="140" bestFit="1" customWidth="1"/>
    <col min="12050" max="12289" width="9.08984375" style="140"/>
    <col min="12290" max="12290" width="3.6328125" style="140" customWidth="1"/>
    <col min="12291" max="12291" width="14.453125" style="140" customWidth="1"/>
    <col min="12292" max="12292" width="3.6328125" style="140" customWidth="1"/>
    <col min="12293" max="12293" width="14.6328125" style="140" customWidth="1"/>
    <col min="12294" max="12304" width="6.6328125" style="140" customWidth="1"/>
    <col min="12305" max="12305" width="9.36328125" style="140" bestFit="1" customWidth="1"/>
    <col min="12306" max="12545" width="9.08984375" style="140"/>
    <col min="12546" max="12546" width="3.6328125" style="140" customWidth="1"/>
    <col min="12547" max="12547" width="14.453125" style="140" customWidth="1"/>
    <col min="12548" max="12548" width="3.6328125" style="140" customWidth="1"/>
    <col min="12549" max="12549" width="14.6328125" style="140" customWidth="1"/>
    <col min="12550" max="12560" width="6.6328125" style="140" customWidth="1"/>
    <col min="12561" max="12561" width="9.36328125" style="140" bestFit="1" customWidth="1"/>
    <col min="12562" max="12801" width="9.08984375" style="140"/>
    <col min="12802" max="12802" width="3.6328125" style="140" customWidth="1"/>
    <col min="12803" max="12803" width="14.453125" style="140" customWidth="1"/>
    <col min="12804" max="12804" width="3.6328125" style="140" customWidth="1"/>
    <col min="12805" max="12805" width="14.6328125" style="140" customWidth="1"/>
    <col min="12806" max="12816" width="6.6328125" style="140" customWidth="1"/>
    <col min="12817" max="12817" width="9.36328125" style="140" bestFit="1" customWidth="1"/>
    <col min="12818" max="13057" width="9.08984375" style="140"/>
    <col min="13058" max="13058" width="3.6328125" style="140" customWidth="1"/>
    <col min="13059" max="13059" width="14.453125" style="140" customWidth="1"/>
    <col min="13060" max="13060" width="3.6328125" style="140" customWidth="1"/>
    <col min="13061" max="13061" width="14.6328125" style="140" customWidth="1"/>
    <col min="13062" max="13072" width="6.6328125" style="140" customWidth="1"/>
    <col min="13073" max="13073" width="9.36328125" style="140" bestFit="1" customWidth="1"/>
    <col min="13074" max="13313" width="9.08984375" style="140"/>
    <col min="13314" max="13314" width="3.6328125" style="140" customWidth="1"/>
    <col min="13315" max="13315" width="14.453125" style="140" customWidth="1"/>
    <col min="13316" max="13316" width="3.6328125" style="140" customWidth="1"/>
    <col min="13317" max="13317" width="14.6328125" style="140" customWidth="1"/>
    <col min="13318" max="13328" width="6.6328125" style="140" customWidth="1"/>
    <col min="13329" max="13329" width="9.36328125" style="140" bestFit="1" customWidth="1"/>
    <col min="13330" max="13569" width="9.08984375" style="140"/>
    <col min="13570" max="13570" width="3.6328125" style="140" customWidth="1"/>
    <col min="13571" max="13571" width="14.453125" style="140" customWidth="1"/>
    <col min="13572" max="13572" width="3.6328125" style="140" customWidth="1"/>
    <col min="13573" max="13573" width="14.6328125" style="140" customWidth="1"/>
    <col min="13574" max="13584" width="6.6328125" style="140" customWidth="1"/>
    <col min="13585" max="13585" width="9.36328125" style="140" bestFit="1" customWidth="1"/>
    <col min="13586" max="13825" width="9.08984375" style="140"/>
    <col min="13826" max="13826" width="3.6328125" style="140" customWidth="1"/>
    <col min="13827" max="13827" width="14.453125" style="140" customWidth="1"/>
    <col min="13828" max="13828" width="3.6328125" style="140" customWidth="1"/>
    <col min="13829" max="13829" width="14.6328125" style="140" customWidth="1"/>
    <col min="13830" max="13840" width="6.6328125" style="140" customWidth="1"/>
    <col min="13841" max="13841" width="9.36328125" style="140" bestFit="1" customWidth="1"/>
    <col min="13842" max="14081" width="9.08984375" style="140"/>
    <col min="14082" max="14082" width="3.6328125" style="140" customWidth="1"/>
    <col min="14083" max="14083" width="14.453125" style="140" customWidth="1"/>
    <col min="14084" max="14084" width="3.6328125" style="140" customWidth="1"/>
    <col min="14085" max="14085" width="14.6328125" style="140" customWidth="1"/>
    <col min="14086" max="14096" width="6.6328125" style="140" customWidth="1"/>
    <col min="14097" max="14097" width="9.36328125" style="140" bestFit="1" customWidth="1"/>
    <col min="14098" max="14337" width="9.08984375" style="140"/>
    <col min="14338" max="14338" width="3.6328125" style="140" customWidth="1"/>
    <col min="14339" max="14339" width="14.453125" style="140" customWidth="1"/>
    <col min="14340" max="14340" width="3.6328125" style="140" customWidth="1"/>
    <col min="14341" max="14341" width="14.6328125" style="140" customWidth="1"/>
    <col min="14342" max="14352" width="6.6328125" style="140" customWidth="1"/>
    <col min="14353" max="14353" width="9.36328125" style="140" bestFit="1" customWidth="1"/>
    <col min="14354" max="14593" width="9.08984375" style="140"/>
    <col min="14594" max="14594" width="3.6328125" style="140" customWidth="1"/>
    <col min="14595" max="14595" width="14.453125" style="140" customWidth="1"/>
    <col min="14596" max="14596" width="3.6328125" style="140" customWidth="1"/>
    <col min="14597" max="14597" width="14.6328125" style="140" customWidth="1"/>
    <col min="14598" max="14608" width="6.6328125" style="140" customWidth="1"/>
    <col min="14609" max="14609" width="9.36328125" style="140" bestFit="1" customWidth="1"/>
    <col min="14610" max="14849" width="9.08984375" style="140"/>
    <col min="14850" max="14850" width="3.6328125" style="140" customWidth="1"/>
    <col min="14851" max="14851" width="14.453125" style="140" customWidth="1"/>
    <col min="14852" max="14852" width="3.6328125" style="140" customWidth="1"/>
    <col min="14853" max="14853" width="14.6328125" style="140" customWidth="1"/>
    <col min="14854" max="14864" width="6.6328125" style="140" customWidth="1"/>
    <col min="14865" max="14865" width="9.36328125" style="140" bestFit="1" customWidth="1"/>
    <col min="14866" max="15105" width="9.08984375" style="140"/>
    <col min="15106" max="15106" width="3.6328125" style="140" customWidth="1"/>
    <col min="15107" max="15107" width="14.453125" style="140" customWidth="1"/>
    <col min="15108" max="15108" width="3.6328125" style="140" customWidth="1"/>
    <col min="15109" max="15109" width="14.6328125" style="140" customWidth="1"/>
    <col min="15110" max="15120" width="6.6328125" style="140" customWidth="1"/>
    <col min="15121" max="15121" width="9.36328125" style="140" bestFit="1" customWidth="1"/>
    <col min="15122" max="15361" width="9.08984375" style="140"/>
    <col min="15362" max="15362" width="3.6328125" style="140" customWidth="1"/>
    <col min="15363" max="15363" width="14.453125" style="140" customWidth="1"/>
    <col min="15364" max="15364" width="3.6328125" style="140" customWidth="1"/>
    <col min="15365" max="15365" width="14.6328125" style="140" customWidth="1"/>
    <col min="15366" max="15376" width="6.6328125" style="140" customWidth="1"/>
    <col min="15377" max="15377" width="9.36328125" style="140" bestFit="1" customWidth="1"/>
    <col min="15378" max="15617" width="9.08984375" style="140"/>
    <col min="15618" max="15618" width="3.6328125" style="140" customWidth="1"/>
    <col min="15619" max="15619" width="14.453125" style="140" customWidth="1"/>
    <col min="15620" max="15620" width="3.6328125" style="140" customWidth="1"/>
    <col min="15621" max="15621" width="14.6328125" style="140" customWidth="1"/>
    <col min="15622" max="15632" width="6.6328125" style="140" customWidth="1"/>
    <col min="15633" max="15633" width="9.36328125" style="140" bestFit="1" customWidth="1"/>
    <col min="15634" max="15873" width="9.08984375" style="140"/>
    <col min="15874" max="15874" width="3.6328125" style="140" customWidth="1"/>
    <col min="15875" max="15875" width="14.453125" style="140" customWidth="1"/>
    <col min="15876" max="15876" width="3.6328125" style="140" customWidth="1"/>
    <col min="15877" max="15877" width="14.6328125" style="140" customWidth="1"/>
    <col min="15878" max="15888" width="6.6328125" style="140" customWidth="1"/>
    <col min="15889" max="15889" width="9.36328125" style="140" bestFit="1" customWidth="1"/>
    <col min="15890" max="16129" width="9.08984375" style="140"/>
    <col min="16130" max="16130" width="3.6328125" style="140" customWidth="1"/>
    <col min="16131" max="16131" width="14.453125" style="140" customWidth="1"/>
    <col min="16132" max="16132" width="3.6328125" style="140" customWidth="1"/>
    <col min="16133" max="16133" width="14.6328125" style="140" customWidth="1"/>
    <col min="16134" max="16144" width="6.6328125" style="140" customWidth="1"/>
    <col min="16145" max="16145" width="9.36328125" style="140" bestFit="1" customWidth="1"/>
    <col min="16146" max="16384" width="9.08984375" style="140"/>
  </cols>
  <sheetData>
    <row r="1" spans="1:29" ht="15.5" x14ac:dyDescent="0.35">
      <c r="D1" s="3298"/>
      <c r="E1" s="3298"/>
      <c r="F1" s="3298"/>
      <c r="G1" s="3298"/>
      <c r="H1" s="3298"/>
      <c r="I1" s="3298"/>
      <c r="J1" s="3298"/>
      <c r="K1" s="3299"/>
      <c r="L1" s="3299"/>
      <c r="M1" s="3299"/>
      <c r="N1" s="3299"/>
      <c r="O1" s="3299"/>
      <c r="P1" s="3299"/>
      <c r="Q1" s="3300"/>
      <c r="R1" s="3300"/>
      <c r="S1" s="3300"/>
      <c r="T1" s="3300"/>
    </row>
    <row r="2" spans="1:29" ht="12.75" customHeight="1" x14ac:dyDescent="0.35">
      <c r="A2" s="819">
        <v>1</v>
      </c>
      <c r="B2" s="819" t="s">
        <v>0</v>
      </c>
      <c r="C2" s="819">
        <v>58</v>
      </c>
      <c r="D2" s="4691" t="s">
        <v>1336</v>
      </c>
      <c r="E2" s="4692"/>
      <c r="F2" s="4692"/>
      <c r="G2" s="4692"/>
      <c r="H2" s="4692"/>
      <c r="I2" s="4692"/>
      <c r="J2" s="4692"/>
      <c r="K2" s="4692"/>
      <c r="L2" s="4692"/>
      <c r="M2" s="4692"/>
      <c r="N2" s="4692"/>
      <c r="O2" s="4693"/>
      <c r="P2" s="482"/>
      <c r="Q2" s="3301"/>
      <c r="R2" s="3302"/>
      <c r="S2" s="3303"/>
      <c r="T2" s="3303"/>
      <c r="U2" s="1508"/>
      <c r="V2" s="1508"/>
      <c r="W2" s="1508"/>
    </row>
    <row r="3" spans="1:29" ht="12.75" customHeight="1" x14ac:dyDescent="0.35">
      <c r="A3" s="819">
        <v>2</v>
      </c>
      <c r="B3" s="819" t="s">
        <v>2</v>
      </c>
      <c r="C3" s="819"/>
      <c r="D3" s="4691" t="s">
        <v>1313</v>
      </c>
      <c r="E3" s="4692"/>
      <c r="F3" s="4692"/>
      <c r="G3" s="4692"/>
      <c r="H3" s="4692"/>
      <c r="I3" s="4692"/>
      <c r="J3" s="4692"/>
      <c r="K3" s="4692"/>
      <c r="L3" s="4692"/>
      <c r="M3" s="4692"/>
      <c r="N3" s="4692"/>
      <c r="O3" s="4693"/>
      <c r="P3" s="482"/>
      <c r="Q3" s="3301"/>
      <c r="R3" s="3302"/>
      <c r="S3" s="3300"/>
      <c r="T3" s="3300"/>
    </row>
    <row r="4" spans="1:29" ht="15" customHeight="1" x14ac:dyDescent="0.35">
      <c r="A4" s="819">
        <v>3</v>
      </c>
      <c r="B4" s="819" t="s">
        <v>4</v>
      </c>
      <c r="C4" s="819"/>
      <c r="D4" s="4691" t="s">
        <v>1337</v>
      </c>
      <c r="E4" s="4692"/>
      <c r="F4" s="4692"/>
      <c r="G4" s="4692"/>
      <c r="H4" s="4692"/>
      <c r="I4" s="4692"/>
      <c r="J4" s="4692"/>
      <c r="K4" s="4692"/>
      <c r="L4" s="4692"/>
      <c r="M4" s="4692"/>
      <c r="N4" s="4692"/>
      <c r="O4" s="4693"/>
      <c r="P4" s="482"/>
      <c r="Q4" s="3301"/>
      <c r="R4" s="3302"/>
      <c r="S4" s="3300"/>
      <c r="T4" s="3300"/>
    </row>
    <row r="5" spans="1:29" ht="16.5" customHeight="1" x14ac:dyDescent="0.35">
      <c r="A5" s="819"/>
      <c r="B5" s="819"/>
      <c r="C5" s="819"/>
      <c r="D5" s="949"/>
      <c r="E5" s="3304"/>
      <c r="F5" s="482"/>
      <c r="G5" s="482"/>
      <c r="H5" s="482"/>
      <c r="I5" s="482"/>
      <c r="J5" s="482"/>
      <c r="K5" s="482"/>
      <c r="L5" s="482"/>
      <c r="M5" s="482"/>
      <c r="N5" s="482"/>
      <c r="O5" s="482"/>
      <c r="P5" s="482"/>
      <c r="Q5" s="3301"/>
      <c r="R5" s="3302"/>
      <c r="S5" s="3300"/>
      <c r="T5" s="3300"/>
    </row>
    <row r="6" spans="1:29" ht="12.75" customHeight="1" x14ac:dyDescent="0.35">
      <c r="A6" s="819">
        <v>4</v>
      </c>
      <c r="B6" s="1192" t="s">
        <v>6</v>
      </c>
      <c r="C6" s="1192"/>
      <c r="D6" s="3305" t="s">
        <v>74</v>
      </c>
      <c r="E6" s="4992" t="str">
        <f>D2</f>
        <v>Country going in the right direction</v>
      </c>
      <c r="F6" s="4992"/>
      <c r="G6" s="4992"/>
      <c r="H6" s="4992"/>
      <c r="I6" s="4992"/>
      <c r="J6" s="4992"/>
      <c r="K6" s="4993"/>
      <c r="L6" s="4993"/>
      <c r="M6" s="4993"/>
      <c r="N6" s="4993"/>
      <c r="O6" s="4993"/>
      <c r="P6" s="4993"/>
      <c r="Q6" s="4993"/>
      <c r="R6" s="4993"/>
      <c r="S6" s="3300"/>
      <c r="T6" s="3300"/>
    </row>
    <row r="7" spans="1:29" ht="15.5" x14ac:dyDescent="0.35">
      <c r="A7" s="819"/>
      <c r="B7" s="819"/>
      <c r="C7" s="819"/>
      <c r="D7" s="3306"/>
      <c r="E7" s="4994" t="s">
        <v>1338</v>
      </c>
      <c r="F7" s="4995"/>
      <c r="G7" s="4996" t="s">
        <v>1339</v>
      </c>
      <c r="H7" s="4995"/>
      <c r="I7" s="4996" t="s">
        <v>1340</v>
      </c>
      <c r="J7" s="4995"/>
      <c r="K7" s="4997" t="s">
        <v>1341</v>
      </c>
      <c r="L7" s="4998"/>
      <c r="M7" s="4996" t="s">
        <v>1342</v>
      </c>
      <c r="N7" s="4999"/>
      <c r="O7" s="3307"/>
      <c r="P7" s="3307"/>
      <c r="Q7" s="3302"/>
      <c r="R7" s="3300"/>
      <c r="S7" s="3300"/>
      <c r="AC7" s="140"/>
    </row>
    <row r="8" spans="1:29" ht="15.5" x14ac:dyDescent="0.35">
      <c r="A8" s="819"/>
      <c r="B8" s="819"/>
      <c r="C8" s="819"/>
      <c r="D8" s="3308"/>
      <c r="E8" s="3309" t="s">
        <v>1343</v>
      </c>
      <c r="F8" s="3310" t="s">
        <v>1344</v>
      </c>
      <c r="G8" s="3311" t="s">
        <v>1343</v>
      </c>
      <c r="H8" s="3310" t="s">
        <v>1344</v>
      </c>
      <c r="I8" s="3311" t="s">
        <v>1343</v>
      </c>
      <c r="J8" s="3310" t="s">
        <v>1344</v>
      </c>
      <c r="K8" s="3311" t="s">
        <v>1343</v>
      </c>
      <c r="L8" s="3310" t="s">
        <v>1344</v>
      </c>
      <c r="M8" s="3312" t="s">
        <v>1343</v>
      </c>
      <c r="N8" s="3313" t="s">
        <v>1344</v>
      </c>
      <c r="O8" s="3307"/>
      <c r="P8" s="3307"/>
      <c r="Q8" s="3302"/>
      <c r="R8" s="3300"/>
      <c r="S8" s="3300"/>
      <c r="AC8" s="140"/>
    </row>
    <row r="9" spans="1:29" ht="15.5" x14ac:dyDescent="0.35">
      <c r="A9" s="819"/>
      <c r="B9" s="819"/>
      <c r="C9" s="819"/>
      <c r="D9" s="3314" t="s">
        <v>1345</v>
      </c>
      <c r="E9" s="3315">
        <v>76</v>
      </c>
      <c r="F9" s="3316">
        <v>62</v>
      </c>
      <c r="G9" s="3315">
        <v>49</v>
      </c>
      <c r="H9" s="3316">
        <v>66</v>
      </c>
      <c r="I9" s="3315">
        <v>57</v>
      </c>
      <c r="J9" s="3316">
        <v>56</v>
      </c>
      <c r="K9" s="3317"/>
      <c r="L9" s="3316"/>
      <c r="M9" s="3318">
        <v>43</v>
      </c>
      <c r="N9" s="3319">
        <v>48</v>
      </c>
      <c r="O9" s="3320"/>
      <c r="P9" s="3320"/>
      <c r="Q9" s="3321"/>
      <c r="R9" s="3300"/>
      <c r="S9" s="3300"/>
      <c r="AC9" s="140"/>
    </row>
    <row r="10" spans="1:29" ht="15.5" x14ac:dyDescent="0.35">
      <c r="A10" s="819"/>
      <c r="B10" s="819"/>
      <c r="C10" s="819"/>
      <c r="D10" s="3322" t="s">
        <v>1346</v>
      </c>
      <c r="E10" s="3315">
        <v>66</v>
      </c>
      <c r="F10" s="3316">
        <v>60</v>
      </c>
      <c r="G10" s="3315">
        <v>56</v>
      </c>
      <c r="H10" s="3316">
        <v>41</v>
      </c>
      <c r="I10" s="3315">
        <v>48.8</v>
      </c>
      <c r="J10" s="3316">
        <v>47.5</v>
      </c>
      <c r="K10" s="3315">
        <v>42.8</v>
      </c>
      <c r="L10" s="3315">
        <v>47.8</v>
      </c>
      <c r="M10" s="3318">
        <v>51.8</v>
      </c>
      <c r="N10" s="3319">
        <v>54</v>
      </c>
      <c r="O10" s="3323"/>
      <c r="P10" s="3323"/>
      <c r="Q10" s="3302"/>
      <c r="R10" s="3300"/>
      <c r="S10" s="3300"/>
      <c r="AC10" s="140"/>
    </row>
    <row r="11" spans="1:29" ht="15.5" x14ac:dyDescent="0.35">
      <c r="A11" s="819"/>
      <c r="B11" s="819"/>
      <c r="C11" s="819"/>
      <c r="D11" s="3324" t="s">
        <v>1347</v>
      </c>
      <c r="E11" s="3315">
        <v>73.5</v>
      </c>
      <c r="F11" s="3316">
        <v>67.599999999999994</v>
      </c>
      <c r="G11" s="3315">
        <v>67.5</v>
      </c>
      <c r="H11" s="3316">
        <v>65</v>
      </c>
      <c r="I11" s="3315">
        <v>69</v>
      </c>
      <c r="J11" s="3316">
        <v>50.5</v>
      </c>
      <c r="K11" s="3325">
        <v>59.6</v>
      </c>
      <c r="L11" s="3315">
        <v>54.3</v>
      </c>
      <c r="M11" s="3318">
        <v>45.5</v>
      </c>
      <c r="N11" s="3319">
        <v>38.4</v>
      </c>
      <c r="O11" s="3320"/>
      <c r="P11" s="3320"/>
      <c r="Q11" s="3302"/>
      <c r="R11" s="3300"/>
      <c r="S11" s="3300"/>
      <c r="AC11" s="140"/>
    </row>
    <row r="12" spans="1:29" ht="15.5" x14ac:dyDescent="0.35">
      <c r="A12" s="819"/>
      <c r="B12" s="819"/>
      <c r="C12" s="819"/>
      <c r="D12" s="3322" t="s">
        <v>1348</v>
      </c>
      <c r="E12" s="3315">
        <v>42.8</v>
      </c>
      <c r="F12" s="3316">
        <v>56.4</v>
      </c>
      <c r="G12" s="3315">
        <v>55.3</v>
      </c>
      <c r="H12" s="3316">
        <v>50</v>
      </c>
      <c r="I12" s="3315">
        <v>51</v>
      </c>
      <c r="J12" s="3316">
        <v>45.1</v>
      </c>
      <c r="K12" s="3315">
        <v>46.1</v>
      </c>
      <c r="L12" s="3315">
        <v>38.200000000000003</v>
      </c>
      <c r="M12" s="3318">
        <v>37.6</v>
      </c>
      <c r="N12" s="3319">
        <v>33.6</v>
      </c>
      <c r="O12" s="3320"/>
      <c r="P12" s="3320"/>
      <c r="Q12" s="3302"/>
      <c r="R12" s="3300"/>
      <c r="S12" s="3300"/>
      <c r="AC12" s="140"/>
    </row>
    <row r="13" spans="1:29" ht="15.5" x14ac:dyDescent="0.35">
      <c r="A13" s="819"/>
      <c r="B13" s="819"/>
      <c r="C13" s="819"/>
      <c r="D13" s="3326" t="s">
        <v>1349</v>
      </c>
      <c r="E13" s="3327">
        <v>40.799999999999997</v>
      </c>
      <c r="F13" s="3327">
        <v>42</v>
      </c>
      <c r="G13" s="3328">
        <v>44</v>
      </c>
      <c r="H13" s="3329">
        <v>40</v>
      </c>
      <c r="I13" s="3327">
        <v>28</v>
      </c>
      <c r="J13" s="3329">
        <v>31</v>
      </c>
      <c r="K13" s="3328">
        <v>20</v>
      </c>
      <c r="L13" s="3327">
        <v>26</v>
      </c>
      <c r="M13" s="3330">
        <v>27</v>
      </c>
      <c r="N13" s="3331">
        <v>27</v>
      </c>
      <c r="O13" s="3320"/>
      <c r="P13" s="3320"/>
      <c r="Q13" s="3302"/>
      <c r="R13" s="3300"/>
      <c r="S13" s="3300"/>
      <c r="AC13" s="140"/>
    </row>
    <row r="14" spans="1:29" ht="15.5" x14ac:dyDescent="0.35">
      <c r="A14" s="819"/>
      <c r="B14" s="819"/>
      <c r="C14" s="819"/>
      <c r="D14" s="107" t="s">
        <v>1350</v>
      </c>
      <c r="E14" s="3315">
        <v>23.5</v>
      </c>
      <c r="F14" s="3315">
        <v>26.2</v>
      </c>
      <c r="G14" s="3315"/>
      <c r="H14" s="3315"/>
      <c r="I14" s="3315"/>
      <c r="J14" s="3315"/>
      <c r="K14" s="3315"/>
      <c r="L14" s="3315"/>
      <c r="M14" s="3315"/>
      <c r="N14" s="3315"/>
      <c r="O14" s="3320"/>
      <c r="P14" s="3320"/>
      <c r="Q14" s="3302"/>
      <c r="R14" s="3300"/>
      <c r="S14" s="3300"/>
      <c r="AC14" s="140"/>
    </row>
    <row r="15" spans="1:29" ht="15.5" x14ac:dyDescent="0.35">
      <c r="A15" s="819"/>
      <c r="B15" s="819"/>
      <c r="C15" s="819"/>
      <c r="D15" s="107"/>
      <c r="E15" s="3333"/>
      <c r="F15" s="3333"/>
      <c r="G15" s="3333"/>
      <c r="H15" s="3333"/>
      <c r="I15" s="3333"/>
      <c r="J15" s="3333"/>
      <c r="K15" s="3333"/>
      <c r="L15" s="3333"/>
      <c r="M15" s="3333"/>
      <c r="N15" s="3333"/>
      <c r="O15" s="3333"/>
      <c r="P15" s="3333"/>
      <c r="Q15" s="3320"/>
      <c r="R15" s="3302"/>
      <c r="S15" s="3300"/>
      <c r="T15" s="3300"/>
    </row>
    <row r="16" spans="1:29" ht="15.5" x14ac:dyDescent="0.35">
      <c r="A16" s="819">
        <v>5</v>
      </c>
      <c r="B16" s="819" t="s">
        <v>56</v>
      </c>
      <c r="C16" s="819"/>
      <c r="D16" s="107"/>
      <c r="E16" s="3333"/>
      <c r="F16" s="3333"/>
      <c r="G16" s="3333"/>
      <c r="H16" s="3333"/>
      <c r="I16" s="3333"/>
      <c r="J16" s="3333"/>
      <c r="K16" s="3333"/>
      <c r="L16" s="3333"/>
      <c r="M16" s="3333"/>
      <c r="N16" s="3333"/>
      <c r="O16" s="3333"/>
      <c r="P16" s="3333"/>
      <c r="Q16" s="3320"/>
      <c r="R16" s="3302"/>
      <c r="S16" s="3300"/>
      <c r="T16" s="3300"/>
    </row>
    <row r="17" spans="1:23" ht="15.5" x14ac:dyDescent="0.35">
      <c r="A17" s="819"/>
      <c r="B17" s="819"/>
      <c r="C17" s="819"/>
      <c r="D17" s="107"/>
      <c r="E17" s="3333"/>
      <c r="F17" s="3333"/>
      <c r="G17" s="3333"/>
      <c r="H17" s="3333"/>
      <c r="I17" s="3333"/>
      <c r="J17" s="3333"/>
      <c r="K17" s="3333"/>
      <c r="L17" s="3333"/>
      <c r="M17" s="3333"/>
      <c r="N17" s="3333"/>
      <c r="O17" s="3333"/>
      <c r="P17" s="3333"/>
      <c r="Q17" s="3320"/>
      <c r="R17" s="3302"/>
      <c r="S17" s="3300"/>
      <c r="T17" s="3300"/>
    </row>
    <row r="18" spans="1:23" ht="15.5" x14ac:dyDescent="0.35">
      <c r="A18" s="819"/>
      <c r="B18" s="819"/>
      <c r="C18" s="819"/>
      <c r="D18" s="107"/>
      <c r="E18" s="3333"/>
      <c r="F18" s="3333"/>
      <c r="G18" s="3333"/>
      <c r="H18" s="3333"/>
      <c r="I18" s="3333"/>
      <c r="J18" s="3333"/>
      <c r="K18" s="3333"/>
      <c r="L18" s="3333"/>
      <c r="M18" s="3333"/>
      <c r="N18" s="3333"/>
      <c r="O18" s="3333"/>
      <c r="P18" s="3333"/>
      <c r="Q18" s="3320"/>
      <c r="R18" s="3302"/>
      <c r="S18" s="3300"/>
      <c r="T18" s="3300"/>
      <c r="W18" s="3334"/>
    </row>
    <row r="19" spans="1:23" ht="15.5" x14ac:dyDescent="0.35">
      <c r="A19" s="819"/>
      <c r="B19" s="819"/>
      <c r="C19" s="819"/>
      <c r="D19" s="107"/>
      <c r="E19" s="3333"/>
      <c r="F19" s="3333"/>
      <c r="G19" s="3333"/>
      <c r="H19" s="3333"/>
      <c r="I19" s="3333"/>
      <c r="J19" s="3333"/>
      <c r="K19" s="3333"/>
      <c r="L19" s="3333"/>
      <c r="M19" s="3333"/>
      <c r="N19" s="3333"/>
      <c r="O19" s="3333"/>
      <c r="P19" s="3333"/>
      <c r="Q19" s="3320"/>
      <c r="R19" s="3302"/>
      <c r="S19" s="3300"/>
      <c r="T19" s="3300"/>
    </row>
    <row r="20" spans="1:23" ht="15.5" x14ac:dyDescent="0.35">
      <c r="A20" s="819"/>
      <c r="B20" s="819"/>
      <c r="C20" s="819"/>
      <c r="D20" s="107"/>
      <c r="E20" s="3333"/>
      <c r="F20" s="3333"/>
      <c r="G20" s="3333"/>
      <c r="H20" s="3333"/>
      <c r="I20" s="3333"/>
      <c r="J20" s="3333"/>
      <c r="K20" s="3333"/>
      <c r="L20" s="3333"/>
      <c r="M20" s="3333"/>
      <c r="N20" s="3333"/>
      <c r="O20" s="3333"/>
      <c r="P20" s="3333"/>
      <c r="Q20" s="3320"/>
      <c r="R20" s="3302"/>
      <c r="S20" s="3300"/>
      <c r="T20" s="3300"/>
    </row>
    <row r="21" spans="1:23" ht="15.5" x14ac:dyDescent="0.35">
      <c r="A21" s="819"/>
      <c r="B21" s="819"/>
      <c r="C21" s="819"/>
      <c r="D21" s="107"/>
      <c r="E21" s="3333"/>
      <c r="F21" s="3333"/>
      <c r="G21" s="3333"/>
      <c r="H21" s="3333"/>
      <c r="I21" s="3333"/>
      <c r="J21" s="3333"/>
      <c r="K21" s="3333"/>
      <c r="L21" s="3333"/>
      <c r="M21" s="3333"/>
      <c r="N21" s="3333"/>
      <c r="O21" s="3333"/>
      <c r="P21" s="3333"/>
      <c r="Q21" s="3320"/>
      <c r="R21" s="3302"/>
      <c r="S21" s="3300"/>
      <c r="T21" s="3300"/>
    </row>
    <row r="22" spans="1:23" ht="15.5" x14ac:dyDescent="0.35">
      <c r="A22" s="819"/>
      <c r="B22" s="819"/>
      <c r="C22" s="819"/>
      <c r="D22" s="107"/>
      <c r="E22" s="3333"/>
      <c r="F22" s="3333"/>
      <c r="G22" s="3333"/>
      <c r="H22" s="3333"/>
      <c r="I22" s="3333"/>
      <c r="J22" s="3333"/>
      <c r="K22" s="3333"/>
      <c r="L22" s="3333"/>
      <c r="M22" s="3333"/>
      <c r="N22" s="3333"/>
      <c r="O22" s="3333"/>
      <c r="P22" s="3333"/>
      <c r="Q22" s="3320"/>
      <c r="R22" s="3302"/>
      <c r="S22" s="3300"/>
      <c r="T22" s="3300"/>
    </row>
    <row r="23" spans="1:23" ht="15.5" x14ac:dyDescent="0.35">
      <c r="A23" s="819"/>
      <c r="B23" s="819"/>
      <c r="C23" s="819"/>
      <c r="D23" s="107"/>
      <c r="E23" s="3333"/>
      <c r="F23" s="3333"/>
      <c r="G23" s="3333"/>
      <c r="H23" s="3333"/>
      <c r="I23" s="3333"/>
      <c r="J23" s="3333"/>
      <c r="K23" s="3333"/>
      <c r="L23" s="3333"/>
      <c r="M23" s="3333"/>
      <c r="N23" s="3333"/>
      <c r="O23" s="3333"/>
      <c r="P23" s="3333"/>
      <c r="Q23" s="3320"/>
      <c r="R23" s="3302"/>
      <c r="S23" s="3300"/>
      <c r="T23" s="3300"/>
    </row>
    <row r="24" spans="1:23" ht="15.5" x14ac:dyDescent="0.35">
      <c r="A24" s="819"/>
      <c r="B24" s="819"/>
      <c r="C24" s="819"/>
      <c r="D24" s="107"/>
      <c r="E24" s="3333"/>
      <c r="F24" s="3333"/>
      <c r="G24" s="3333"/>
      <c r="H24" s="3333"/>
      <c r="I24" s="3333"/>
      <c r="J24" s="3333"/>
      <c r="K24" s="3333"/>
      <c r="L24" s="3333"/>
      <c r="M24" s="3333"/>
      <c r="N24" s="3333"/>
      <c r="O24" s="3333"/>
      <c r="P24" s="3333"/>
      <c r="Q24" s="3320"/>
      <c r="R24" s="3335"/>
      <c r="S24" s="3300"/>
      <c r="T24" s="3300"/>
    </row>
    <row r="25" spans="1:23" ht="15.5" x14ac:dyDescent="0.35">
      <c r="A25" s="819"/>
      <c r="B25" s="819"/>
      <c r="C25" s="819"/>
      <c r="D25" s="107"/>
      <c r="E25" s="3333"/>
      <c r="F25" s="3333"/>
      <c r="G25" s="3333"/>
      <c r="H25" s="3333"/>
      <c r="I25" s="3333"/>
      <c r="J25" s="3333"/>
      <c r="K25" s="3333"/>
      <c r="L25" s="3333"/>
      <c r="M25" s="3333"/>
      <c r="N25" s="3333"/>
      <c r="O25" s="3333"/>
      <c r="P25" s="3333"/>
      <c r="Q25" s="3320"/>
      <c r="R25" s="3302"/>
      <c r="S25" s="3300"/>
      <c r="T25" s="3300"/>
    </row>
    <row r="26" spans="1:23" ht="15.5" x14ac:dyDescent="0.35">
      <c r="A26" s="819"/>
      <c r="B26" s="819"/>
      <c r="C26" s="819"/>
      <c r="D26" s="107"/>
      <c r="E26" s="3333"/>
      <c r="F26" s="3333"/>
      <c r="G26" s="3333"/>
      <c r="H26" s="3333"/>
      <c r="I26" s="3333"/>
      <c r="J26" s="3333"/>
      <c r="K26" s="3333"/>
      <c r="L26" s="3333"/>
      <c r="M26" s="3333"/>
      <c r="N26" s="3333"/>
      <c r="O26" s="3333"/>
      <c r="P26" s="3333"/>
      <c r="Q26" s="3320"/>
      <c r="R26" s="3302"/>
      <c r="S26" s="3300"/>
      <c r="T26" s="3300"/>
    </row>
    <row r="27" spans="1:23" ht="15.5" x14ac:dyDescent="0.35">
      <c r="A27" s="819"/>
      <c r="B27" s="819"/>
      <c r="C27" s="819"/>
      <c r="D27" s="107"/>
      <c r="E27" s="3333"/>
      <c r="F27" s="3333"/>
      <c r="G27" s="3333"/>
      <c r="H27" s="3333"/>
      <c r="I27" s="3333"/>
      <c r="J27" s="3333"/>
      <c r="K27" s="3333"/>
      <c r="L27" s="3333"/>
      <c r="M27" s="3333"/>
      <c r="N27" s="3333"/>
      <c r="O27" s="3333"/>
      <c r="P27" s="3333"/>
      <c r="Q27" s="3320"/>
      <c r="R27" s="3302"/>
      <c r="S27" s="3300"/>
      <c r="T27" s="3300"/>
    </row>
    <row r="28" spans="1:23" ht="15.5" x14ac:dyDescent="0.35">
      <c r="A28" s="819"/>
      <c r="B28" s="819"/>
      <c r="C28" s="819"/>
      <c r="D28" s="107"/>
      <c r="E28" s="3333"/>
      <c r="F28" s="3333"/>
      <c r="G28" s="3333"/>
      <c r="H28" s="3333"/>
      <c r="I28" s="3333"/>
      <c r="J28" s="3333"/>
      <c r="K28" s="3333"/>
      <c r="L28" s="3333"/>
      <c r="M28" s="3333"/>
      <c r="N28" s="3333"/>
      <c r="O28" s="3333"/>
      <c r="P28" s="3333"/>
      <c r="Q28" s="3320"/>
      <c r="R28" s="3302"/>
      <c r="S28" s="3300"/>
      <c r="T28" s="3300"/>
    </row>
    <row r="29" spans="1:23" ht="15.5" x14ac:dyDescent="0.35">
      <c r="A29" s="819"/>
      <c r="B29" s="819"/>
      <c r="C29" s="819"/>
      <c r="D29" s="107"/>
      <c r="E29" s="3333"/>
      <c r="F29" s="3333"/>
      <c r="G29" s="3333"/>
      <c r="H29" s="3333"/>
      <c r="I29" s="3333"/>
      <c r="J29" s="3333"/>
      <c r="K29" s="3333"/>
      <c r="L29" s="3333"/>
      <c r="M29" s="3333"/>
      <c r="N29" s="3333"/>
      <c r="O29" s="3333"/>
      <c r="P29" s="3333"/>
      <c r="Q29" s="3320"/>
      <c r="R29" s="3302"/>
      <c r="S29" s="3300"/>
      <c r="T29" s="3300"/>
    </row>
    <row r="30" spans="1:23" ht="15.5" x14ac:dyDescent="0.35">
      <c r="A30" s="819"/>
      <c r="B30" s="819"/>
      <c r="C30" s="819"/>
      <c r="D30" s="107"/>
      <c r="E30" s="3333"/>
      <c r="F30" s="3333"/>
      <c r="G30" s="3333"/>
      <c r="H30" s="3333"/>
      <c r="I30" s="3333"/>
      <c r="J30" s="3333"/>
      <c r="K30" s="3333"/>
      <c r="L30" s="3333"/>
      <c r="M30" s="3333"/>
      <c r="N30" s="3333"/>
      <c r="O30" s="3333"/>
      <c r="P30" s="3333"/>
      <c r="Q30" s="3320"/>
      <c r="R30" s="3302"/>
      <c r="S30" s="3300"/>
      <c r="T30" s="3300"/>
    </row>
    <row r="31" spans="1:23" ht="15.5" x14ac:dyDescent="0.35">
      <c r="D31" s="1190"/>
      <c r="E31" s="1190"/>
      <c r="F31" s="1190"/>
      <c r="G31" s="1190"/>
      <c r="H31" s="1190"/>
      <c r="I31" s="1190"/>
      <c r="J31" s="1190"/>
      <c r="K31" s="1421"/>
      <c r="L31" s="1421"/>
      <c r="M31" s="1421"/>
      <c r="N31" s="1421"/>
      <c r="O31" s="1421"/>
      <c r="P31" s="1421"/>
      <c r="Q31" s="3300"/>
      <c r="R31" s="3300"/>
      <c r="S31" s="3300"/>
      <c r="T31" s="3300"/>
    </row>
    <row r="32" spans="1:23" ht="15.5" x14ac:dyDescent="0.35">
      <c r="D32" s="1190"/>
      <c r="E32" s="1190"/>
      <c r="F32" s="1190"/>
      <c r="G32" s="1190"/>
      <c r="H32" s="1190"/>
      <c r="I32" s="1190"/>
      <c r="J32" s="1190"/>
      <c r="K32" s="1421"/>
      <c r="L32" s="1421"/>
      <c r="M32" s="1421"/>
      <c r="N32" s="1421"/>
      <c r="O32" s="1421"/>
      <c r="P32" s="1421"/>
      <c r="Q32" s="3300"/>
      <c r="R32" s="3300"/>
      <c r="S32" s="3300"/>
      <c r="T32" s="3300"/>
    </row>
    <row r="33" spans="1:20" ht="15.5" x14ac:dyDescent="0.35">
      <c r="D33" s="4986" t="s">
        <v>942</v>
      </c>
      <c r="E33" s="4987"/>
      <c r="F33" s="4990" t="s">
        <v>1351</v>
      </c>
      <c r="G33" s="4991"/>
      <c r="H33" s="4983" t="s">
        <v>1352</v>
      </c>
      <c r="I33" s="4984"/>
      <c r="J33" s="4983" t="s">
        <v>1353</v>
      </c>
      <c r="K33" s="4984"/>
      <c r="L33" s="4983" t="s">
        <v>1354</v>
      </c>
      <c r="M33" s="4984"/>
      <c r="N33" s="4983" t="s">
        <v>1355</v>
      </c>
      <c r="O33" s="4984"/>
      <c r="P33" s="4981" t="s">
        <v>1356</v>
      </c>
      <c r="Q33" s="4982"/>
      <c r="R33" s="3300"/>
      <c r="S33" s="3300"/>
      <c r="T33" s="3300"/>
    </row>
    <row r="34" spans="1:20" ht="15.5" x14ac:dyDescent="0.35">
      <c r="D34" s="4988"/>
      <c r="E34" s="4989"/>
      <c r="F34" s="3336" t="s">
        <v>934</v>
      </c>
      <c r="G34" s="3337" t="s">
        <v>939</v>
      </c>
      <c r="H34" s="3336" t="s">
        <v>934</v>
      </c>
      <c r="I34" s="3337" t="s">
        <v>939</v>
      </c>
      <c r="J34" s="3336" t="s">
        <v>1315</v>
      </c>
      <c r="K34" s="3337" t="s">
        <v>939</v>
      </c>
      <c r="L34" s="3336" t="s">
        <v>1318</v>
      </c>
      <c r="M34" s="3336" t="s">
        <v>1319</v>
      </c>
      <c r="N34" s="3336" t="s">
        <v>1320</v>
      </c>
      <c r="O34" s="3336" t="s">
        <v>1321</v>
      </c>
      <c r="P34" s="4537" t="s">
        <v>1322</v>
      </c>
      <c r="Q34" s="4538" t="s">
        <v>1323</v>
      </c>
      <c r="R34" s="3300"/>
      <c r="S34" s="3300"/>
      <c r="T34" s="3300"/>
    </row>
    <row r="35" spans="1:20" ht="15.5" x14ac:dyDescent="0.35">
      <c r="D35" s="4980" t="s">
        <v>402</v>
      </c>
      <c r="E35" s="4980"/>
      <c r="F35" s="3338">
        <v>34.700000000000003</v>
      </c>
      <c r="G35" s="3339">
        <v>34.200000000000003</v>
      </c>
      <c r="H35" s="3338">
        <v>35</v>
      </c>
      <c r="I35" s="3339">
        <v>32.4</v>
      </c>
      <c r="J35" s="3340">
        <v>25</v>
      </c>
      <c r="K35" s="3341">
        <v>30.28</v>
      </c>
      <c r="L35" s="3342">
        <v>24</v>
      </c>
      <c r="M35" s="3343">
        <v>26</v>
      </c>
      <c r="N35" s="3344">
        <v>29</v>
      </c>
      <c r="O35" s="3345">
        <v>28</v>
      </c>
      <c r="P35" s="4539">
        <v>28</v>
      </c>
      <c r="Q35" s="4540">
        <v>29</v>
      </c>
      <c r="R35" s="3300"/>
      <c r="S35" s="3300"/>
      <c r="T35" s="3300"/>
    </row>
    <row r="36" spans="1:20" ht="15.5" x14ac:dyDescent="0.35">
      <c r="D36" s="4980" t="s">
        <v>404</v>
      </c>
      <c r="E36" s="4980"/>
      <c r="F36" s="3346">
        <v>55.1</v>
      </c>
      <c r="G36" s="3347">
        <v>48.6</v>
      </c>
      <c r="H36" s="3346">
        <v>46</v>
      </c>
      <c r="I36" s="3347">
        <v>47.6</v>
      </c>
      <c r="J36" s="3348">
        <v>27.5</v>
      </c>
      <c r="K36" s="3341">
        <v>26.95</v>
      </c>
      <c r="L36" s="3342">
        <v>18</v>
      </c>
      <c r="M36" s="3343">
        <v>23</v>
      </c>
      <c r="N36" s="3344">
        <v>36</v>
      </c>
      <c r="O36" s="3345">
        <v>32</v>
      </c>
      <c r="P36" s="4541">
        <v>23</v>
      </c>
      <c r="Q36" s="4542">
        <v>31</v>
      </c>
      <c r="R36" s="3300"/>
      <c r="S36" s="3300"/>
      <c r="T36" s="3300"/>
    </row>
    <row r="37" spans="1:20" ht="15.5" x14ac:dyDescent="0.35">
      <c r="D37" s="4980" t="s">
        <v>407</v>
      </c>
      <c r="E37" s="4980"/>
      <c r="F37" s="3346">
        <v>39.9</v>
      </c>
      <c r="G37" s="3347">
        <v>40.9</v>
      </c>
      <c r="H37" s="3346">
        <v>51.6</v>
      </c>
      <c r="I37" s="3347">
        <v>45.6</v>
      </c>
      <c r="J37" s="3348">
        <v>32</v>
      </c>
      <c r="K37" s="3341">
        <v>34.01</v>
      </c>
      <c r="L37" s="3342">
        <v>16</v>
      </c>
      <c r="M37" s="3343">
        <v>29</v>
      </c>
      <c r="N37" s="3344">
        <v>25</v>
      </c>
      <c r="O37" s="3345">
        <v>26</v>
      </c>
      <c r="P37" s="4541">
        <v>22</v>
      </c>
      <c r="Q37" s="4542">
        <v>27</v>
      </c>
      <c r="R37" s="3300"/>
      <c r="S37" s="3300"/>
      <c r="T37" s="3300"/>
    </row>
    <row r="38" spans="1:20" ht="15.5" x14ac:dyDescent="0.35">
      <c r="D38" s="4980" t="s">
        <v>1324</v>
      </c>
      <c r="E38" s="4980"/>
      <c r="F38" s="3346">
        <v>49.7</v>
      </c>
      <c r="G38" s="3347">
        <v>49.5</v>
      </c>
      <c r="H38" s="3346">
        <v>45.4</v>
      </c>
      <c r="I38" s="3347">
        <v>35.799999999999997</v>
      </c>
      <c r="J38" s="3348">
        <v>29.3</v>
      </c>
      <c r="K38" s="3341">
        <v>33.979999999999997</v>
      </c>
      <c r="L38" s="3342">
        <v>19</v>
      </c>
      <c r="M38" s="3343">
        <v>19</v>
      </c>
      <c r="N38" s="3344">
        <v>24</v>
      </c>
      <c r="O38" s="3345">
        <v>24</v>
      </c>
      <c r="P38" s="4541">
        <v>21</v>
      </c>
      <c r="Q38" s="4542">
        <v>23</v>
      </c>
      <c r="R38" s="3300"/>
      <c r="S38" s="3300"/>
      <c r="T38" s="3300"/>
    </row>
    <row r="39" spans="1:20" ht="15.5" x14ac:dyDescent="0.35">
      <c r="D39" s="4985" t="s">
        <v>409</v>
      </c>
      <c r="E39" s="4985"/>
      <c r="F39" s="3346">
        <v>57.2</v>
      </c>
      <c r="G39" s="3347">
        <v>32.6</v>
      </c>
      <c r="H39" s="3346">
        <v>57.3</v>
      </c>
      <c r="I39" s="3347">
        <v>46.1</v>
      </c>
      <c r="J39" s="3348">
        <v>19</v>
      </c>
      <c r="K39" s="3341">
        <v>48.83</v>
      </c>
      <c r="L39" s="3342">
        <v>24</v>
      </c>
      <c r="M39" s="3343">
        <v>37</v>
      </c>
      <c r="N39" s="3344">
        <v>38</v>
      </c>
      <c r="O39" s="3345">
        <v>44</v>
      </c>
      <c r="P39" s="4541">
        <v>37</v>
      </c>
      <c r="Q39" s="4542">
        <v>32</v>
      </c>
      <c r="R39" s="3300"/>
      <c r="S39" s="3300"/>
      <c r="T39" s="3300"/>
    </row>
    <row r="40" spans="1:20" ht="15.5" x14ac:dyDescent="0.35">
      <c r="D40" s="4980" t="s">
        <v>408</v>
      </c>
      <c r="E40" s="4980"/>
      <c r="F40" s="3346">
        <v>47.3</v>
      </c>
      <c r="G40" s="3347">
        <v>51.3</v>
      </c>
      <c r="H40" s="3346">
        <v>53.8</v>
      </c>
      <c r="I40" s="3347">
        <v>55.2</v>
      </c>
      <c r="J40" s="3348">
        <v>43</v>
      </c>
      <c r="K40" s="3341">
        <v>24.42</v>
      </c>
      <c r="L40" s="3342">
        <v>29</v>
      </c>
      <c r="M40" s="3343">
        <v>36</v>
      </c>
      <c r="N40" s="3344">
        <v>32</v>
      </c>
      <c r="O40" s="3345">
        <v>29</v>
      </c>
      <c r="P40" s="4541">
        <v>33</v>
      </c>
      <c r="Q40" s="4542">
        <v>36</v>
      </c>
      <c r="R40" s="3300"/>
      <c r="S40" s="3300"/>
      <c r="T40" s="3300"/>
    </row>
    <row r="41" spans="1:20" ht="15.5" x14ac:dyDescent="0.35">
      <c r="D41" s="4980" t="s">
        <v>406</v>
      </c>
      <c r="E41" s="4980"/>
      <c r="F41" s="3346">
        <v>31.8</v>
      </c>
      <c r="G41" s="3347">
        <v>74.099999999999994</v>
      </c>
      <c r="H41" s="3346">
        <v>38.9</v>
      </c>
      <c r="I41" s="3347">
        <v>50.4</v>
      </c>
      <c r="J41" s="3348">
        <v>37.9</v>
      </c>
      <c r="K41" s="3341">
        <v>25.11</v>
      </c>
      <c r="L41" s="3342">
        <v>23</v>
      </c>
      <c r="M41" s="3343">
        <v>29</v>
      </c>
      <c r="N41" s="3344">
        <v>33</v>
      </c>
      <c r="O41" s="3345">
        <v>31</v>
      </c>
      <c r="P41" s="4541">
        <v>22</v>
      </c>
      <c r="Q41" s="4542">
        <v>28</v>
      </c>
      <c r="R41" s="3300"/>
      <c r="S41" s="3300"/>
      <c r="T41" s="3300"/>
    </row>
    <row r="42" spans="1:20" ht="15.5" x14ac:dyDescent="0.35">
      <c r="D42" s="4980" t="s">
        <v>403</v>
      </c>
      <c r="E42" s="4980"/>
      <c r="F42" s="3346">
        <v>43.6</v>
      </c>
      <c r="G42" s="3347">
        <v>46.2</v>
      </c>
      <c r="H42" s="3346">
        <v>60.1</v>
      </c>
      <c r="I42" s="3347">
        <v>60.1</v>
      </c>
      <c r="J42" s="3348">
        <v>35</v>
      </c>
      <c r="K42" s="3341">
        <v>15.32</v>
      </c>
      <c r="L42" s="3342">
        <v>26</v>
      </c>
      <c r="M42" s="3343">
        <v>14</v>
      </c>
      <c r="N42" s="3344">
        <v>14</v>
      </c>
      <c r="O42" s="3345">
        <v>21</v>
      </c>
      <c r="P42" s="4541">
        <v>26</v>
      </c>
      <c r="Q42" s="4542">
        <v>26</v>
      </c>
      <c r="R42" s="3300"/>
      <c r="S42" s="3300"/>
      <c r="T42" s="3300"/>
    </row>
    <row r="43" spans="1:20" ht="15.5" x14ac:dyDescent="0.35">
      <c r="D43" s="4980" t="s">
        <v>401</v>
      </c>
      <c r="E43" s="4980"/>
      <c r="F43" s="3349">
        <v>16.600000000000001</v>
      </c>
      <c r="G43" s="3350">
        <v>23.9</v>
      </c>
      <c r="H43" s="3349">
        <v>22.3</v>
      </c>
      <c r="I43" s="3350">
        <v>21.3</v>
      </c>
      <c r="J43" s="3349">
        <v>11.4</v>
      </c>
      <c r="K43" s="3351">
        <v>15.93</v>
      </c>
      <c r="L43" s="3352">
        <v>16</v>
      </c>
      <c r="M43" s="3353">
        <v>17</v>
      </c>
      <c r="N43" s="3354">
        <v>20</v>
      </c>
      <c r="O43" s="3355">
        <v>18</v>
      </c>
      <c r="P43" s="4543">
        <v>10</v>
      </c>
      <c r="Q43" s="4544">
        <v>15</v>
      </c>
      <c r="R43" s="3300"/>
      <c r="S43" s="3300"/>
      <c r="T43" s="3300"/>
    </row>
    <row r="44" spans="1:20" ht="15.5" x14ac:dyDescent="0.35">
      <c r="D44" s="1190"/>
      <c r="E44" s="1190"/>
      <c r="F44" s="1190"/>
      <c r="G44" s="1190"/>
      <c r="H44" s="1190"/>
      <c r="I44" s="1190"/>
      <c r="J44" s="1190"/>
      <c r="K44" s="1421"/>
      <c r="L44" s="1421"/>
      <c r="M44" s="1421"/>
      <c r="N44" s="1421"/>
      <c r="O44" s="1421"/>
      <c r="P44" s="1421"/>
      <c r="Q44" s="3300"/>
      <c r="R44" s="3300"/>
      <c r="S44" s="3300"/>
      <c r="T44" s="3300"/>
    </row>
    <row r="45" spans="1:20" ht="15.5" x14ac:dyDescent="0.35">
      <c r="D45" s="1190"/>
      <c r="E45" s="1190"/>
      <c r="F45" s="1190"/>
      <c r="G45" s="1190"/>
      <c r="H45" s="1190"/>
      <c r="I45" s="1190"/>
      <c r="J45" s="1190"/>
      <c r="K45" s="1421"/>
      <c r="L45" s="1421"/>
      <c r="M45" s="1421"/>
      <c r="N45" s="1421"/>
      <c r="O45" s="1421"/>
      <c r="P45" s="1421"/>
      <c r="Q45" s="3300"/>
      <c r="R45" s="3300"/>
      <c r="S45" s="3300"/>
      <c r="T45" s="3300"/>
    </row>
    <row r="46" spans="1:20" ht="15.5" x14ac:dyDescent="0.35">
      <c r="A46" s="819">
        <v>6</v>
      </c>
      <c r="B46" s="819" t="s">
        <v>58</v>
      </c>
      <c r="C46" s="819"/>
      <c r="D46" s="4642" t="s">
        <v>363</v>
      </c>
      <c r="E46" s="4643"/>
      <c r="F46" s="4643"/>
      <c r="G46" s="4643"/>
      <c r="H46" s="4643"/>
      <c r="I46" s="4643"/>
      <c r="J46" s="4643"/>
      <c r="K46" s="4643"/>
      <c r="L46" s="4643"/>
      <c r="M46" s="4643"/>
      <c r="N46" s="4643"/>
      <c r="O46" s="4644"/>
      <c r="P46" s="949"/>
      <c r="Q46" s="3301"/>
      <c r="R46" s="3302"/>
      <c r="S46" s="3300"/>
      <c r="T46" s="3300"/>
    </row>
    <row r="47" spans="1:20" ht="15.75" customHeight="1" x14ac:dyDescent="0.35">
      <c r="A47" s="870">
        <v>7</v>
      </c>
      <c r="B47" s="870" t="s">
        <v>60</v>
      </c>
      <c r="C47" s="870"/>
      <c r="D47" s="4886" t="s">
        <v>1357</v>
      </c>
      <c r="E47" s="4887"/>
      <c r="F47" s="4887"/>
      <c r="G47" s="4887"/>
      <c r="H47" s="4887"/>
      <c r="I47" s="4887"/>
      <c r="J47" s="4887"/>
      <c r="K47" s="4887"/>
      <c r="L47" s="4887"/>
      <c r="M47" s="4887"/>
      <c r="N47" s="4887"/>
      <c r="O47" s="4888"/>
      <c r="P47" s="2892"/>
      <c r="Q47" s="3301"/>
      <c r="R47" s="3302"/>
      <c r="S47" s="3300"/>
      <c r="T47" s="3300"/>
    </row>
    <row r="48" spans="1:20" ht="15.75" customHeight="1" x14ac:dyDescent="0.35">
      <c r="A48" s="819">
        <v>8</v>
      </c>
      <c r="B48" s="819" t="s">
        <v>62</v>
      </c>
      <c r="C48" s="819"/>
      <c r="D48" s="4886" t="s">
        <v>1358</v>
      </c>
      <c r="E48" s="4887"/>
      <c r="F48" s="4887"/>
      <c r="G48" s="4887"/>
      <c r="H48" s="4887"/>
      <c r="I48" s="4887"/>
      <c r="J48" s="4887"/>
      <c r="K48" s="4887"/>
      <c r="L48" s="4887"/>
      <c r="M48" s="4887"/>
      <c r="N48" s="4887"/>
      <c r="O48" s="4888"/>
      <c r="P48" s="2892"/>
      <c r="Q48" s="3301"/>
      <c r="R48" s="3302"/>
      <c r="S48" s="3300"/>
      <c r="T48" s="3300"/>
    </row>
    <row r="49" spans="1:20" ht="102.65" customHeight="1" x14ac:dyDescent="0.35">
      <c r="A49" s="870">
        <v>9</v>
      </c>
      <c r="B49" s="819" t="s">
        <v>278</v>
      </c>
      <c r="D49" s="4886" t="s">
        <v>1359</v>
      </c>
      <c r="E49" s="4887"/>
      <c r="F49" s="4887"/>
      <c r="G49" s="4887"/>
      <c r="H49" s="4887"/>
      <c r="I49" s="4887"/>
      <c r="J49" s="4887"/>
      <c r="K49" s="4887"/>
      <c r="L49" s="4887"/>
      <c r="M49" s="4887"/>
      <c r="N49" s="4887"/>
      <c r="O49" s="4888"/>
      <c r="P49" s="2892"/>
      <c r="Q49" s="3300"/>
      <c r="R49" s="3300"/>
      <c r="S49" s="3300"/>
      <c r="T49" s="3300"/>
    </row>
    <row r="50" spans="1:20" ht="15.5" x14ac:dyDescent="0.35">
      <c r="D50" s="3356"/>
      <c r="E50" s="3357"/>
      <c r="F50" s="3357"/>
      <c r="G50" s="3357"/>
      <c r="H50" s="3357"/>
      <c r="I50" s="3357"/>
      <c r="J50" s="3357"/>
      <c r="K50" s="3300"/>
      <c r="L50" s="3300"/>
      <c r="M50" s="3300"/>
      <c r="N50" s="3300"/>
      <c r="O50" s="3300"/>
      <c r="P50" s="3300"/>
      <c r="Q50" s="3300"/>
      <c r="R50" s="3300"/>
      <c r="S50" s="3300"/>
      <c r="T50" s="3300"/>
    </row>
    <row r="51" spans="1:20" ht="15.5" x14ac:dyDescent="0.35">
      <c r="D51" s="3357"/>
      <c r="E51" s="3357"/>
      <c r="F51" s="3357"/>
      <c r="G51" s="3357"/>
      <c r="H51" s="3357"/>
      <c r="I51" s="3357"/>
      <c r="J51" s="3357"/>
      <c r="K51" s="3300"/>
      <c r="L51" s="3300"/>
      <c r="M51" s="3300"/>
      <c r="N51" s="3300"/>
      <c r="O51" s="3300"/>
      <c r="P51" s="3300"/>
      <c r="Q51" s="3300"/>
      <c r="R51" s="3300"/>
      <c r="S51" s="3300"/>
      <c r="T51" s="3300"/>
    </row>
    <row r="52" spans="1:20" ht="15.5" x14ac:dyDescent="0.35">
      <c r="D52" s="3357"/>
      <c r="E52" s="3357"/>
      <c r="F52" s="3357"/>
      <c r="G52" s="3357"/>
      <c r="H52" s="3357"/>
      <c r="I52" s="3357"/>
      <c r="J52" s="3357"/>
      <c r="K52" s="3300"/>
      <c r="L52" s="3300"/>
      <c r="M52" s="3300"/>
      <c r="N52" s="3300"/>
      <c r="O52" s="3300"/>
      <c r="P52" s="3300"/>
      <c r="Q52" s="3300"/>
      <c r="R52" s="3300"/>
      <c r="S52" s="3300"/>
      <c r="T52" s="3300"/>
    </row>
    <row r="53" spans="1:20" ht="15.5" x14ac:dyDescent="0.35">
      <c r="D53" s="3357"/>
      <c r="E53" s="3357"/>
      <c r="F53" s="3357"/>
      <c r="G53" s="3357"/>
      <c r="H53" s="3357"/>
      <c r="I53" s="3357"/>
      <c r="J53" s="3357"/>
      <c r="K53" s="3300"/>
      <c r="L53" s="3300"/>
      <c r="M53" s="3300"/>
      <c r="N53" s="3300"/>
      <c r="O53" s="3300"/>
      <c r="P53" s="3300"/>
      <c r="Q53" s="3300"/>
      <c r="R53" s="3300"/>
      <c r="S53" s="3300"/>
      <c r="T53" s="3300"/>
    </row>
    <row r="54" spans="1:20" ht="15.5" x14ac:dyDescent="0.35">
      <c r="D54" s="3357"/>
      <c r="E54" s="3357"/>
      <c r="F54" s="3357"/>
      <c r="G54" s="3357"/>
      <c r="H54" s="3357"/>
      <c r="I54" s="3357"/>
      <c r="J54" s="3357"/>
      <c r="K54" s="3300"/>
      <c r="L54" s="3300"/>
      <c r="M54" s="3300"/>
      <c r="N54" s="3300"/>
      <c r="O54" s="3300"/>
      <c r="P54" s="3300"/>
      <c r="Q54" s="3300"/>
      <c r="R54" s="3300"/>
      <c r="S54" s="3300"/>
      <c r="T54" s="3300"/>
    </row>
    <row r="55" spans="1:20" ht="15.5" x14ac:dyDescent="0.35">
      <c r="D55" s="3357"/>
      <c r="E55" s="3357"/>
      <c r="F55" s="3357"/>
      <c r="G55" s="3357"/>
      <c r="H55" s="3357"/>
      <c r="I55" s="3357"/>
      <c r="J55" s="3357"/>
      <c r="K55" s="3300"/>
      <c r="L55" s="3300"/>
      <c r="M55" s="3300"/>
      <c r="N55" s="3300"/>
      <c r="O55" s="3300"/>
      <c r="P55" s="3300"/>
      <c r="Q55" s="3300"/>
      <c r="R55" s="3300"/>
      <c r="S55" s="3300"/>
      <c r="T55" s="3300"/>
    </row>
    <row r="56" spans="1:20" ht="15.5" x14ac:dyDescent="0.35">
      <c r="D56" s="3357"/>
      <c r="E56" s="3357"/>
      <c r="F56" s="3357"/>
      <c r="G56" s="3357"/>
      <c r="H56" s="3357"/>
      <c r="I56" s="3357"/>
      <c r="J56" s="3357"/>
      <c r="K56" s="3300"/>
      <c r="L56" s="3300"/>
      <c r="M56" s="3300"/>
      <c r="N56" s="3300"/>
      <c r="O56" s="3300"/>
      <c r="P56" s="3300"/>
      <c r="Q56" s="3300"/>
      <c r="R56" s="3300"/>
      <c r="S56" s="3300"/>
      <c r="T56" s="3300"/>
    </row>
    <row r="59" spans="1:20" x14ac:dyDescent="0.35">
      <c r="G59" s="3277"/>
    </row>
  </sheetData>
  <mergeCells count="30">
    <mergeCell ref="E7:F7"/>
    <mergeCell ref="G7:H7"/>
    <mergeCell ref="I7:J7"/>
    <mergeCell ref="K7:L7"/>
    <mergeCell ref="M7:N7"/>
    <mergeCell ref="D2:O2"/>
    <mergeCell ref="D3:O3"/>
    <mergeCell ref="D4:O4"/>
    <mergeCell ref="E6:J6"/>
    <mergeCell ref="K6:R6"/>
    <mergeCell ref="D39:E39"/>
    <mergeCell ref="D33:E34"/>
    <mergeCell ref="F33:G33"/>
    <mergeCell ref="H33:I33"/>
    <mergeCell ref="J33:K33"/>
    <mergeCell ref="P33:Q33"/>
    <mergeCell ref="D35:E35"/>
    <mergeCell ref="D36:E36"/>
    <mergeCell ref="D37:E37"/>
    <mergeCell ref="D38:E38"/>
    <mergeCell ref="L33:M33"/>
    <mergeCell ref="N33:O33"/>
    <mergeCell ref="D48:O48"/>
    <mergeCell ref="D49:O49"/>
    <mergeCell ref="D40:E40"/>
    <mergeCell ref="D41:E41"/>
    <mergeCell ref="D42:E42"/>
    <mergeCell ref="D43:E43"/>
    <mergeCell ref="D46:O46"/>
    <mergeCell ref="D47:O47"/>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V51"/>
  <sheetViews>
    <sheetView showGridLines="0" view="pageBreakPreview" topLeftCell="C1" zoomScaleNormal="100" zoomScaleSheetLayoutView="100" workbookViewId="0">
      <selection activeCell="M20" sqref="M20"/>
    </sheetView>
  </sheetViews>
  <sheetFormatPr defaultColWidth="9.08984375" defaultRowHeight="15.5" x14ac:dyDescent="0.35"/>
  <cols>
    <col min="1" max="1" width="3.6328125" style="1195" customWidth="1"/>
    <col min="2" max="2" width="14.453125" style="1195" customWidth="1"/>
    <col min="3" max="3" width="3.6328125" style="1195" customWidth="1"/>
    <col min="4" max="4" width="24.90625" style="3357" customWidth="1"/>
    <col min="5" max="6" width="9.08984375" style="3357" customWidth="1"/>
    <col min="7" max="14" width="9.08984375" style="3357"/>
    <col min="15" max="15" width="8.08984375" style="3357" customWidth="1"/>
    <col min="16" max="16" width="10.54296875" style="3357" customWidth="1"/>
    <col min="17" max="257" width="9.08984375" style="3357"/>
    <col min="258" max="258" width="3.6328125" style="3357" customWidth="1"/>
    <col min="259" max="259" width="14.453125" style="3357" customWidth="1"/>
    <col min="260" max="260" width="3.6328125" style="3357" customWidth="1"/>
    <col min="261" max="261" width="24.90625" style="3357" customWidth="1"/>
    <col min="262" max="263" width="9.08984375" style="3357" customWidth="1"/>
    <col min="264" max="513" width="9.08984375" style="3357"/>
    <col min="514" max="514" width="3.6328125" style="3357" customWidth="1"/>
    <col min="515" max="515" width="14.453125" style="3357" customWidth="1"/>
    <col min="516" max="516" width="3.6328125" style="3357" customWidth="1"/>
    <col min="517" max="517" width="24.90625" style="3357" customWidth="1"/>
    <col min="518" max="519" width="9.08984375" style="3357" customWidth="1"/>
    <col min="520" max="769" width="9.08984375" style="3357"/>
    <col min="770" max="770" width="3.6328125" style="3357" customWidth="1"/>
    <col min="771" max="771" width="14.453125" style="3357" customWidth="1"/>
    <col min="772" max="772" width="3.6328125" style="3357" customWidth="1"/>
    <col min="773" max="773" width="24.90625" style="3357" customWidth="1"/>
    <col min="774" max="775" width="9.08984375" style="3357" customWidth="1"/>
    <col min="776" max="1025" width="9.08984375" style="3357"/>
    <col min="1026" max="1026" width="3.6328125" style="3357" customWidth="1"/>
    <col min="1027" max="1027" width="14.453125" style="3357" customWidth="1"/>
    <col min="1028" max="1028" width="3.6328125" style="3357" customWidth="1"/>
    <col min="1029" max="1029" width="24.90625" style="3357" customWidth="1"/>
    <col min="1030" max="1031" width="9.08984375" style="3357" customWidth="1"/>
    <col min="1032" max="1281" width="9.08984375" style="3357"/>
    <col min="1282" max="1282" width="3.6328125" style="3357" customWidth="1"/>
    <col min="1283" max="1283" width="14.453125" style="3357" customWidth="1"/>
    <col min="1284" max="1284" width="3.6328125" style="3357" customWidth="1"/>
    <col min="1285" max="1285" width="24.90625" style="3357" customWidth="1"/>
    <col min="1286" max="1287" width="9.08984375" style="3357" customWidth="1"/>
    <col min="1288" max="1537" width="9.08984375" style="3357"/>
    <col min="1538" max="1538" width="3.6328125" style="3357" customWidth="1"/>
    <col min="1539" max="1539" width="14.453125" style="3357" customWidth="1"/>
    <col min="1540" max="1540" width="3.6328125" style="3357" customWidth="1"/>
    <col min="1541" max="1541" width="24.90625" style="3357" customWidth="1"/>
    <col min="1542" max="1543" width="9.08984375" style="3357" customWidth="1"/>
    <col min="1544" max="1793" width="9.08984375" style="3357"/>
    <col min="1794" max="1794" width="3.6328125" style="3357" customWidth="1"/>
    <col min="1795" max="1795" width="14.453125" style="3357" customWidth="1"/>
    <col min="1796" max="1796" width="3.6328125" style="3357" customWidth="1"/>
    <col min="1797" max="1797" width="24.90625" style="3357" customWidth="1"/>
    <col min="1798" max="1799" width="9.08984375" style="3357" customWidth="1"/>
    <col min="1800" max="2049" width="9.08984375" style="3357"/>
    <col min="2050" max="2050" width="3.6328125" style="3357" customWidth="1"/>
    <col min="2051" max="2051" width="14.453125" style="3357" customWidth="1"/>
    <col min="2052" max="2052" width="3.6328125" style="3357" customWidth="1"/>
    <col min="2053" max="2053" width="24.90625" style="3357" customWidth="1"/>
    <col min="2054" max="2055" width="9.08984375" style="3357" customWidth="1"/>
    <col min="2056" max="2305" width="9.08984375" style="3357"/>
    <col min="2306" max="2306" width="3.6328125" style="3357" customWidth="1"/>
    <col min="2307" max="2307" width="14.453125" style="3357" customWidth="1"/>
    <col min="2308" max="2308" width="3.6328125" style="3357" customWidth="1"/>
    <col min="2309" max="2309" width="24.90625" style="3357" customWidth="1"/>
    <col min="2310" max="2311" width="9.08984375" style="3357" customWidth="1"/>
    <col min="2312" max="2561" width="9.08984375" style="3357"/>
    <col min="2562" max="2562" width="3.6328125" style="3357" customWidth="1"/>
    <col min="2563" max="2563" width="14.453125" style="3357" customWidth="1"/>
    <col min="2564" max="2564" width="3.6328125" style="3357" customWidth="1"/>
    <col min="2565" max="2565" width="24.90625" style="3357" customWidth="1"/>
    <col min="2566" max="2567" width="9.08984375" style="3357" customWidth="1"/>
    <col min="2568" max="2817" width="9.08984375" style="3357"/>
    <col min="2818" max="2818" width="3.6328125" style="3357" customWidth="1"/>
    <col min="2819" max="2819" width="14.453125" style="3357" customWidth="1"/>
    <col min="2820" max="2820" width="3.6328125" style="3357" customWidth="1"/>
    <col min="2821" max="2821" width="24.90625" style="3357" customWidth="1"/>
    <col min="2822" max="2823" width="9.08984375" style="3357" customWidth="1"/>
    <col min="2824" max="3073" width="9.08984375" style="3357"/>
    <col min="3074" max="3074" width="3.6328125" style="3357" customWidth="1"/>
    <col min="3075" max="3075" width="14.453125" style="3357" customWidth="1"/>
    <col min="3076" max="3076" width="3.6328125" style="3357" customWidth="1"/>
    <col min="3077" max="3077" width="24.90625" style="3357" customWidth="1"/>
    <col min="3078" max="3079" width="9.08984375" style="3357" customWidth="1"/>
    <col min="3080" max="3329" width="9.08984375" style="3357"/>
    <col min="3330" max="3330" width="3.6328125" style="3357" customWidth="1"/>
    <col min="3331" max="3331" width="14.453125" style="3357" customWidth="1"/>
    <col min="3332" max="3332" width="3.6328125" style="3357" customWidth="1"/>
    <col min="3333" max="3333" width="24.90625" style="3357" customWidth="1"/>
    <col min="3334" max="3335" width="9.08984375" style="3357" customWidth="1"/>
    <col min="3336" max="3585" width="9.08984375" style="3357"/>
    <col min="3586" max="3586" width="3.6328125" style="3357" customWidth="1"/>
    <col min="3587" max="3587" width="14.453125" style="3357" customWidth="1"/>
    <col min="3588" max="3588" width="3.6328125" style="3357" customWidth="1"/>
    <col min="3589" max="3589" width="24.90625" style="3357" customWidth="1"/>
    <col min="3590" max="3591" width="9.08984375" style="3357" customWidth="1"/>
    <col min="3592" max="3841" width="9.08984375" style="3357"/>
    <col min="3842" max="3842" width="3.6328125" style="3357" customWidth="1"/>
    <col min="3843" max="3843" width="14.453125" style="3357" customWidth="1"/>
    <col min="3844" max="3844" width="3.6328125" style="3357" customWidth="1"/>
    <col min="3845" max="3845" width="24.90625" style="3357" customWidth="1"/>
    <col min="3846" max="3847" width="9.08984375" style="3357" customWidth="1"/>
    <col min="3848" max="4097" width="9.08984375" style="3357"/>
    <col min="4098" max="4098" width="3.6328125" style="3357" customWidth="1"/>
    <col min="4099" max="4099" width="14.453125" style="3357" customWidth="1"/>
    <col min="4100" max="4100" width="3.6328125" style="3357" customWidth="1"/>
    <col min="4101" max="4101" width="24.90625" style="3357" customWidth="1"/>
    <col min="4102" max="4103" width="9.08984375" style="3357" customWidth="1"/>
    <col min="4104" max="4353" width="9.08984375" style="3357"/>
    <col min="4354" max="4354" width="3.6328125" style="3357" customWidth="1"/>
    <col min="4355" max="4355" width="14.453125" style="3357" customWidth="1"/>
    <col min="4356" max="4356" width="3.6328125" style="3357" customWidth="1"/>
    <col min="4357" max="4357" width="24.90625" style="3357" customWidth="1"/>
    <col min="4358" max="4359" width="9.08984375" style="3357" customWidth="1"/>
    <col min="4360" max="4609" width="9.08984375" style="3357"/>
    <col min="4610" max="4610" width="3.6328125" style="3357" customWidth="1"/>
    <col min="4611" max="4611" width="14.453125" style="3357" customWidth="1"/>
    <col min="4612" max="4612" width="3.6328125" style="3357" customWidth="1"/>
    <col min="4613" max="4613" width="24.90625" style="3357" customWidth="1"/>
    <col min="4614" max="4615" width="9.08984375" style="3357" customWidth="1"/>
    <col min="4616" max="4865" width="9.08984375" style="3357"/>
    <col min="4866" max="4866" width="3.6328125" style="3357" customWidth="1"/>
    <col min="4867" max="4867" width="14.453125" style="3357" customWidth="1"/>
    <col min="4868" max="4868" width="3.6328125" style="3357" customWidth="1"/>
    <col min="4869" max="4869" width="24.90625" style="3357" customWidth="1"/>
    <col min="4870" max="4871" width="9.08984375" style="3357" customWidth="1"/>
    <col min="4872" max="5121" width="9.08984375" style="3357"/>
    <col min="5122" max="5122" width="3.6328125" style="3357" customWidth="1"/>
    <col min="5123" max="5123" width="14.453125" style="3357" customWidth="1"/>
    <col min="5124" max="5124" width="3.6328125" style="3357" customWidth="1"/>
    <col min="5125" max="5125" width="24.90625" style="3357" customWidth="1"/>
    <col min="5126" max="5127" width="9.08984375" style="3357" customWidth="1"/>
    <col min="5128" max="5377" width="9.08984375" style="3357"/>
    <col min="5378" max="5378" width="3.6328125" style="3357" customWidth="1"/>
    <col min="5379" max="5379" width="14.453125" style="3357" customWidth="1"/>
    <col min="5380" max="5380" width="3.6328125" style="3357" customWidth="1"/>
    <col min="5381" max="5381" width="24.90625" style="3357" customWidth="1"/>
    <col min="5382" max="5383" width="9.08984375" style="3357" customWidth="1"/>
    <col min="5384" max="5633" width="9.08984375" style="3357"/>
    <col min="5634" max="5634" width="3.6328125" style="3357" customWidth="1"/>
    <col min="5635" max="5635" width="14.453125" style="3357" customWidth="1"/>
    <col min="5636" max="5636" width="3.6328125" style="3357" customWidth="1"/>
    <col min="5637" max="5637" width="24.90625" style="3357" customWidth="1"/>
    <col min="5638" max="5639" width="9.08984375" style="3357" customWidth="1"/>
    <col min="5640" max="5889" width="9.08984375" style="3357"/>
    <col min="5890" max="5890" width="3.6328125" style="3357" customWidth="1"/>
    <col min="5891" max="5891" width="14.453125" style="3357" customWidth="1"/>
    <col min="5892" max="5892" width="3.6328125" style="3357" customWidth="1"/>
    <col min="5893" max="5893" width="24.90625" style="3357" customWidth="1"/>
    <col min="5894" max="5895" width="9.08984375" style="3357" customWidth="1"/>
    <col min="5896" max="6145" width="9.08984375" style="3357"/>
    <col min="6146" max="6146" width="3.6328125" style="3357" customWidth="1"/>
    <col min="6147" max="6147" width="14.453125" style="3357" customWidth="1"/>
    <col min="6148" max="6148" width="3.6328125" style="3357" customWidth="1"/>
    <col min="6149" max="6149" width="24.90625" style="3357" customWidth="1"/>
    <col min="6150" max="6151" width="9.08984375" style="3357" customWidth="1"/>
    <col min="6152" max="6401" width="9.08984375" style="3357"/>
    <col min="6402" max="6402" width="3.6328125" style="3357" customWidth="1"/>
    <col min="6403" max="6403" width="14.453125" style="3357" customWidth="1"/>
    <col min="6404" max="6404" width="3.6328125" style="3357" customWidth="1"/>
    <col min="6405" max="6405" width="24.90625" style="3357" customWidth="1"/>
    <col min="6406" max="6407" width="9.08984375" style="3357" customWidth="1"/>
    <col min="6408" max="6657" width="9.08984375" style="3357"/>
    <col min="6658" max="6658" width="3.6328125" style="3357" customWidth="1"/>
    <col min="6659" max="6659" width="14.453125" style="3357" customWidth="1"/>
    <col min="6660" max="6660" width="3.6328125" style="3357" customWidth="1"/>
    <col min="6661" max="6661" width="24.90625" style="3357" customWidth="1"/>
    <col min="6662" max="6663" width="9.08984375" style="3357" customWidth="1"/>
    <col min="6664" max="6913" width="9.08984375" style="3357"/>
    <col min="6914" max="6914" width="3.6328125" style="3357" customWidth="1"/>
    <col min="6915" max="6915" width="14.453125" style="3357" customWidth="1"/>
    <col min="6916" max="6916" width="3.6328125" style="3357" customWidth="1"/>
    <col min="6917" max="6917" width="24.90625" style="3357" customWidth="1"/>
    <col min="6918" max="6919" width="9.08984375" style="3357" customWidth="1"/>
    <col min="6920" max="7169" width="9.08984375" style="3357"/>
    <col min="7170" max="7170" width="3.6328125" style="3357" customWidth="1"/>
    <col min="7171" max="7171" width="14.453125" style="3357" customWidth="1"/>
    <col min="7172" max="7172" width="3.6328125" style="3357" customWidth="1"/>
    <col min="7173" max="7173" width="24.90625" style="3357" customWidth="1"/>
    <col min="7174" max="7175" width="9.08984375" style="3357" customWidth="1"/>
    <col min="7176" max="7425" width="9.08984375" style="3357"/>
    <col min="7426" max="7426" width="3.6328125" style="3357" customWidth="1"/>
    <col min="7427" max="7427" width="14.453125" style="3357" customWidth="1"/>
    <col min="7428" max="7428" width="3.6328125" style="3357" customWidth="1"/>
    <col min="7429" max="7429" width="24.90625" style="3357" customWidth="1"/>
    <col min="7430" max="7431" width="9.08984375" style="3357" customWidth="1"/>
    <col min="7432" max="7681" width="9.08984375" style="3357"/>
    <col min="7682" max="7682" width="3.6328125" style="3357" customWidth="1"/>
    <col min="7683" max="7683" width="14.453125" style="3357" customWidth="1"/>
    <col min="7684" max="7684" width="3.6328125" style="3357" customWidth="1"/>
    <col min="7685" max="7685" width="24.90625" style="3357" customWidth="1"/>
    <col min="7686" max="7687" width="9.08984375" style="3357" customWidth="1"/>
    <col min="7688" max="7937" width="9.08984375" style="3357"/>
    <col min="7938" max="7938" width="3.6328125" style="3357" customWidth="1"/>
    <col min="7939" max="7939" width="14.453125" style="3357" customWidth="1"/>
    <col min="7940" max="7940" width="3.6328125" style="3357" customWidth="1"/>
    <col min="7941" max="7941" width="24.90625" style="3357" customWidth="1"/>
    <col min="7942" max="7943" width="9.08984375" style="3357" customWidth="1"/>
    <col min="7944" max="8193" width="9.08984375" style="3357"/>
    <col min="8194" max="8194" width="3.6328125" style="3357" customWidth="1"/>
    <col min="8195" max="8195" width="14.453125" style="3357" customWidth="1"/>
    <col min="8196" max="8196" width="3.6328125" style="3357" customWidth="1"/>
    <col min="8197" max="8197" width="24.90625" style="3357" customWidth="1"/>
    <col min="8198" max="8199" width="9.08984375" style="3357" customWidth="1"/>
    <col min="8200" max="8449" width="9.08984375" style="3357"/>
    <col min="8450" max="8450" width="3.6328125" style="3357" customWidth="1"/>
    <col min="8451" max="8451" width="14.453125" style="3357" customWidth="1"/>
    <col min="8452" max="8452" width="3.6328125" style="3357" customWidth="1"/>
    <col min="8453" max="8453" width="24.90625" style="3357" customWidth="1"/>
    <col min="8454" max="8455" width="9.08984375" style="3357" customWidth="1"/>
    <col min="8456" max="8705" width="9.08984375" style="3357"/>
    <col min="8706" max="8706" width="3.6328125" style="3357" customWidth="1"/>
    <col min="8707" max="8707" width="14.453125" style="3357" customWidth="1"/>
    <col min="8708" max="8708" width="3.6328125" style="3357" customWidth="1"/>
    <col min="8709" max="8709" width="24.90625" style="3357" customWidth="1"/>
    <col min="8710" max="8711" width="9.08984375" style="3357" customWidth="1"/>
    <col min="8712" max="8961" width="9.08984375" style="3357"/>
    <col min="8962" max="8962" width="3.6328125" style="3357" customWidth="1"/>
    <col min="8963" max="8963" width="14.453125" style="3357" customWidth="1"/>
    <col min="8964" max="8964" width="3.6328125" style="3357" customWidth="1"/>
    <col min="8965" max="8965" width="24.90625" style="3357" customWidth="1"/>
    <col min="8966" max="8967" width="9.08984375" style="3357" customWidth="1"/>
    <col min="8968" max="9217" width="9.08984375" style="3357"/>
    <col min="9218" max="9218" width="3.6328125" style="3357" customWidth="1"/>
    <col min="9219" max="9219" width="14.453125" style="3357" customWidth="1"/>
    <col min="9220" max="9220" width="3.6328125" style="3357" customWidth="1"/>
    <col min="9221" max="9221" width="24.90625" style="3357" customWidth="1"/>
    <col min="9222" max="9223" width="9.08984375" style="3357" customWidth="1"/>
    <col min="9224" max="9473" width="9.08984375" style="3357"/>
    <col min="9474" max="9474" width="3.6328125" style="3357" customWidth="1"/>
    <col min="9475" max="9475" width="14.453125" style="3357" customWidth="1"/>
    <col min="9476" max="9476" width="3.6328125" style="3357" customWidth="1"/>
    <col min="9477" max="9477" width="24.90625" style="3357" customWidth="1"/>
    <col min="9478" max="9479" width="9.08984375" style="3357" customWidth="1"/>
    <col min="9480" max="9729" width="9.08984375" style="3357"/>
    <col min="9730" max="9730" width="3.6328125" style="3357" customWidth="1"/>
    <col min="9731" max="9731" width="14.453125" style="3357" customWidth="1"/>
    <col min="9732" max="9732" width="3.6328125" style="3357" customWidth="1"/>
    <col min="9733" max="9733" width="24.90625" style="3357" customWidth="1"/>
    <col min="9734" max="9735" width="9.08984375" style="3357" customWidth="1"/>
    <col min="9736" max="9985" width="9.08984375" style="3357"/>
    <col min="9986" max="9986" width="3.6328125" style="3357" customWidth="1"/>
    <col min="9987" max="9987" width="14.453125" style="3357" customWidth="1"/>
    <col min="9988" max="9988" width="3.6328125" style="3357" customWidth="1"/>
    <col min="9989" max="9989" width="24.90625" style="3357" customWidth="1"/>
    <col min="9990" max="9991" width="9.08984375" style="3357" customWidth="1"/>
    <col min="9992" max="10241" width="9.08984375" style="3357"/>
    <col min="10242" max="10242" width="3.6328125" style="3357" customWidth="1"/>
    <col min="10243" max="10243" width="14.453125" style="3357" customWidth="1"/>
    <col min="10244" max="10244" width="3.6328125" style="3357" customWidth="1"/>
    <col min="10245" max="10245" width="24.90625" style="3357" customWidth="1"/>
    <col min="10246" max="10247" width="9.08984375" style="3357" customWidth="1"/>
    <col min="10248" max="10497" width="9.08984375" style="3357"/>
    <col min="10498" max="10498" width="3.6328125" style="3357" customWidth="1"/>
    <col min="10499" max="10499" width="14.453125" style="3357" customWidth="1"/>
    <col min="10500" max="10500" width="3.6328125" style="3357" customWidth="1"/>
    <col min="10501" max="10501" width="24.90625" style="3357" customWidth="1"/>
    <col min="10502" max="10503" width="9.08984375" style="3357" customWidth="1"/>
    <col min="10504" max="10753" width="9.08984375" style="3357"/>
    <col min="10754" max="10754" width="3.6328125" style="3357" customWidth="1"/>
    <col min="10755" max="10755" width="14.453125" style="3357" customWidth="1"/>
    <col min="10756" max="10756" width="3.6328125" style="3357" customWidth="1"/>
    <col min="10757" max="10757" width="24.90625" style="3357" customWidth="1"/>
    <col min="10758" max="10759" width="9.08984375" style="3357" customWidth="1"/>
    <col min="10760" max="11009" width="9.08984375" style="3357"/>
    <col min="11010" max="11010" width="3.6328125" style="3357" customWidth="1"/>
    <col min="11011" max="11011" width="14.453125" style="3357" customWidth="1"/>
    <col min="11012" max="11012" width="3.6328125" style="3357" customWidth="1"/>
    <col min="11013" max="11013" width="24.90625" style="3357" customWidth="1"/>
    <col min="11014" max="11015" width="9.08984375" style="3357" customWidth="1"/>
    <col min="11016" max="11265" width="9.08984375" style="3357"/>
    <col min="11266" max="11266" width="3.6328125" style="3357" customWidth="1"/>
    <col min="11267" max="11267" width="14.453125" style="3357" customWidth="1"/>
    <col min="11268" max="11268" width="3.6328125" style="3357" customWidth="1"/>
    <col min="11269" max="11269" width="24.90625" style="3357" customWidth="1"/>
    <col min="11270" max="11271" width="9.08984375" style="3357" customWidth="1"/>
    <col min="11272" max="11521" width="9.08984375" style="3357"/>
    <col min="11522" max="11522" width="3.6328125" style="3357" customWidth="1"/>
    <col min="11523" max="11523" width="14.453125" style="3357" customWidth="1"/>
    <col min="11524" max="11524" width="3.6328125" style="3357" customWidth="1"/>
    <col min="11525" max="11525" width="24.90625" style="3357" customWidth="1"/>
    <col min="11526" max="11527" width="9.08984375" style="3357" customWidth="1"/>
    <col min="11528" max="11777" width="9.08984375" style="3357"/>
    <col min="11778" max="11778" width="3.6328125" style="3357" customWidth="1"/>
    <col min="11779" max="11779" width="14.453125" style="3357" customWidth="1"/>
    <col min="11780" max="11780" width="3.6328125" style="3357" customWidth="1"/>
    <col min="11781" max="11781" width="24.90625" style="3357" customWidth="1"/>
    <col min="11782" max="11783" width="9.08984375" style="3357" customWidth="1"/>
    <col min="11784" max="12033" width="9.08984375" style="3357"/>
    <col min="12034" max="12034" width="3.6328125" style="3357" customWidth="1"/>
    <col min="12035" max="12035" width="14.453125" style="3357" customWidth="1"/>
    <col min="12036" max="12036" width="3.6328125" style="3357" customWidth="1"/>
    <col min="12037" max="12037" width="24.90625" style="3357" customWidth="1"/>
    <col min="12038" max="12039" width="9.08984375" style="3357" customWidth="1"/>
    <col min="12040" max="12289" width="9.08984375" style="3357"/>
    <col min="12290" max="12290" width="3.6328125" style="3357" customWidth="1"/>
    <col min="12291" max="12291" width="14.453125" style="3357" customWidth="1"/>
    <col min="12292" max="12292" width="3.6328125" style="3357" customWidth="1"/>
    <col min="12293" max="12293" width="24.90625" style="3357" customWidth="1"/>
    <col min="12294" max="12295" width="9.08984375" style="3357" customWidth="1"/>
    <col min="12296" max="12545" width="9.08984375" style="3357"/>
    <col min="12546" max="12546" width="3.6328125" style="3357" customWidth="1"/>
    <col min="12547" max="12547" width="14.453125" style="3357" customWidth="1"/>
    <col min="12548" max="12548" width="3.6328125" style="3357" customWidth="1"/>
    <col min="12549" max="12549" width="24.90625" style="3357" customWidth="1"/>
    <col min="12550" max="12551" width="9.08984375" style="3357" customWidth="1"/>
    <col min="12552" max="12801" width="9.08984375" style="3357"/>
    <col min="12802" max="12802" width="3.6328125" style="3357" customWidth="1"/>
    <col min="12803" max="12803" width="14.453125" style="3357" customWidth="1"/>
    <col min="12804" max="12804" width="3.6328125" style="3357" customWidth="1"/>
    <col min="12805" max="12805" width="24.90625" style="3357" customWidth="1"/>
    <col min="12806" max="12807" width="9.08984375" style="3357" customWidth="1"/>
    <col min="12808" max="13057" width="9.08984375" style="3357"/>
    <col min="13058" max="13058" width="3.6328125" style="3357" customWidth="1"/>
    <col min="13059" max="13059" width="14.453125" style="3357" customWidth="1"/>
    <col min="13060" max="13060" width="3.6328125" style="3357" customWidth="1"/>
    <col min="13061" max="13061" width="24.90625" style="3357" customWidth="1"/>
    <col min="13062" max="13063" width="9.08984375" style="3357" customWidth="1"/>
    <col min="13064" max="13313" width="9.08984375" style="3357"/>
    <col min="13314" max="13314" width="3.6328125" style="3357" customWidth="1"/>
    <col min="13315" max="13315" width="14.453125" style="3357" customWidth="1"/>
    <col min="13316" max="13316" width="3.6328125" style="3357" customWidth="1"/>
    <col min="13317" max="13317" width="24.90625" style="3357" customWidth="1"/>
    <col min="13318" max="13319" width="9.08984375" style="3357" customWidth="1"/>
    <col min="13320" max="13569" width="9.08984375" style="3357"/>
    <col min="13570" max="13570" width="3.6328125" style="3357" customWidth="1"/>
    <col min="13571" max="13571" width="14.453125" style="3357" customWidth="1"/>
    <col min="13572" max="13572" width="3.6328125" style="3357" customWidth="1"/>
    <col min="13573" max="13573" width="24.90625" style="3357" customWidth="1"/>
    <col min="13574" max="13575" width="9.08984375" style="3357" customWidth="1"/>
    <col min="13576" max="13825" width="9.08984375" style="3357"/>
    <col min="13826" max="13826" width="3.6328125" style="3357" customWidth="1"/>
    <col min="13827" max="13827" width="14.453125" style="3357" customWidth="1"/>
    <col min="13828" max="13828" width="3.6328125" style="3357" customWidth="1"/>
    <col min="13829" max="13829" width="24.90625" style="3357" customWidth="1"/>
    <col min="13830" max="13831" width="9.08984375" style="3357" customWidth="1"/>
    <col min="13832" max="14081" width="9.08984375" style="3357"/>
    <col min="14082" max="14082" width="3.6328125" style="3357" customWidth="1"/>
    <col min="14083" max="14083" width="14.453125" style="3357" customWidth="1"/>
    <col min="14084" max="14084" width="3.6328125" style="3357" customWidth="1"/>
    <col min="14085" max="14085" width="24.90625" style="3357" customWidth="1"/>
    <col min="14086" max="14087" width="9.08984375" style="3357" customWidth="1"/>
    <col min="14088" max="14337" width="9.08984375" style="3357"/>
    <col min="14338" max="14338" width="3.6328125" style="3357" customWidth="1"/>
    <col min="14339" max="14339" width="14.453125" style="3357" customWidth="1"/>
    <col min="14340" max="14340" width="3.6328125" style="3357" customWidth="1"/>
    <col min="14341" max="14341" width="24.90625" style="3357" customWidth="1"/>
    <col min="14342" max="14343" width="9.08984375" style="3357" customWidth="1"/>
    <col min="14344" max="14593" width="9.08984375" style="3357"/>
    <col min="14594" max="14594" width="3.6328125" style="3357" customWidth="1"/>
    <col min="14595" max="14595" width="14.453125" style="3357" customWidth="1"/>
    <col min="14596" max="14596" width="3.6328125" style="3357" customWidth="1"/>
    <col min="14597" max="14597" width="24.90625" style="3357" customWidth="1"/>
    <col min="14598" max="14599" width="9.08984375" style="3357" customWidth="1"/>
    <col min="14600" max="14849" width="9.08984375" style="3357"/>
    <col min="14850" max="14850" width="3.6328125" style="3357" customWidth="1"/>
    <col min="14851" max="14851" width="14.453125" style="3357" customWidth="1"/>
    <col min="14852" max="14852" width="3.6328125" style="3357" customWidth="1"/>
    <col min="14853" max="14853" width="24.90625" style="3357" customWidth="1"/>
    <col min="14854" max="14855" width="9.08984375" style="3357" customWidth="1"/>
    <col min="14856" max="15105" width="9.08984375" style="3357"/>
    <col min="15106" max="15106" width="3.6328125" style="3357" customWidth="1"/>
    <col min="15107" max="15107" width="14.453125" style="3357" customWidth="1"/>
    <col min="15108" max="15108" width="3.6328125" style="3357" customWidth="1"/>
    <col min="15109" max="15109" width="24.90625" style="3357" customWidth="1"/>
    <col min="15110" max="15111" width="9.08984375" style="3357" customWidth="1"/>
    <col min="15112" max="15361" width="9.08984375" style="3357"/>
    <col min="15362" max="15362" width="3.6328125" style="3357" customWidth="1"/>
    <col min="15363" max="15363" width="14.453125" style="3357" customWidth="1"/>
    <col min="15364" max="15364" width="3.6328125" style="3357" customWidth="1"/>
    <col min="15365" max="15365" width="24.90625" style="3357" customWidth="1"/>
    <col min="15366" max="15367" width="9.08984375" style="3357" customWidth="1"/>
    <col min="15368" max="15617" width="9.08984375" style="3357"/>
    <col min="15618" max="15618" width="3.6328125" style="3357" customWidth="1"/>
    <col min="15619" max="15619" width="14.453125" style="3357" customWidth="1"/>
    <col min="15620" max="15620" width="3.6328125" style="3357" customWidth="1"/>
    <col min="15621" max="15621" width="24.90625" style="3357" customWidth="1"/>
    <col min="15622" max="15623" width="9.08984375" style="3357" customWidth="1"/>
    <col min="15624" max="15873" width="9.08984375" style="3357"/>
    <col min="15874" max="15874" width="3.6328125" style="3357" customWidth="1"/>
    <col min="15875" max="15875" width="14.453125" style="3357" customWidth="1"/>
    <col min="15876" max="15876" width="3.6328125" style="3357" customWidth="1"/>
    <col min="15877" max="15877" width="24.90625" style="3357" customWidth="1"/>
    <col min="15878" max="15879" width="9.08984375" style="3357" customWidth="1"/>
    <col min="15880" max="16129" width="9.08984375" style="3357"/>
    <col min="16130" max="16130" width="3.6328125" style="3357" customWidth="1"/>
    <col min="16131" max="16131" width="14.453125" style="3357" customWidth="1"/>
    <col min="16132" max="16132" width="3.6328125" style="3357" customWidth="1"/>
    <col min="16133" max="16133" width="24.90625" style="3357" customWidth="1"/>
    <col min="16134" max="16135" width="9.08984375" style="3357" customWidth="1"/>
    <col min="16136" max="16384" width="9.08984375" style="3357"/>
  </cols>
  <sheetData>
    <row r="1" spans="1:22" x14ac:dyDescent="0.35">
      <c r="D1" s="1190"/>
      <c r="E1" s="1190"/>
      <c r="F1" s="1190"/>
      <c r="G1" s="1190"/>
      <c r="H1" s="1190"/>
      <c r="I1" s="1190"/>
      <c r="J1" s="1190"/>
      <c r="K1" s="1190"/>
      <c r="L1" s="1190"/>
    </row>
    <row r="2" spans="1:22" ht="15.75" customHeight="1" x14ac:dyDescent="0.35">
      <c r="A2" s="819">
        <v>1</v>
      </c>
      <c r="B2" s="819" t="s">
        <v>0</v>
      </c>
      <c r="C2" s="819">
        <v>59</v>
      </c>
      <c r="D2" s="4642" t="s">
        <v>1360</v>
      </c>
      <c r="E2" s="4643"/>
      <c r="F2" s="4643"/>
      <c r="G2" s="4643"/>
      <c r="H2" s="4643"/>
      <c r="I2" s="4643"/>
      <c r="J2" s="4643"/>
      <c r="K2" s="4643"/>
      <c r="L2" s="4643"/>
      <c r="M2" s="4643"/>
      <c r="N2" s="4643"/>
      <c r="O2" s="4643"/>
      <c r="P2" s="4644"/>
      <c r="Q2" s="3358"/>
      <c r="R2" s="3358"/>
      <c r="S2" s="3358"/>
      <c r="T2" s="3358"/>
      <c r="U2" s="3358"/>
      <c r="V2" s="3358"/>
    </row>
    <row r="3" spans="1:22" ht="15" customHeight="1" x14ac:dyDescent="0.35">
      <c r="A3" s="819">
        <v>2</v>
      </c>
      <c r="B3" s="819" t="s">
        <v>2</v>
      </c>
      <c r="C3" s="819"/>
      <c r="D3" s="4642" t="s">
        <v>1313</v>
      </c>
      <c r="E3" s="4643"/>
      <c r="F3" s="4643"/>
      <c r="G3" s="4643"/>
      <c r="H3" s="4643"/>
      <c r="I3" s="4643"/>
      <c r="J3" s="4643"/>
      <c r="K3" s="4643"/>
      <c r="L3" s="4643"/>
      <c r="M3" s="4643"/>
      <c r="N3" s="4643"/>
      <c r="O3" s="4643"/>
      <c r="P3" s="4644"/>
    </row>
    <row r="4" spans="1:22" ht="14.25" customHeight="1" x14ac:dyDescent="0.35">
      <c r="A4" s="819">
        <v>3</v>
      </c>
      <c r="B4" s="819" t="s">
        <v>4</v>
      </c>
      <c r="C4" s="819"/>
      <c r="D4" s="4642" t="s">
        <v>1361</v>
      </c>
      <c r="E4" s="4643"/>
      <c r="F4" s="4643"/>
      <c r="G4" s="4643"/>
      <c r="H4" s="4643"/>
      <c r="I4" s="4643"/>
      <c r="J4" s="4643"/>
      <c r="K4" s="4643"/>
      <c r="L4" s="4643"/>
      <c r="M4" s="4643"/>
      <c r="N4" s="4643"/>
      <c r="O4" s="4643"/>
      <c r="P4" s="4644"/>
    </row>
    <row r="5" spans="1:22" ht="14.25" customHeight="1" x14ac:dyDescent="0.35">
      <c r="A5" s="819">
        <v>4</v>
      </c>
      <c r="B5" s="819" t="s">
        <v>763</v>
      </c>
      <c r="C5" s="819"/>
      <c r="D5" s="4642" t="s">
        <v>1362</v>
      </c>
      <c r="E5" s="4643"/>
      <c r="F5" s="4643"/>
      <c r="G5" s="4643"/>
      <c r="H5" s="4643"/>
      <c r="I5" s="4643"/>
      <c r="J5" s="4643"/>
      <c r="K5" s="4643"/>
      <c r="L5" s="4643"/>
      <c r="M5" s="4643"/>
      <c r="N5" s="4643"/>
      <c r="O5" s="4643"/>
      <c r="P5" s="4644"/>
    </row>
    <row r="6" spans="1:22" x14ac:dyDescent="0.35">
      <c r="A6" s="819"/>
      <c r="B6" s="819"/>
      <c r="C6" s="819"/>
      <c r="D6" s="949"/>
      <c r="E6" s="949"/>
      <c r="F6" s="949"/>
      <c r="G6" s="949"/>
      <c r="H6" s="949"/>
      <c r="I6" s="949"/>
      <c r="J6" s="949"/>
      <c r="K6" s="949"/>
      <c r="L6" s="949"/>
      <c r="M6" s="949"/>
    </row>
    <row r="7" spans="1:22" x14ac:dyDescent="0.35">
      <c r="A7" s="819">
        <v>4</v>
      </c>
      <c r="B7" s="1192" t="s">
        <v>6</v>
      </c>
      <c r="C7" s="1192"/>
      <c r="D7" s="3359" t="s">
        <v>1363</v>
      </c>
      <c r="E7" s="155" t="s">
        <v>1364</v>
      </c>
      <c r="F7" s="3360"/>
      <c r="G7" s="3360"/>
      <c r="H7" s="3360"/>
      <c r="I7" s="3360"/>
      <c r="J7" s="1421"/>
      <c r="K7" s="1190"/>
      <c r="L7" s="1190"/>
    </row>
    <row r="8" spans="1:22" x14ac:dyDescent="0.35">
      <c r="A8" s="819"/>
      <c r="B8" s="1192"/>
      <c r="C8" s="1192"/>
      <c r="D8" s="158"/>
      <c r="E8" s="3361">
        <v>2004</v>
      </c>
      <c r="F8" s="3361">
        <v>2007</v>
      </c>
      <c r="G8" s="3361">
        <v>2008</v>
      </c>
      <c r="H8" s="3361">
        <v>2009</v>
      </c>
      <c r="I8" s="3362">
        <v>2010</v>
      </c>
      <c r="J8" s="3361">
        <v>2011</v>
      </c>
      <c r="K8" s="3361">
        <v>2012</v>
      </c>
      <c r="L8" s="3361">
        <v>2014</v>
      </c>
      <c r="M8" s="3361">
        <v>2015</v>
      </c>
      <c r="N8" s="3363">
        <v>2016</v>
      </c>
      <c r="O8" s="3364" t="s">
        <v>125</v>
      </c>
      <c r="P8" s="3365" t="s">
        <v>126</v>
      </c>
      <c r="Q8" s="4545" t="s">
        <v>302</v>
      </c>
    </row>
    <row r="9" spans="1:22" x14ac:dyDescent="0.35">
      <c r="A9" s="819"/>
      <c r="B9" s="1192"/>
      <c r="C9" s="1192"/>
      <c r="D9" s="240" t="s">
        <v>1365</v>
      </c>
      <c r="E9" s="2576">
        <v>18.399999999999999</v>
      </c>
      <c r="F9" s="2576">
        <v>25.8</v>
      </c>
      <c r="G9" s="2576">
        <v>32.6</v>
      </c>
      <c r="H9" s="2576">
        <v>30.2</v>
      </c>
      <c r="I9" s="3366"/>
      <c r="J9" s="2576">
        <v>30.8</v>
      </c>
      <c r="K9" s="2576">
        <v>29.1</v>
      </c>
      <c r="L9" s="2576">
        <v>30</v>
      </c>
      <c r="M9" s="2576">
        <v>29</v>
      </c>
      <c r="N9" s="2913">
        <v>27.8</v>
      </c>
      <c r="O9" s="3367">
        <v>26</v>
      </c>
      <c r="P9" s="3368">
        <v>29.5</v>
      </c>
      <c r="Q9" s="4546">
        <v>29.4</v>
      </c>
    </row>
    <row r="10" spans="1:22" x14ac:dyDescent="0.35">
      <c r="A10" s="819"/>
      <c r="B10" s="1192"/>
      <c r="C10" s="1192"/>
      <c r="D10" s="240" t="s">
        <v>1366</v>
      </c>
      <c r="E10" s="2576">
        <v>52.8</v>
      </c>
      <c r="F10" s="2576">
        <v>52.6</v>
      </c>
      <c r="G10" s="2576">
        <v>45.7</v>
      </c>
      <c r="H10" s="2576">
        <v>54.1</v>
      </c>
      <c r="I10" s="3366"/>
      <c r="J10" s="2576">
        <v>50.8</v>
      </c>
      <c r="K10" s="2576">
        <v>52.4</v>
      </c>
      <c r="L10" s="2576">
        <v>57</v>
      </c>
      <c r="M10" s="2576">
        <v>52</v>
      </c>
      <c r="N10" s="2913">
        <v>48</v>
      </c>
      <c r="O10" s="3367">
        <v>50</v>
      </c>
      <c r="P10" s="3368">
        <v>48.9</v>
      </c>
      <c r="Q10" s="4546">
        <v>49.5</v>
      </c>
    </row>
    <row r="11" spans="1:22" x14ac:dyDescent="0.35">
      <c r="A11" s="819"/>
      <c r="B11" s="1192"/>
      <c r="C11" s="1192"/>
      <c r="D11" s="240" t="s">
        <v>1367</v>
      </c>
      <c r="E11" s="2576">
        <v>4.0999999999999996</v>
      </c>
      <c r="F11" s="2576">
        <v>9.9</v>
      </c>
      <c r="G11" s="2576">
        <v>11.3</v>
      </c>
      <c r="H11" s="2576">
        <v>7.1</v>
      </c>
      <c r="I11" s="3366"/>
      <c r="J11" s="2576">
        <v>9.1</v>
      </c>
      <c r="K11" s="2576">
        <v>8.8000000000000007</v>
      </c>
      <c r="L11" s="2576">
        <v>6</v>
      </c>
      <c r="M11" s="2576">
        <v>9</v>
      </c>
      <c r="N11" s="2913">
        <v>8.8000000000000007</v>
      </c>
      <c r="O11" s="3367">
        <v>10.3</v>
      </c>
      <c r="P11" s="3368">
        <v>8</v>
      </c>
      <c r="Q11" s="4546">
        <v>8.6</v>
      </c>
    </row>
    <row r="12" spans="1:22" x14ac:dyDescent="0.35">
      <c r="A12" s="819"/>
      <c r="B12" s="1192"/>
      <c r="C12" s="1192"/>
      <c r="D12" s="240" t="s">
        <v>1368</v>
      </c>
      <c r="E12" s="2576">
        <v>13.6</v>
      </c>
      <c r="F12" s="2576">
        <v>2.6</v>
      </c>
      <c r="G12" s="2576">
        <v>3.1</v>
      </c>
      <c r="H12" s="2576">
        <v>1.9</v>
      </c>
      <c r="I12" s="3366"/>
      <c r="J12" s="2576">
        <v>3.7</v>
      </c>
      <c r="K12" s="2576">
        <v>4.0999999999999996</v>
      </c>
      <c r="L12" s="2576">
        <v>2</v>
      </c>
      <c r="M12" s="2576">
        <v>3</v>
      </c>
      <c r="N12" s="2913">
        <v>4.8</v>
      </c>
      <c r="O12" s="3367">
        <v>4.0999999999999996</v>
      </c>
      <c r="P12" s="3368">
        <v>4</v>
      </c>
      <c r="Q12" s="4546">
        <v>4.0999999999999996</v>
      </c>
    </row>
    <row r="13" spans="1:22" x14ac:dyDescent="0.35">
      <c r="A13" s="819"/>
      <c r="B13" s="1192"/>
      <c r="C13" s="1192"/>
      <c r="D13" s="1211" t="s">
        <v>1369</v>
      </c>
      <c r="E13" s="3369">
        <v>11.1</v>
      </c>
      <c r="F13" s="3369">
        <v>9.0999999999999943</v>
      </c>
      <c r="G13" s="3369">
        <v>7.3</v>
      </c>
      <c r="H13" s="3369">
        <v>6.7</v>
      </c>
      <c r="I13" s="3370"/>
      <c r="J13" s="3369">
        <v>5.6</v>
      </c>
      <c r="K13" s="3369">
        <v>5.6</v>
      </c>
      <c r="L13" s="3369">
        <v>6.9</v>
      </c>
      <c r="M13" s="3369">
        <v>7</v>
      </c>
      <c r="N13" s="2921">
        <v>4.9000000000000004</v>
      </c>
      <c r="O13" s="3371">
        <v>9.1999999999999993</v>
      </c>
      <c r="P13" s="3372">
        <v>4</v>
      </c>
      <c r="Q13" s="4547">
        <v>8.3000000000000007</v>
      </c>
    </row>
    <row r="14" spans="1:22" x14ac:dyDescent="0.35">
      <c r="A14" s="819"/>
      <c r="B14" s="1192"/>
      <c r="C14" s="1192"/>
      <c r="D14" s="108"/>
      <c r="E14" s="108"/>
      <c r="F14" s="108"/>
      <c r="G14" s="1190"/>
      <c r="H14" s="1190"/>
      <c r="I14" s="1190"/>
      <c r="J14" s="1190"/>
      <c r="K14" s="1190"/>
      <c r="L14" s="1190"/>
    </row>
    <row r="15" spans="1:22" x14ac:dyDescent="0.35">
      <c r="A15" s="819">
        <v>5</v>
      </c>
      <c r="B15" s="1192" t="s">
        <v>56</v>
      </c>
      <c r="C15" s="1192"/>
      <c r="D15" s="108"/>
      <c r="E15" s="108"/>
      <c r="F15" s="108"/>
      <c r="G15" s="1190"/>
      <c r="H15" s="1190"/>
      <c r="I15" s="1190"/>
      <c r="J15" s="1190"/>
      <c r="K15" s="1190"/>
      <c r="L15" s="1190"/>
    </row>
    <row r="16" spans="1:22" x14ac:dyDescent="0.35">
      <c r="A16" s="819"/>
      <c r="B16" s="1192"/>
      <c r="C16" s="1192"/>
      <c r="D16" s="108"/>
      <c r="E16" s="108"/>
      <c r="F16" s="108"/>
      <c r="G16" s="1190"/>
      <c r="H16" s="1190"/>
      <c r="I16" s="1190"/>
      <c r="J16" s="1190"/>
      <c r="K16" s="1190"/>
      <c r="L16" s="1190"/>
    </row>
    <row r="17" spans="1:12" x14ac:dyDescent="0.35">
      <c r="A17" s="819"/>
      <c r="B17" s="1192"/>
      <c r="C17" s="1192"/>
      <c r="D17" s="108"/>
      <c r="E17" s="108"/>
      <c r="F17" s="108"/>
      <c r="G17" s="1190"/>
      <c r="H17" s="1190"/>
      <c r="I17" s="1190"/>
      <c r="J17" s="1190"/>
      <c r="K17" s="1190"/>
      <c r="L17" s="1190"/>
    </row>
    <row r="18" spans="1:12" x14ac:dyDescent="0.35">
      <c r="A18" s="819"/>
      <c r="B18" s="1192"/>
      <c r="C18" s="1192"/>
      <c r="D18" s="108"/>
      <c r="E18" s="108"/>
      <c r="F18" s="108"/>
      <c r="G18" s="1190"/>
      <c r="H18" s="1190"/>
      <c r="I18" s="1190"/>
      <c r="J18" s="1190"/>
      <c r="K18" s="1190"/>
      <c r="L18" s="1190"/>
    </row>
    <row r="19" spans="1:12" x14ac:dyDescent="0.35">
      <c r="A19" s="819"/>
      <c r="B19" s="1192"/>
      <c r="C19" s="1192"/>
      <c r="D19" s="108"/>
      <c r="E19" s="108"/>
      <c r="F19" s="108"/>
      <c r="G19" s="1190"/>
      <c r="H19" s="1190"/>
      <c r="I19" s="1190"/>
      <c r="J19" s="1190"/>
      <c r="K19" s="1190"/>
      <c r="L19" s="1190"/>
    </row>
    <row r="20" spans="1:12" x14ac:dyDescent="0.35">
      <c r="A20" s="819"/>
      <c r="B20" s="1192"/>
      <c r="C20" s="1192"/>
      <c r="D20" s="108"/>
      <c r="E20" s="108"/>
      <c r="F20" s="108"/>
      <c r="G20" s="1190"/>
      <c r="H20" s="1190"/>
      <c r="I20" s="1190"/>
      <c r="J20" s="1190"/>
      <c r="K20" s="1190"/>
      <c r="L20" s="1190"/>
    </row>
    <row r="21" spans="1:12" x14ac:dyDescent="0.35">
      <c r="A21" s="819"/>
      <c r="B21" s="1192"/>
      <c r="C21" s="1192"/>
      <c r="D21" s="108"/>
      <c r="E21" s="108"/>
      <c r="F21" s="108"/>
      <c r="G21" s="1190"/>
      <c r="H21" s="1190"/>
      <c r="I21" s="1190"/>
      <c r="J21" s="1190"/>
      <c r="K21" s="1190"/>
      <c r="L21" s="1190"/>
    </row>
    <row r="22" spans="1:12" x14ac:dyDescent="0.35">
      <c r="A22" s="819"/>
      <c r="B22" s="1192"/>
      <c r="C22" s="1192"/>
      <c r="D22" s="108"/>
      <c r="E22" s="108"/>
      <c r="F22" s="108"/>
      <c r="G22" s="1190"/>
      <c r="H22" s="1190"/>
      <c r="I22" s="1190"/>
      <c r="J22" s="1190"/>
      <c r="K22" s="1190"/>
      <c r="L22" s="1190"/>
    </row>
    <row r="23" spans="1:12" x14ac:dyDescent="0.35">
      <c r="A23" s="819"/>
      <c r="B23" s="1192"/>
      <c r="C23" s="1192"/>
      <c r="D23" s="108"/>
      <c r="E23" s="108"/>
      <c r="F23" s="108"/>
      <c r="G23" s="1190"/>
      <c r="H23" s="1190"/>
      <c r="I23" s="1190"/>
      <c r="J23" s="1190"/>
      <c r="K23" s="1190"/>
      <c r="L23" s="1190"/>
    </row>
    <row r="24" spans="1:12" x14ac:dyDescent="0.35">
      <c r="A24" s="819"/>
      <c r="B24" s="1192"/>
      <c r="C24" s="1192"/>
      <c r="D24" s="108"/>
      <c r="E24" s="108"/>
      <c r="F24" s="108"/>
      <c r="G24" s="1190"/>
      <c r="H24" s="1190"/>
      <c r="I24" s="1190"/>
      <c r="J24" s="1190"/>
      <c r="K24" s="1190"/>
      <c r="L24" s="1190"/>
    </row>
    <row r="25" spans="1:12" x14ac:dyDescent="0.35">
      <c r="A25" s="819"/>
      <c r="B25" s="1192"/>
      <c r="C25" s="1192"/>
      <c r="D25" s="108"/>
      <c r="E25" s="108"/>
      <c r="F25" s="108"/>
      <c r="G25" s="1190"/>
      <c r="H25" s="1190"/>
      <c r="I25" s="1190"/>
      <c r="J25" s="1190"/>
      <c r="K25" s="1190"/>
      <c r="L25" s="1190"/>
    </row>
    <row r="26" spans="1:12" x14ac:dyDescent="0.35">
      <c r="A26" s="819"/>
      <c r="B26" s="1192"/>
      <c r="C26" s="1192"/>
      <c r="D26" s="108"/>
      <c r="E26" s="108"/>
      <c r="F26" s="108"/>
      <c r="G26" s="1190"/>
      <c r="H26" s="1190"/>
      <c r="I26" s="1190"/>
      <c r="J26" s="1190"/>
      <c r="K26" s="1190"/>
      <c r="L26" s="1190"/>
    </row>
    <row r="27" spans="1:12" x14ac:dyDescent="0.35">
      <c r="A27" s="819"/>
      <c r="B27" s="1192"/>
      <c r="C27" s="1192"/>
      <c r="D27" s="108"/>
      <c r="E27" s="108"/>
      <c r="F27" s="108"/>
      <c r="G27" s="1190"/>
      <c r="H27" s="1190"/>
      <c r="I27" s="1190"/>
      <c r="J27" s="1190"/>
      <c r="K27" s="1190"/>
      <c r="L27" s="1190"/>
    </row>
    <row r="28" spans="1:12" x14ac:dyDescent="0.35">
      <c r="A28" s="819"/>
      <c r="B28" s="1192"/>
      <c r="C28" s="1192"/>
      <c r="D28" s="108"/>
      <c r="E28" s="108"/>
      <c r="F28" s="108"/>
      <c r="G28" s="1190"/>
      <c r="H28" s="1190"/>
      <c r="I28" s="1190"/>
      <c r="J28" s="1190"/>
      <c r="K28" s="1190"/>
      <c r="L28" s="1190"/>
    </row>
    <row r="29" spans="1:12" x14ac:dyDescent="0.35">
      <c r="D29" s="1190"/>
      <c r="E29" s="1190"/>
      <c r="F29" s="1190"/>
      <c r="G29" s="1190"/>
      <c r="H29" s="1190"/>
      <c r="I29" s="1190"/>
      <c r="J29" s="1190"/>
      <c r="K29" s="1190"/>
      <c r="L29" s="1190"/>
    </row>
    <row r="30" spans="1:12" x14ac:dyDescent="0.35">
      <c r="D30" s="1190"/>
      <c r="E30" s="1190"/>
      <c r="F30" s="1190"/>
      <c r="G30" s="1190"/>
      <c r="H30" s="1190"/>
      <c r="I30" s="1190"/>
      <c r="J30" s="1190"/>
      <c r="K30" s="1190"/>
      <c r="L30" s="1190"/>
    </row>
    <row r="31" spans="1:12" x14ac:dyDescent="0.35">
      <c r="D31" s="1190"/>
      <c r="E31" s="1190"/>
      <c r="F31" s="1190"/>
      <c r="G31" s="1190"/>
      <c r="H31" s="1190"/>
      <c r="I31" s="1190"/>
      <c r="J31" s="1190"/>
      <c r="K31" s="1190"/>
      <c r="L31" s="1190"/>
    </row>
    <row r="32" spans="1:12" x14ac:dyDescent="0.35">
      <c r="D32" s="1190"/>
      <c r="E32" s="1190"/>
      <c r="F32" s="1190"/>
      <c r="G32" s="1190"/>
      <c r="H32" s="1190"/>
      <c r="I32" s="1190"/>
      <c r="J32" s="1190"/>
      <c r="K32" s="1190"/>
      <c r="L32" s="1190"/>
    </row>
    <row r="33" spans="1:16" ht="15.75" customHeight="1" x14ac:dyDescent="0.35">
      <c r="A33" s="819">
        <v>6</v>
      </c>
      <c r="B33" s="819" t="s">
        <v>58</v>
      </c>
      <c r="C33" s="819"/>
      <c r="D33" s="4642" t="s">
        <v>363</v>
      </c>
      <c r="E33" s="4643"/>
      <c r="F33" s="4643"/>
      <c r="G33" s="4643"/>
      <c r="H33" s="4643"/>
      <c r="I33" s="4643"/>
      <c r="J33" s="4643"/>
      <c r="K33" s="4643"/>
      <c r="L33" s="4643"/>
      <c r="M33" s="4643"/>
      <c r="N33" s="4643"/>
      <c r="O33" s="4643"/>
      <c r="P33" s="4644"/>
    </row>
    <row r="34" spans="1:16" ht="15" customHeight="1" x14ac:dyDescent="0.35">
      <c r="A34" s="870">
        <v>7</v>
      </c>
      <c r="B34" s="870" t="s">
        <v>60</v>
      </c>
      <c r="C34" s="870"/>
      <c r="D34" s="4642" t="s">
        <v>1370</v>
      </c>
      <c r="E34" s="4643"/>
      <c r="F34" s="4643"/>
      <c r="G34" s="4643"/>
      <c r="H34" s="4643"/>
      <c r="I34" s="4643"/>
      <c r="J34" s="4643"/>
      <c r="K34" s="4643"/>
      <c r="L34" s="4643"/>
      <c r="M34" s="4643"/>
      <c r="N34" s="4643"/>
      <c r="O34" s="4643"/>
      <c r="P34" s="4644"/>
    </row>
    <row r="35" spans="1:16" ht="15.75" customHeight="1" x14ac:dyDescent="0.35">
      <c r="A35" s="819">
        <v>8</v>
      </c>
      <c r="B35" s="819" t="s">
        <v>62</v>
      </c>
      <c r="C35" s="819"/>
      <c r="D35" s="4642" t="s">
        <v>1371</v>
      </c>
      <c r="E35" s="4643"/>
      <c r="F35" s="4643"/>
      <c r="G35" s="4643"/>
      <c r="H35" s="4643"/>
      <c r="I35" s="4643"/>
      <c r="J35" s="4643"/>
      <c r="K35" s="4643"/>
      <c r="L35" s="4643"/>
      <c r="M35" s="4643"/>
      <c r="N35" s="4643"/>
      <c r="O35" s="4643"/>
      <c r="P35" s="4644"/>
    </row>
    <row r="36" spans="1:16" ht="84.75" customHeight="1" x14ac:dyDescent="0.35">
      <c r="A36" s="819">
        <v>9</v>
      </c>
      <c r="B36" s="819" t="s">
        <v>278</v>
      </c>
      <c r="D36" s="4642" t="s">
        <v>1372</v>
      </c>
      <c r="E36" s="4643"/>
      <c r="F36" s="4643"/>
      <c r="G36" s="4643"/>
      <c r="H36" s="4643"/>
      <c r="I36" s="4643"/>
      <c r="J36" s="4643"/>
      <c r="K36" s="4643"/>
      <c r="L36" s="4643"/>
      <c r="M36" s="4643"/>
      <c r="N36" s="4643"/>
      <c r="O36" s="4643"/>
      <c r="P36" s="4644"/>
    </row>
    <row r="37" spans="1:16" x14ac:dyDescent="0.35">
      <c r="A37" s="870"/>
    </row>
    <row r="39" spans="1:16" x14ac:dyDescent="0.35">
      <c r="F39" s="3300"/>
      <c r="G39" s="3300"/>
      <c r="H39" s="3300"/>
      <c r="I39" s="3300"/>
      <c r="J39" s="3300"/>
    </row>
    <row r="40" spans="1:16" x14ac:dyDescent="0.35">
      <c r="F40" s="3373"/>
      <c r="G40" s="1427"/>
      <c r="H40" s="1427"/>
      <c r="I40" s="3300"/>
      <c r="J40" s="3300"/>
    </row>
    <row r="41" spans="1:16" x14ac:dyDescent="0.35">
      <c r="F41" s="1427"/>
      <c r="G41" s="3373"/>
      <c r="H41" s="3373"/>
      <c r="I41" s="3300"/>
      <c r="J41" s="3300"/>
    </row>
    <row r="42" spans="1:16" x14ac:dyDescent="0.35">
      <c r="F42" s="1427"/>
      <c r="G42" s="1427"/>
      <c r="H42" s="1427"/>
      <c r="I42" s="3300"/>
      <c r="J42" s="3300"/>
    </row>
    <row r="43" spans="1:16" x14ac:dyDescent="0.35">
      <c r="F43" s="1427"/>
      <c r="G43" s="1427"/>
      <c r="H43" s="1427"/>
      <c r="I43" s="3300"/>
      <c r="J43" s="3300"/>
    </row>
    <row r="44" spans="1:16" x14ac:dyDescent="0.35">
      <c r="F44" s="1427"/>
      <c r="G44" s="1427"/>
      <c r="H44" s="1427"/>
      <c r="I44" s="3300"/>
      <c r="J44" s="3300"/>
    </row>
    <row r="45" spans="1:16" x14ac:dyDescent="0.35">
      <c r="F45" s="1427"/>
      <c r="G45" s="3374"/>
      <c r="H45" s="1427"/>
      <c r="I45" s="3300"/>
      <c r="J45" s="3300"/>
    </row>
    <row r="46" spans="1:16" x14ac:dyDescent="0.35">
      <c r="F46" s="1427"/>
      <c r="G46" s="1427"/>
      <c r="H46" s="1427"/>
      <c r="I46" s="3300"/>
      <c r="J46" s="3300"/>
    </row>
    <row r="47" spans="1:16" x14ac:dyDescent="0.35">
      <c r="F47" s="1427"/>
      <c r="G47" s="1427"/>
      <c r="H47" s="1427"/>
      <c r="I47" s="3300"/>
      <c r="J47" s="3300"/>
    </row>
    <row r="48" spans="1:16" x14ac:dyDescent="0.35">
      <c r="F48" s="1427"/>
      <c r="G48" s="1427"/>
      <c r="H48" s="1427"/>
      <c r="I48" s="3300"/>
      <c r="J48" s="3300"/>
    </row>
    <row r="49" spans="6:10" x14ac:dyDescent="0.35">
      <c r="F49" s="1427"/>
      <c r="G49" s="1427"/>
      <c r="H49" s="1427"/>
      <c r="I49" s="3300"/>
      <c r="J49" s="3300"/>
    </row>
    <row r="50" spans="6:10" x14ac:dyDescent="0.35">
      <c r="F50" s="1427"/>
      <c r="G50" s="1427"/>
      <c r="H50" s="1427"/>
      <c r="I50" s="3300"/>
      <c r="J50" s="3300"/>
    </row>
    <row r="51" spans="6:10" x14ac:dyDescent="0.35">
      <c r="F51" s="140"/>
      <c r="G51" s="140"/>
      <c r="H51" s="140"/>
    </row>
  </sheetData>
  <mergeCells count="8">
    <mergeCell ref="D35:P35"/>
    <mergeCell ref="D36:P36"/>
    <mergeCell ref="D2:P2"/>
    <mergeCell ref="D3:P3"/>
    <mergeCell ref="D4:P4"/>
    <mergeCell ref="D5:P5"/>
    <mergeCell ref="D33:P33"/>
    <mergeCell ref="D34:P34"/>
  </mergeCells>
  <pageMargins left="0.74803149606299213" right="0.74803149606299213" top="0.98425196850393704" bottom="0.98425196850393704" header="0.51181102362204722" footer="0.51181102362204722"/>
  <pageSetup paperSize="9" scale="7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AC61"/>
  <sheetViews>
    <sheetView showGridLines="0" view="pageBreakPreview" zoomScaleNormal="100" zoomScaleSheetLayoutView="100" workbookViewId="0">
      <selection activeCell="B19" sqref="B19"/>
    </sheetView>
  </sheetViews>
  <sheetFormatPr defaultColWidth="9.1796875" defaultRowHeight="14.5" x14ac:dyDescent="0.35"/>
  <cols>
    <col min="1" max="1" width="4" style="86" customWidth="1"/>
    <col min="2" max="2" width="12.81640625" style="83" customWidth="1"/>
    <col min="3" max="3" width="3.81640625" style="84" customWidth="1"/>
    <col min="4" max="4" width="9.81640625" style="4" customWidth="1"/>
    <col min="5" max="5" width="6.54296875" style="4" customWidth="1"/>
    <col min="6" max="25" width="8.1796875" style="4" customWidth="1"/>
    <col min="26" max="26" width="7.6328125" style="4" customWidth="1"/>
    <col min="27" max="27" width="7.36328125" style="4" customWidth="1"/>
    <col min="28" max="28" width="7.7265625" style="4" customWidth="1"/>
    <col min="29" max="29" width="7.26953125" style="4" customWidth="1"/>
    <col min="30" max="16384" width="9.1796875" style="4"/>
  </cols>
  <sheetData>
    <row r="1" spans="1:29" x14ac:dyDescent="0.35">
      <c r="D1" s="85"/>
      <c r="E1" s="85"/>
      <c r="F1" s="85"/>
      <c r="G1" s="85"/>
      <c r="H1" s="85"/>
      <c r="I1" s="85"/>
      <c r="J1" s="85"/>
      <c r="K1" s="85"/>
      <c r="L1" s="85"/>
      <c r="M1" s="85"/>
      <c r="N1" s="85"/>
      <c r="O1" s="85"/>
      <c r="P1" s="85"/>
      <c r="Q1" s="85"/>
      <c r="R1" s="85"/>
      <c r="S1" s="85"/>
      <c r="T1" s="85"/>
      <c r="U1" s="85"/>
      <c r="V1" s="85"/>
    </row>
    <row r="2" spans="1:29" ht="12.75" customHeight="1" x14ac:dyDescent="0.35">
      <c r="A2" s="86">
        <v>1</v>
      </c>
      <c r="B2" s="87" t="s">
        <v>0</v>
      </c>
      <c r="C2" s="86">
        <f>'[1]B deficit'!C2+1</f>
        <v>6</v>
      </c>
      <c r="D2" s="4648" t="s">
        <v>379</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50"/>
    </row>
    <row r="3" spans="1:29" ht="12.75" customHeight="1" x14ac:dyDescent="0.35">
      <c r="A3" s="86">
        <v>2</v>
      </c>
      <c r="B3" s="87" t="s">
        <v>2</v>
      </c>
      <c r="C3" s="86"/>
      <c r="D3" s="4648" t="s">
        <v>98</v>
      </c>
      <c r="E3" s="4649"/>
      <c r="F3" s="4649"/>
      <c r="G3" s="4649"/>
      <c r="H3" s="4649"/>
      <c r="I3" s="4649"/>
      <c r="J3" s="4649"/>
      <c r="K3" s="4649"/>
      <c r="L3" s="4649"/>
      <c r="M3" s="4649"/>
      <c r="N3" s="4649"/>
      <c r="O3" s="4649"/>
      <c r="P3" s="4649"/>
      <c r="Q3" s="4649"/>
      <c r="R3" s="4649"/>
      <c r="S3" s="4649"/>
      <c r="T3" s="4649"/>
      <c r="U3" s="4649"/>
      <c r="V3" s="4649"/>
      <c r="W3" s="4649"/>
      <c r="X3" s="4649"/>
      <c r="Y3" s="4649"/>
      <c r="Z3" s="4649"/>
      <c r="AA3" s="4649"/>
      <c r="AB3" s="4650"/>
    </row>
    <row r="4" spans="1:29" ht="15" customHeight="1" x14ac:dyDescent="0.35">
      <c r="A4" s="86">
        <v>3</v>
      </c>
      <c r="B4" s="87" t="s">
        <v>4</v>
      </c>
      <c r="C4" s="86"/>
      <c r="D4" s="4648" t="s">
        <v>129</v>
      </c>
      <c r="E4" s="4649"/>
      <c r="F4" s="4649"/>
      <c r="G4" s="4649"/>
      <c r="H4" s="4649"/>
      <c r="I4" s="4649"/>
      <c r="J4" s="4649"/>
      <c r="K4" s="4649"/>
      <c r="L4" s="4649"/>
      <c r="M4" s="4649"/>
      <c r="N4" s="4649"/>
      <c r="O4" s="4649"/>
      <c r="P4" s="4649"/>
      <c r="Q4" s="4649"/>
      <c r="R4" s="4649"/>
      <c r="S4" s="4649"/>
      <c r="T4" s="4649"/>
      <c r="U4" s="4649"/>
      <c r="V4" s="4649"/>
      <c r="W4" s="4649"/>
      <c r="X4" s="4649"/>
      <c r="Y4" s="4649"/>
      <c r="Z4" s="4649"/>
      <c r="AA4" s="4649"/>
      <c r="AB4" s="4650"/>
    </row>
    <row r="5" spans="1:29" ht="24" customHeight="1" x14ac:dyDescent="0.35">
      <c r="B5" s="86"/>
      <c r="C5" s="86"/>
      <c r="D5" s="4666"/>
      <c r="E5" s="4666"/>
      <c r="F5" s="4666"/>
      <c r="G5" s="4666"/>
      <c r="H5" s="4666"/>
      <c r="I5" s="4666"/>
      <c r="J5" s="4666"/>
      <c r="K5" s="4666"/>
      <c r="L5" s="4666"/>
      <c r="M5" s="4666"/>
      <c r="N5" s="4666"/>
      <c r="O5" s="4666"/>
      <c r="P5" s="4666"/>
      <c r="Q5" s="4666"/>
      <c r="R5" s="4666"/>
      <c r="S5" s="4666"/>
      <c r="T5" s="4666"/>
      <c r="U5" s="4666"/>
      <c r="V5" s="4666"/>
      <c r="W5" s="4666"/>
      <c r="X5" s="4666"/>
      <c r="Y5" s="4666"/>
      <c r="Z5" s="4666"/>
      <c r="AA5" s="4666"/>
    </row>
    <row r="6" spans="1:29" ht="10.5" customHeight="1" x14ac:dyDescent="0.35">
      <c r="A6" s="86">
        <v>4</v>
      </c>
      <c r="B6" s="87" t="s">
        <v>6</v>
      </c>
      <c r="C6" s="86"/>
      <c r="D6" s="90" t="s">
        <v>85</v>
      </c>
      <c r="E6" s="90"/>
      <c r="F6" s="90" t="s">
        <v>130</v>
      </c>
      <c r="G6" s="90"/>
      <c r="H6" s="90"/>
      <c r="I6" s="90"/>
      <c r="J6" s="220"/>
      <c r="K6" s="220"/>
      <c r="L6" s="220"/>
      <c r="M6" s="220"/>
      <c r="N6" s="221"/>
      <c r="O6" s="222"/>
      <c r="P6" s="221"/>
      <c r="Q6" s="221"/>
      <c r="R6" s="221"/>
      <c r="S6" s="120"/>
      <c r="T6" s="120"/>
      <c r="U6" s="108"/>
      <c r="V6" s="108"/>
    </row>
    <row r="7" spans="1:29" x14ac:dyDescent="0.35">
      <c r="D7" s="195" t="s">
        <v>97</v>
      </c>
      <c r="E7" s="197" t="s">
        <v>102</v>
      </c>
      <c r="F7" s="197" t="s">
        <v>103</v>
      </c>
      <c r="G7" s="197" t="s">
        <v>104</v>
      </c>
      <c r="H7" s="197" t="s">
        <v>105</v>
      </c>
      <c r="I7" s="197" t="s">
        <v>106</v>
      </c>
      <c r="J7" s="197" t="s">
        <v>107</v>
      </c>
      <c r="K7" s="197" t="s">
        <v>108</v>
      </c>
      <c r="L7" s="197" t="s">
        <v>109</v>
      </c>
      <c r="M7" s="197" t="s">
        <v>110</v>
      </c>
      <c r="N7" s="197" t="s">
        <v>111</v>
      </c>
      <c r="O7" s="197" t="s">
        <v>112</v>
      </c>
      <c r="P7" s="197" t="s">
        <v>113</v>
      </c>
      <c r="Q7" s="197" t="s">
        <v>114</v>
      </c>
      <c r="R7" s="197" t="s">
        <v>115</v>
      </c>
      <c r="S7" s="197" t="s">
        <v>116</v>
      </c>
      <c r="T7" s="197" t="s">
        <v>117</v>
      </c>
      <c r="U7" s="197" t="s">
        <v>118</v>
      </c>
      <c r="V7" s="197" t="s">
        <v>119</v>
      </c>
      <c r="W7" s="197" t="s">
        <v>120</v>
      </c>
      <c r="X7" s="197" t="s">
        <v>121</v>
      </c>
      <c r="Y7" s="197" t="s">
        <v>122</v>
      </c>
      <c r="Z7" s="197" t="s">
        <v>123</v>
      </c>
      <c r="AA7" s="197" t="s">
        <v>124</v>
      </c>
      <c r="AB7" s="197" t="s">
        <v>125</v>
      </c>
      <c r="AC7" s="223" t="s">
        <v>126</v>
      </c>
    </row>
    <row r="8" spans="1:29" ht="31.5" x14ac:dyDescent="0.35">
      <c r="D8" s="102" t="s">
        <v>131</v>
      </c>
      <c r="E8" s="224">
        <v>47</v>
      </c>
      <c r="F8" s="224">
        <v>48</v>
      </c>
      <c r="G8" s="104">
        <v>46.8</v>
      </c>
      <c r="H8" s="104">
        <v>46.2</v>
      </c>
      <c r="I8" s="104">
        <v>46.1</v>
      </c>
      <c r="J8" s="224">
        <v>43.6</v>
      </c>
      <c r="K8" s="224">
        <v>40.6</v>
      </c>
      <c r="L8" s="224">
        <v>39.5</v>
      </c>
      <c r="M8" s="224">
        <v>33.4</v>
      </c>
      <c r="N8" s="224">
        <v>32.6</v>
      </c>
      <c r="O8" s="224">
        <v>31.2</v>
      </c>
      <c r="P8" s="224">
        <v>27.9</v>
      </c>
      <c r="Q8" s="224">
        <v>25</v>
      </c>
      <c r="R8" s="224">
        <v>22.3</v>
      </c>
      <c r="S8" s="224">
        <v>21.8</v>
      </c>
      <c r="T8" s="224">
        <v>26.4</v>
      </c>
      <c r="U8" s="224">
        <v>29</v>
      </c>
      <c r="V8" s="224">
        <v>32.200000000000003</v>
      </c>
      <c r="W8" s="224">
        <v>35.6</v>
      </c>
      <c r="X8" s="224">
        <v>38.200000000000003</v>
      </c>
      <c r="Y8" s="224">
        <v>41</v>
      </c>
      <c r="Z8" s="224">
        <v>43.7</v>
      </c>
      <c r="AA8" s="224">
        <v>45.4</v>
      </c>
      <c r="AB8" s="224">
        <v>48.1</v>
      </c>
      <c r="AC8" s="225">
        <v>51.7</v>
      </c>
    </row>
    <row r="9" spans="1:29" ht="22.5" customHeight="1" x14ac:dyDescent="0.35">
      <c r="D9" s="85"/>
      <c r="E9" s="85"/>
      <c r="F9" s="109"/>
      <c r="G9" s="109"/>
      <c r="H9" s="109"/>
      <c r="I9" s="109"/>
      <c r="J9" s="109"/>
      <c r="K9" s="109"/>
      <c r="L9" s="109"/>
      <c r="M9" s="109"/>
      <c r="N9" s="109"/>
      <c r="O9" s="109"/>
      <c r="P9" s="109"/>
      <c r="Q9" s="109"/>
      <c r="R9" s="109"/>
      <c r="S9" s="109"/>
      <c r="T9" s="109"/>
      <c r="U9" s="109"/>
      <c r="V9" s="109"/>
      <c r="AA9" s="226">
        <v>41.9</v>
      </c>
      <c r="AB9" s="226"/>
    </row>
    <row r="10" spans="1:29" x14ac:dyDescent="0.35">
      <c r="A10" s="86">
        <v>5</v>
      </c>
      <c r="B10" s="87" t="s">
        <v>56</v>
      </c>
      <c r="C10" s="86"/>
      <c r="D10" s="85"/>
      <c r="E10" s="85"/>
      <c r="F10" s="109"/>
      <c r="G10" s="109"/>
      <c r="H10" s="109"/>
      <c r="I10" s="109"/>
      <c r="J10" s="109"/>
      <c r="K10" s="109"/>
      <c r="L10" s="109"/>
      <c r="M10" s="109"/>
      <c r="N10" s="109"/>
      <c r="O10" s="109"/>
      <c r="P10" s="109"/>
      <c r="Q10" s="109"/>
      <c r="R10" s="109"/>
      <c r="S10" s="109"/>
      <c r="T10" s="109"/>
      <c r="U10" s="109"/>
      <c r="V10" s="109"/>
      <c r="AA10" s="226">
        <v>47</v>
      </c>
      <c r="AB10" s="226"/>
    </row>
    <row r="11" spans="1:29" x14ac:dyDescent="0.35">
      <c r="D11" s="227"/>
      <c r="E11" s="227"/>
      <c r="F11" s="85"/>
      <c r="G11" s="109"/>
      <c r="H11" s="109"/>
      <c r="I11" s="109"/>
      <c r="J11" s="109"/>
      <c r="K11" s="109"/>
      <c r="L11" s="109"/>
      <c r="M11" s="109"/>
      <c r="N11" s="109"/>
      <c r="O11" s="109"/>
      <c r="P11" s="109"/>
      <c r="Q11" s="109"/>
      <c r="R11" s="109"/>
      <c r="S11" s="109"/>
      <c r="T11" s="109"/>
      <c r="U11" s="109"/>
      <c r="V11" s="109"/>
      <c r="Z11" s="67"/>
      <c r="AA11" s="226">
        <v>48</v>
      </c>
      <c r="AB11" s="226"/>
    </row>
    <row r="12" spans="1:29" x14ac:dyDescent="0.35">
      <c r="D12" s="227"/>
      <c r="E12" s="227"/>
      <c r="F12" s="85"/>
      <c r="G12" s="109"/>
      <c r="H12" s="109"/>
      <c r="I12" s="109"/>
      <c r="J12" s="109"/>
      <c r="K12" s="109"/>
      <c r="L12" s="109"/>
      <c r="M12" s="109"/>
      <c r="N12" s="109"/>
      <c r="O12" s="109"/>
      <c r="P12" s="109"/>
      <c r="Q12" s="109"/>
      <c r="R12" s="109"/>
      <c r="S12" s="109"/>
      <c r="T12" s="109"/>
      <c r="U12" s="109"/>
      <c r="V12" s="109"/>
      <c r="Z12" s="67"/>
      <c r="AA12" s="226">
        <v>48.1</v>
      </c>
      <c r="AB12" s="226"/>
    </row>
    <row r="13" spans="1:29" x14ac:dyDescent="0.35">
      <c r="D13" s="227"/>
      <c r="E13" s="227"/>
      <c r="F13" s="85"/>
      <c r="G13" s="109"/>
      <c r="H13" s="109"/>
      <c r="I13" s="109"/>
      <c r="J13" s="109"/>
      <c r="K13" s="109"/>
      <c r="L13" s="109"/>
      <c r="M13" s="109"/>
      <c r="N13" s="109"/>
      <c r="O13" s="109"/>
      <c r="P13" s="109"/>
      <c r="Q13" s="109"/>
      <c r="R13" s="112"/>
      <c r="S13" s="112"/>
      <c r="T13" s="112"/>
      <c r="U13" s="112"/>
      <c r="V13" s="112"/>
      <c r="AA13" s="226">
        <v>47.3</v>
      </c>
      <c r="AB13" s="226"/>
    </row>
    <row r="14" spans="1:29" x14ac:dyDescent="0.35">
      <c r="D14" s="227"/>
      <c r="E14" s="227"/>
      <c r="F14" s="85"/>
      <c r="G14" s="109"/>
      <c r="H14" s="109"/>
      <c r="I14" s="109"/>
      <c r="J14" s="109"/>
      <c r="K14" s="109"/>
      <c r="L14" s="109"/>
      <c r="M14" s="109"/>
      <c r="N14" s="109"/>
      <c r="O14" s="109"/>
      <c r="P14" s="109"/>
      <c r="Q14" s="109"/>
      <c r="R14" s="112"/>
      <c r="S14" s="112"/>
      <c r="T14" s="112"/>
      <c r="U14" s="112"/>
      <c r="V14" s="112"/>
      <c r="AA14" s="226">
        <v>47.3</v>
      </c>
      <c r="AB14" s="226"/>
    </row>
    <row r="15" spans="1:29" x14ac:dyDescent="0.35">
      <c r="D15" s="227"/>
      <c r="E15" s="227"/>
      <c r="F15" s="85"/>
      <c r="G15" s="109"/>
      <c r="H15" s="109"/>
      <c r="I15" s="109"/>
      <c r="J15" s="109"/>
      <c r="K15" s="109"/>
      <c r="L15" s="109"/>
      <c r="M15" s="109"/>
      <c r="N15" s="109"/>
      <c r="O15" s="109"/>
      <c r="P15" s="109"/>
      <c r="Q15" s="109"/>
      <c r="R15" s="109"/>
      <c r="S15" s="109"/>
      <c r="T15" s="109"/>
      <c r="U15" s="109"/>
      <c r="V15" s="109"/>
      <c r="AA15" s="226">
        <v>44.7</v>
      </c>
      <c r="AB15" s="226"/>
    </row>
    <row r="16" spans="1:29" x14ac:dyDescent="0.35">
      <c r="D16" s="227"/>
      <c r="E16" s="227"/>
      <c r="F16" s="85"/>
      <c r="G16" s="109"/>
      <c r="H16" s="109"/>
      <c r="I16" s="109"/>
      <c r="J16" s="109"/>
      <c r="K16" s="109"/>
      <c r="L16" s="109"/>
      <c r="M16" s="109"/>
      <c r="N16" s="109"/>
      <c r="O16" s="109"/>
      <c r="P16" s="109"/>
      <c r="Q16" s="109"/>
      <c r="R16" s="109"/>
      <c r="S16" s="109"/>
      <c r="T16" s="109"/>
      <c r="U16" s="109"/>
      <c r="V16" s="109"/>
      <c r="AA16" s="226">
        <v>41.7</v>
      </c>
      <c r="AB16" s="226"/>
    </row>
    <row r="17" spans="1:28" x14ac:dyDescent="0.35">
      <c r="D17" s="227"/>
      <c r="E17" s="227"/>
      <c r="F17" s="85"/>
      <c r="G17" s="109"/>
      <c r="H17" s="109"/>
      <c r="I17" s="109"/>
      <c r="J17" s="109"/>
      <c r="K17" s="109"/>
      <c r="L17" s="109"/>
      <c r="M17" s="109"/>
      <c r="N17" s="109"/>
      <c r="O17" s="109"/>
      <c r="P17" s="109"/>
      <c r="Q17" s="109"/>
      <c r="R17" s="109"/>
      <c r="S17" s="109"/>
      <c r="T17" s="109"/>
      <c r="U17" s="109"/>
      <c r="V17" s="109"/>
      <c r="AA17" s="226">
        <v>40.6</v>
      </c>
      <c r="AB17" s="226"/>
    </row>
    <row r="18" spans="1:28" x14ac:dyDescent="0.35">
      <c r="D18" s="227"/>
      <c r="E18" s="227"/>
      <c r="F18" s="85"/>
      <c r="G18" s="109"/>
      <c r="H18" s="109"/>
      <c r="I18" s="109"/>
      <c r="J18" s="109"/>
      <c r="K18" s="109"/>
      <c r="L18" s="109"/>
      <c r="M18" s="109"/>
      <c r="N18" s="109"/>
      <c r="O18" s="109"/>
      <c r="P18" s="109"/>
      <c r="Q18" s="109"/>
      <c r="R18" s="109"/>
      <c r="S18" s="109"/>
      <c r="T18" s="109"/>
      <c r="U18" s="109"/>
      <c r="V18" s="109"/>
      <c r="AA18" s="226">
        <v>34.6</v>
      </c>
      <c r="AB18" s="226"/>
    </row>
    <row r="19" spans="1:28" x14ac:dyDescent="0.35">
      <c r="D19" s="227"/>
      <c r="E19" s="227"/>
      <c r="F19" s="85"/>
      <c r="G19" s="109"/>
      <c r="H19" s="109"/>
      <c r="I19" s="109"/>
      <c r="J19" s="109"/>
      <c r="K19" s="109"/>
      <c r="L19" s="109"/>
      <c r="M19" s="109"/>
      <c r="N19" s="109"/>
      <c r="O19" s="109"/>
      <c r="P19" s="109"/>
      <c r="Q19" s="109"/>
      <c r="R19" s="109"/>
      <c r="S19" s="109"/>
      <c r="T19" s="109"/>
      <c r="U19" s="109"/>
      <c r="V19" s="109"/>
      <c r="AA19" s="226">
        <v>33.9</v>
      </c>
      <c r="AB19" s="226"/>
    </row>
    <row r="20" spans="1:28" x14ac:dyDescent="0.35">
      <c r="D20" s="227"/>
      <c r="E20" s="227"/>
      <c r="F20" s="85"/>
      <c r="G20" s="85"/>
      <c r="H20" s="85"/>
      <c r="I20" s="85"/>
      <c r="J20" s="85"/>
      <c r="K20" s="85"/>
      <c r="L20" s="85"/>
      <c r="M20" s="85"/>
      <c r="N20" s="85"/>
      <c r="O20" s="85"/>
      <c r="P20" s="85"/>
      <c r="Q20" s="85"/>
      <c r="R20" s="85"/>
      <c r="S20" s="85"/>
      <c r="T20" s="85"/>
      <c r="U20" s="85"/>
      <c r="V20" s="85"/>
      <c r="AA20" s="226">
        <v>32.5</v>
      </c>
      <c r="AB20" s="226"/>
    </row>
    <row r="21" spans="1:28" x14ac:dyDescent="0.35">
      <c r="D21" s="227"/>
      <c r="E21" s="227"/>
      <c r="F21" s="85"/>
      <c r="G21" s="85"/>
      <c r="H21" s="85"/>
      <c r="I21" s="85"/>
      <c r="J21" s="85"/>
      <c r="K21" s="85"/>
      <c r="L21" s="85"/>
      <c r="M21" s="85"/>
      <c r="N21" s="85"/>
      <c r="O21" s="85"/>
      <c r="P21" s="85"/>
      <c r="Q21" s="85"/>
      <c r="R21" s="85"/>
      <c r="S21" s="85"/>
      <c r="T21" s="85"/>
      <c r="U21" s="85"/>
      <c r="V21" s="85"/>
      <c r="AA21" s="226">
        <v>29.1</v>
      </c>
      <c r="AB21" s="226"/>
    </row>
    <row r="22" spans="1:28" x14ac:dyDescent="0.35">
      <c r="D22" s="227"/>
      <c r="E22" s="227"/>
      <c r="F22" s="85"/>
      <c r="G22" s="85"/>
      <c r="H22" s="85"/>
      <c r="I22" s="85"/>
      <c r="J22" s="85"/>
      <c r="K22" s="85"/>
      <c r="L22" s="85"/>
      <c r="M22" s="85"/>
      <c r="N22" s="85"/>
      <c r="O22" s="85"/>
      <c r="P22" s="85"/>
      <c r="Q22" s="85"/>
      <c r="R22" s="85"/>
      <c r="S22" s="85"/>
      <c r="T22" s="85"/>
      <c r="U22" s="85"/>
      <c r="V22" s="85"/>
      <c r="AA22" s="226">
        <v>26</v>
      </c>
      <c r="AB22" s="226"/>
    </row>
    <row r="23" spans="1:28" x14ac:dyDescent="0.35">
      <c r="D23" s="227"/>
      <c r="E23" s="227"/>
      <c r="F23" s="85"/>
      <c r="G23" s="85"/>
      <c r="H23" s="85"/>
      <c r="I23" s="85"/>
      <c r="J23" s="85"/>
      <c r="K23" s="85"/>
      <c r="L23" s="85"/>
      <c r="M23" s="85"/>
      <c r="N23" s="85"/>
      <c r="O23" s="85"/>
      <c r="P23" s="85"/>
      <c r="Q23" s="85"/>
      <c r="R23" s="85"/>
      <c r="S23" s="85"/>
      <c r="T23" s="85"/>
      <c r="U23" s="85"/>
      <c r="V23" s="85"/>
      <c r="AA23" s="226">
        <v>23</v>
      </c>
      <c r="AB23" s="226"/>
    </row>
    <row r="24" spans="1:28" x14ac:dyDescent="0.35">
      <c r="D24" s="85"/>
      <c r="E24" s="85"/>
      <c r="F24" s="85"/>
      <c r="G24" s="85"/>
      <c r="H24" s="85"/>
      <c r="I24" s="85"/>
      <c r="J24" s="85"/>
      <c r="K24" s="85"/>
      <c r="L24" s="85"/>
      <c r="M24" s="85"/>
      <c r="N24" s="85"/>
      <c r="O24" s="85"/>
      <c r="P24" s="85"/>
      <c r="Q24" s="85"/>
      <c r="R24" s="85"/>
      <c r="S24" s="85"/>
      <c r="T24" s="85"/>
      <c r="U24" s="85"/>
      <c r="V24" s="85"/>
      <c r="AA24" s="226">
        <v>22.9</v>
      </c>
      <c r="AB24" s="226"/>
    </row>
    <row r="25" spans="1:28" x14ac:dyDescent="0.35">
      <c r="D25" s="85"/>
      <c r="E25" s="85"/>
      <c r="F25" s="85"/>
      <c r="G25" s="85"/>
      <c r="H25" s="85"/>
      <c r="I25" s="85"/>
      <c r="J25" s="85"/>
      <c r="K25" s="85"/>
      <c r="L25" s="85"/>
      <c r="M25" s="85"/>
      <c r="N25" s="85"/>
      <c r="O25" s="85"/>
      <c r="P25" s="85"/>
      <c r="Q25" s="85"/>
      <c r="R25" s="85"/>
      <c r="S25" s="85"/>
      <c r="T25" s="85"/>
      <c r="U25" s="85"/>
      <c r="V25" s="85"/>
      <c r="AA25" s="226">
        <v>27.4</v>
      </c>
      <c r="AB25" s="226"/>
    </row>
    <row r="26" spans="1:28" x14ac:dyDescent="0.35">
      <c r="D26" s="85"/>
      <c r="E26" s="85"/>
      <c r="F26" s="85"/>
      <c r="G26" s="85"/>
      <c r="H26" s="85"/>
      <c r="I26" s="85"/>
      <c r="J26" s="85"/>
      <c r="K26" s="85"/>
      <c r="L26" s="85"/>
      <c r="M26" s="85"/>
      <c r="N26" s="85"/>
      <c r="O26" s="85"/>
      <c r="P26" s="85"/>
      <c r="Q26" s="85"/>
      <c r="R26" s="85"/>
      <c r="S26" s="85"/>
      <c r="T26" s="85"/>
      <c r="U26" s="85"/>
      <c r="V26" s="85"/>
      <c r="AA26" s="226">
        <v>29.7</v>
      </c>
      <c r="AB26" s="226"/>
    </row>
    <row r="27" spans="1:28" x14ac:dyDescent="0.35">
      <c r="D27" s="85"/>
      <c r="E27" s="85"/>
      <c r="F27" s="85"/>
      <c r="G27" s="85"/>
      <c r="H27" s="85"/>
      <c r="I27" s="85"/>
      <c r="J27" s="85"/>
      <c r="K27" s="85"/>
      <c r="L27" s="85"/>
      <c r="M27" s="85"/>
      <c r="N27" s="85"/>
      <c r="O27" s="85"/>
      <c r="P27" s="85"/>
      <c r="Q27" s="85"/>
      <c r="R27" s="85"/>
      <c r="S27" s="85"/>
      <c r="T27" s="85"/>
      <c r="U27" s="85"/>
      <c r="V27" s="85"/>
      <c r="AA27" s="226"/>
      <c r="AB27" s="226"/>
    </row>
    <row r="28" spans="1:28" ht="12.75" customHeight="1" x14ac:dyDescent="0.35">
      <c r="A28" s="86">
        <v>6</v>
      </c>
      <c r="B28" s="87" t="s">
        <v>58</v>
      </c>
      <c r="C28" s="86"/>
      <c r="D28" s="4648" t="s">
        <v>132</v>
      </c>
      <c r="E28" s="4649"/>
      <c r="F28" s="4649"/>
      <c r="G28" s="4649"/>
      <c r="H28" s="4649"/>
      <c r="I28" s="4649"/>
      <c r="J28" s="4649"/>
      <c r="K28" s="4649"/>
      <c r="L28" s="4649"/>
      <c r="M28" s="4649"/>
      <c r="N28" s="4649"/>
      <c r="O28" s="4649"/>
      <c r="P28" s="4649"/>
      <c r="Q28" s="4649"/>
      <c r="R28" s="4649"/>
      <c r="S28" s="4649"/>
      <c r="T28" s="4649"/>
      <c r="U28" s="4649"/>
      <c r="V28" s="4649"/>
      <c r="W28" s="4649"/>
      <c r="X28" s="4649"/>
      <c r="Y28" s="4649"/>
      <c r="Z28" s="4649"/>
      <c r="AA28" s="4649"/>
      <c r="AB28" s="4650"/>
    </row>
    <row r="29" spans="1:28" ht="14.5" customHeight="1" x14ac:dyDescent="0.35">
      <c r="A29" s="113">
        <v>7</v>
      </c>
      <c r="B29" s="114" t="s">
        <v>60</v>
      </c>
      <c r="C29" s="113"/>
      <c r="D29" s="4651" t="s">
        <v>380</v>
      </c>
      <c r="E29" s="4652"/>
      <c r="F29" s="4652"/>
      <c r="G29" s="4652"/>
      <c r="H29" s="4652"/>
      <c r="I29" s="4652"/>
      <c r="J29" s="4652"/>
      <c r="K29" s="4652"/>
      <c r="L29" s="4652"/>
      <c r="M29" s="4652"/>
      <c r="N29" s="4652"/>
      <c r="O29" s="4652"/>
      <c r="P29" s="4652"/>
      <c r="Q29" s="4652"/>
      <c r="R29" s="4652"/>
      <c r="S29" s="4652"/>
      <c r="T29" s="4652"/>
      <c r="U29" s="4652"/>
      <c r="V29" s="4652"/>
      <c r="W29" s="4652"/>
      <c r="X29" s="4652"/>
      <c r="Y29" s="4652"/>
      <c r="Z29" s="4652"/>
      <c r="AA29" s="4652"/>
      <c r="AB29" s="4653"/>
    </row>
    <row r="30" spans="1:28" ht="12.75" customHeight="1" x14ac:dyDescent="0.35">
      <c r="A30" s="86">
        <v>8</v>
      </c>
      <c r="B30" s="87" t="s">
        <v>62</v>
      </c>
      <c r="C30" s="86"/>
      <c r="D30" s="4660" t="s">
        <v>133</v>
      </c>
      <c r="E30" s="4661"/>
      <c r="F30" s="4661"/>
      <c r="G30" s="4661"/>
      <c r="H30" s="4661"/>
      <c r="I30" s="4661"/>
      <c r="J30" s="4661"/>
      <c r="K30" s="4661"/>
      <c r="L30" s="4661"/>
      <c r="M30" s="4661"/>
      <c r="N30" s="4661"/>
      <c r="O30" s="4661"/>
      <c r="P30" s="4661"/>
      <c r="Q30" s="4661"/>
      <c r="R30" s="4661"/>
      <c r="S30" s="4661"/>
      <c r="T30" s="4661"/>
      <c r="U30" s="4661"/>
      <c r="V30" s="4661"/>
      <c r="W30" s="4661"/>
      <c r="X30" s="4661"/>
      <c r="Y30" s="4661"/>
      <c r="Z30" s="4661"/>
      <c r="AA30" s="4661"/>
      <c r="AB30" s="4662"/>
    </row>
    <row r="31" spans="1:28" ht="42" customHeight="1" x14ac:dyDescent="0.35">
      <c r="A31" s="86">
        <v>9</v>
      </c>
      <c r="B31" s="87" t="s">
        <v>134</v>
      </c>
      <c r="C31" s="86"/>
      <c r="D31" s="4651" t="s">
        <v>381</v>
      </c>
      <c r="E31" s="4652"/>
      <c r="F31" s="4652"/>
      <c r="G31" s="4652"/>
      <c r="H31" s="4652"/>
      <c r="I31" s="4652"/>
      <c r="J31" s="4652"/>
      <c r="K31" s="4652"/>
      <c r="L31" s="4652"/>
      <c r="M31" s="4652"/>
      <c r="N31" s="4652"/>
      <c r="O31" s="4652"/>
      <c r="P31" s="4652"/>
      <c r="Q31" s="4652"/>
      <c r="R31" s="4652"/>
      <c r="S31" s="4652"/>
      <c r="T31" s="4652"/>
      <c r="U31" s="4652"/>
      <c r="V31" s="4652"/>
      <c r="W31" s="4652"/>
      <c r="X31" s="4652"/>
      <c r="Y31" s="4652"/>
      <c r="Z31" s="4652"/>
      <c r="AA31" s="4652"/>
      <c r="AB31" s="4653"/>
    </row>
    <row r="34" spans="1:28" hidden="1" x14ac:dyDescent="0.35">
      <c r="F34" s="228" t="s">
        <v>102</v>
      </c>
      <c r="G34" s="228" t="s">
        <v>103</v>
      </c>
      <c r="H34" s="228" t="s">
        <v>104</v>
      </c>
      <c r="I34" s="228" t="s">
        <v>105</v>
      </c>
      <c r="J34" s="228" t="s">
        <v>106</v>
      </c>
      <c r="K34" s="228" t="s">
        <v>107</v>
      </c>
      <c r="L34" s="228" t="s">
        <v>108</v>
      </c>
      <c r="M34" s="228" t="s">
        <v>109</v>
      </c>
      <c r="N34" s="228" t="s">
        <v>110</v>
      </c>
      <c r="O34" s="228" t="s">
        <v>111</v>
      </c>
      <c r="P34" s="228" t="s">
        <v>112</v>
      </c>
      <c r="Q34" s="228" t="s">
        <v>113</v>
      </c>
      <c r="R34" s="228" t="s">
        <v>114</v>
      </c>
      <c r="S34" s="228" t="s">
        <v>115</v>
      </c>
      <c r="T34" s="228" t="s">
        <v>116</v>
      </c>
      <c r="U34" s="229" t="s">
        <v>117</v>
      </c>
      <c r="V34" s="229" t="s">
        <v>118</v>
      </c>
      <c r="W34" s="229" t="s">
        <v>119</v>
      </c>
      <c r="X34" s="229" t="s">
        <v>120</v>
      </c>
      <c r="Y34" s="229" t="s">
        <v>121</v>
      </c>
    </row>
    <row r="35" spans="1:28" hidden="1" x14ac:dyDescent="0.35">
      <c r="D35" s="4">
        <v>35.700000000000003</v>
      </c>
      <c r="E35" s="4">
        <v>40.700000000000003</v>
      </c>
      <c r="F35" s="4">
        <v>45.6</v>
      </c>
      <c r="G35" s="4">
        <v>46.7</v>
      </c>
      <c r="H35" s="4">
        <v>46.8</v>
      </c>
      <c r="I35" s="4">
        <v>46.2</v>
      </c>
      <c r="J35" s="4">
        <v>46.1</v>
      </c>
      <c r="K35" s="4">
        <v>43.5</v>
      </c>
      <c r="L35" s="4">
        <v>40.6</v>
      </c>
      <c r="M35" s="4">
        <v>39.4</v>
      </c>
      <c r="N35" s="4">
        <v>33.299999999999997</v>
      </c>
      <c r="O35" s="4">
        <v>32.6</v>
      </c>
      <c r="P35" s="4">
        <v>31.2</v>
      </c>
      <c r="Q35" s="4">
        <v>28</v>
      </c>
      <c r="R35" s="4">
        <v>24.9</v>
      </c>
      <c r="S35" s="4">
        <v>22</v>
      </c>
      <c r="T35" s="4">
        <v>21.8</v>
      </c>
      <c r="U35" s="4">
        <v>26.4</v>
      </c>
      <c r="V35" s="4">
        <v>28.9</v>
      </c>
      <c r="W35" s="4">
        <v>31.9</v>
      </c>
      <c r="X35" s="4">
        <v>34.700000000000003</v>
      </c>
      <c r="Y35" s="4">
        <v>38.200000000000003</v>
      </c>
      <c r="AB35" s="116"/>
    </row>
    <row r="36" spans="1:28" s="12" customFormat="1" hidden="1" x14ac:dyDescent="0.35">
      <c r="A36" s="154"/>
      <c r="B36" s="230"/>
      <c r="C36" s="231"/>
    </row>
    <row r="37" spans="1:28" s="12" customFormat="1" hidden="1" x14ac:dyDescent="0.35">
      <c r="A37" s="154"/>
      <c r="B37" s="4663"/>
      <c r="C37" s="4664"/>
      <c r="D37" s="4664"/>
      <c r="E37" s="4664"/>
      <c r="F37" s="4664"/>
      <c r="G37" s="4664"/>
      <c r="H37" s="4664"/>
      <c r="I37" s="4664"/>
      <c r="J37" s="4664"/>
      <c r="K37" s="4664"/>
      <c r="L37" s="4664"/>
      <c r="M37" s="4664"/>
      <c r="N37" s="4664"/>
      <c r="O37" s="4664"/>
      <c r="P37" s="4665"/>
      <c r="Q37" s="4665"/>
      <c r="R37" s="4665"/>
      <c r="S37" s="4665"/>
      <c r="T37" s="4665"/>
      <c r="U37" s="232"/>
      <c r="V37" s="232"/>
    </row>
    <row r="38" spans="1:28" s="12" customFormat="1" hidden="1" x14ac:dyDescent="0.35">
      <c r="A38" s="154"/>
      <c r="B38" s="233"/>
      <c r="C38" s="231"/>
    </row>
    <row r="39" spans="1:28" hidden="1" x14ac:dyDescent="0.35"/>
    <row r="40" spans="1:28" hidden="1" x14ac:dyDescent="0.35"/>
    <row r="41" spans="1:28" hidden="1" x14ac:dyDescent="0.35"/>
    <row r="42" spans="1:28" hidden="1" x14ac:dyDescent="0.35"/>
    <row r="43" spans="1:28" hidden="1" x14ac:dyDescent="0.35"/>
    <row r="44" spans="1:28" hidden="1" x14ac:dyDescent="0.35"/>
    <row r="45" spans="1:28" hidden="1" x14ac:dyDescent="0.35"/>
    <row r="46" spans="1:28" hidden="1" x14ac:dyDescent="0.35"/>
    <row r="47" spans="1:28" hidden="1" x14ac:dyDescent="0.35"/>
    <row r="48" spans="1:28" hidden="1" x14ac:dyDescent="0.35"/>
    <row r="49" spans="29:29" hidden="1" x14ac:dyDescent="0.35"/>
    <row r="50" spans="29:29" hidden="1" x14ac:dyDescent="0.35"/>
    <row r="51" spans="29:29" hidden="1" x14ac:dyDescent="0.35"/>
    <row r="52" spans="29:29" hidden="1" x14ac:dyDescent="0.35"/>
    <row r="53" spans="29:29" hidden="1" x14ac:dyDescent="0.35"/>
    <row r="54" spans="29:29" hidden="1" x14ac:dyDescent="0.35"/>
    <row r="61" spans="29:29" x14ac:dyDescent="0.35">
      <c r="AC61" s="4" t="s">
        <v>67</v>
      </c>
    </row>
  </sheetData>
  <mergeCells count="9">
    <mergeCell ref="D30:AB30"/>
    <mergeCell ref="D31:AB31"/>
    <mergeCell ref="B37:T37"/>
    <mergeCell ref="D2:AB2"/>
    <mergeCell ref="D3:AB3"/>
    <mergeCell ref="D4:AB4"/>
    <mergeCell ref="D5:AA5"/>
    <mergeCell ref="D28:AB28"/>
    <mergeCell ref="D29:AB29"/>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pageSetUpPr fitToPage="1"/>
  </sheetPr>
  <dimension ref="A1:AO57"/>
  <sheetViews>
    <sheetView showGridLines="0" view="pageBreakPreview" topLeftCell="C1" zoomScaleNormal="100" zoomScaleSheetLayoutView="100" workbookViewId="0">
      <selection activeCell="AI8" sqref="AI8"/>
    </sheetView>
  </sheetViews>
  <sheetFormatPr defaultColWidth="9.08984375" defaultRowHeight="14.5" x14ac:dyDescent="0.35"/>
  <cols>
    <col min="1" max="1" width="3.6328125" style="2077" customWidth="1"/>
    <col min="2" max="2" width="14.453125" style="2077" customWidth="1"/>
    <col min="3" max="3" width="3.6328125" style="2077" customWidth="1"/>
    <col min="4" max="4" width="21.54296875" style="140" customWidth="1"/>
    <col min="5" max="5" width="7.6328125" style="140" customWidth="1"/>
    <col min="6" max="6" width="9.54296875" style="140" customWidth="1"/>
    <col min="7" max="7" width="8.6328125" style="140" customWidth="1"/>
    <col min="8" max="8" width="9.54296875" style="140" customWidth="1"/>
    <col min="9" max="9" width="9.90625" style="140" customWidth="1"/>
    <col min="10" max="10" width="9.453125" style="140" customWidth="1"/>
    <col min="11" max="11" width="10.36328125" style="140" customWidth="1"/>
    <col min="12" max="13" width="9.6328125" style="140" customWidth="1"/>
    <col min="14" max="14" width="9.90625" style="140" customWidth="1"/>
    <col min="15" max="15" width="10.6328125" style="140" customWidth="1"/>
    <col min="16" max="27" width="7.6328125" style="140" customWidth="1"/>
    <col min="28" max="28" width="9.08984375" style="140"/>
    <col min="29" max="29" width="11.6328125" style="140" customWidth="1"/>
    <col min="30" max="30" width="10.36328125" style="140" customWidth="1"/>
    <col min="31" max="31" width="10.26953125" style="140" customWidth="1"/>
    <col min="32" max="32" width="11.36328125" style="140" customWidth="1"/>
    <col min="33" max="33" width="9.08984375" style="140"/>
    <col min="34" max="34" width="11" style="140" customWidth="1"/>
    <col min="35" max="35" width="8.08984375" style="140" customWidth="1"/>
    <col min="36" max="36" width="8" style="140" customWidth="1"/>
    <col min="37" max="37" width="7.08984375" style="140" customWidth="1"/>
    <col min="38" max="38" width="7.90625" style="140" customWidth="1"/>
    <col min="39" max="16384" width="9.08984375" style="140"/>
  </cols>
  <sheetData>
    <row r="1" spans="1:41" x14ac:dyDescent="0.35">
      <c r="D1" s="2078"/>
      <c r="E1" s="2078"/>
      <c r="F1" s="2078"/>
      <c r="G1" s="2078"/>
      <c r="H1" s="2078"/>
      <c r="I1" s="2078"/>
      <c r="J1" s="2078"/>
      <c r="K1" s="2078"/>
      <c r="L1" s="2078"/>
      <c r="M1" s="2078"/>
      <c r="N1" s="2078"/>
      <c r="O1" s="2078"/>
      <c r="P1" s="2078"/>
      <c r="Q1" s="2078"/>
      <c r="R1" s="2078"/>
      <c r="S1" s="2078"/>
      <c r="T1" s="2078"/>
      <c r="U1" s="2078"/>
      <c r="V1" s="2078"/>
      <c r="W1" s="2078"/>
      <c r="X1" s="2078"/>
      <c r="Y1" s="2078"/>
      <c r="Z1" s="2078"/>
      <c r="AA1" s="2078"/>
    </row>
    <row r="2" spans="1:41" ht="14.4" customHeight="1" x14ac:dyDescent="0.35">
      <c r="A2" s="819">
        <v>1</v>
      </c>
      <c r="B2" s="819" t="s">
        <v>0</v>
      </c>
      <c r="C2" s="819">
        <v>60</v>
      </c>
      <c r="D2" s="4642" t="s">
        <v>1373</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3"/>
      <c r="AD2" s="4643"/>
      <c r="AE2" s="4643"/>
      <c r="AF2" s="4643"/>
      <c r="AG2" s="4643"/>
      <c r="AH2" s="4643"/>
      <c r="AI2" s="4643"/>
      <c r="AJ2" s="4643"/>
      <c r="AK2" s="4644"/>
    </row>
    <row r="3" spans="1:41" ht="15" customHeight="1" x14ac:dyDescent="0.35">
      <c r="A3" s="819">
        <v>2</v>
      </c>
      <c r="B3" s="819" t="s">
        <v>2</v>
      </c>
      <c r="C3" s="819"/>
      <c r="D3" s="4642" t="s">
        <v>1313</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3"/>
      <c r="AD3" s="4643"/>
      <c r="AE3" s="4643"/>
      <c r="AF3" s="4643"/>
      <c r="AG3" s="4643"/>
      <c r="AH3" s="4643"/>
      <c r="AI3" s="4643"/>
      <c r="AJ3" s="4643"/>
      <c r="AK3" s="4644"/>
    </row>
    <row r="4" spans="1:41" ht="15" customHeight="1" x14ac:dyDescent="0.35">
      <c r="A4" s="819">
        <v>3</v>
      </c>
      <c r="B4" s="819" t="s">
        <v>4</v>
      </c>
      <c r="C4" s="819"/>
      <c r="D4" s="4642" t="s">
        <v>1374</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3"/>
      <c r="AD4" s="4643"/>
      <c r="AE4" s="4643"/>
      <c r="AF4" s="4643"/>
      <c r="AG4" s="4643"/>
      <c r="AH4" s="4643"/>
      <c r="AI4" s="4643"/>
      <c r="AJ4" s="4643"/>
      <c r="AK4" s="4644"/>
    </row>
    <row r="5" spans="1:41" x14ac:dyDescent="0.35">
      <c r="C5" s="1192"/>
      <c r="D5" s="1869"/>
      <c r="E5" s="1869"/>
      <c r="F5" s="1869"/>
      <c r="G5" s="1869"/>
      <c r="H5" s="1869"/>
      <c r="I5" s="1869"/>
      <c r="J5" s="1869"/>
      <c r="K5" s="1869"/>
      <c r="L5" s="1869"/>
      <c r="M5" s="1869"/>
      <c r="N5" s="1869"/>
      <c r="O5" s="1869"/>
      <c r="P5" s="1869"/>
      <c r="Q5" s="1869"/>
      <c r="R5" s="1869"/>
      <c r="S5" s="1869"/>
      <c r="T5" s="1869"/>
      <c r="U5" s="1869"/>
      <c r="V5" s="1869"/>
      <c r="W5" s="1869"/>
      <c r="X5" s="1869"/>
      <c r="Y5" s="1869"/>
      <c r="Z5" s="1869"/>
      <c r="AA5" s="1869"/>
    </row>
    <row r="6" spans="1:41" x14ac:dyDescent="0.35">
      <c r="A6" s="819">
        <v>4</v>
      </c>
      <c r="B6" s="1192" t="s">
        <v>6</v>
      </c>
      <c r="C6" s="1224"/>
      <c r="D6" s="90" t="s">
        <v>85</v>
      </c>
      <c r="E6" s="90" t="str">
        <f>D2</f>
        <v>Pride in being South African</v>
      </c>
      <c r="F6" s="90"/>
      <c r="G6" s="90"/>
      <c r="H6" s="90"/>
      <c r="I6" s="90"/>
      <c r="J6" s="90"/>
      <c r="K6" s="90"/>
      <c r="L6" s="89"/>
      <c r="M6" s="89"/>
      <c r="N6" s="89"/>
      <c r="O6" s="89"/>
      <c r="P6" s="108"/>
      <c r="Q6" s="108"/>
      <c r="R6" s="108"/>
      <c r="S6" s="108"/>
      <c r="T6" s="108"/>
      <c r="U6" s="108"/>
      <c r="V6" s="108"/>
      <c r="W6" s="108"/>
      <c r="X6" s="108"/>
      <c r="Y6" s="108"/>
      <c r="Z6" s="108"/>
      <c r="AA6" s="108"/>
    </row>
    <row r="7" spans="1:41" x14ac:dyDescent="0.35">
      <c r="A7" s="2633"/>
      <c r="B7" s="1224"/>
      <c r="C7" s="1224"/>
      <c r="D7" s="3375" t="s">
        <v>97</v>
      </c>
      <c r="E7" s="3376">
        <v>2003</v>
      </c>
      <c r="F7" s="1329">
        <v>2004</v>
      </c>
      <c r="G7" s="1329">
        <v>2005</v>
      </c>
      <c r="H7" s="1329">
        <v>2006</v>
      </c>
      <c r="I7" s="1329">
        <v>2007</v>
      </c>
      <c r="J7" s="1329">
        <v>2008</v>
      </c>
      <c r="K7" s="3377">
        <v>2009</v>
      </c>
      <c r="L7" s="5008" t="s">
        <v>118</v>
      </c>
      <c r="M7" s="5001"/>
      <c r="N7" s="5001"/>
      <c r="O7" s="5002"/>
      <c r="P7" s="5001" t="s">
        <v>119</v>
      </c>
      <c r="Q7" s="5001"/>
      <c r="R7" s="5001"/>
      <c r="S7" s="5002"/>
      <c r="T7" s="5001" t="s">
        <v>120</v>
      </c>
      <c r="U7" s="5001"/>
      <c r="V7" s="5001"/>
      <c r="W7" s="5002"/>
      <c r="X7" s="5008" t="s">
        <v>121</v>
      </c>
      <c r="Y7" s="5001"/>
      <c r="Z7" s="5001"/>
      <c r="AA7" s="5002"/>
      <c r="AB7" s="5008" t="s">
        <v>122</v>
      </c>
      <c r="AC7" s="5001"/>
      <c r="AD7" s="5001"/>
      <c r="AE7" s="5002"/>
      <c r="AF7" s="5008" t="s">
        <v>123</v>
      </c>
      <c r="AG7" s="5009"/>
      <c r="AH7" s="3378" t="s">
        <v>124</v>
      </c>
      <c r="AI7" s="3379"/>
      <c r="AJ7" s="3380" t="s">
        <v>125</v>
      </c>
      <c r="AK7" s="3381"/>
      <c r="AL7" s="5001" t="s">
        <v>126</v>
      </c>
      <c r="AM7" s="5002"/>
      <c r="AN7" s="5001" t="s">
        <v>302</v>
      </c>
      <c r="AO7" s="5002"/>
    </row>
    <row r="8" spans="1:41" x14ac:dyDescent="0.35">
      <c r="A8" s="2633"/>
      <c r="B8" s="1224"/>
      <c r="C8" s="1224"/>
      <c r="D8" s="3382"/>
      <c r="E8" s="2904"/>
      <c r="F8" s="415"/>
      <c r="G8" s="415"/>
      <c r="H8" s="415"/>
      <c r="I8" s="415"/>
      <c r="J8" s="415"/>
      <c r="K8" s="3383"/>
      <c r="L8" s="2904" t="s">
        <v>1375</v>
      </c>
      <c r="M8" s="415" t="s">
        <v>1376</v>
      </c>
      <c r="N8" s="415" t="s">
        <v>1377</v>
      </c>
      <c r="O8" s="3383" t="s">
        <v>1378</v>
      </c>
      <c r="P8" s="415" t="s">
        <v>1375</v>
      </c>
      <c r="Q8" s="415" t="s">
        <v>1376</v>
      </c>
      <c r="R8" s="415" t="s">
        <v>1377</v>
      </c>
      <c r="S8" s="3383" t="s">
        <v>1378</v>
      </c>
      <c r="T8" s="415" t="s">
        <v>1375</v>
      </c>
      <c r="U8" s="415" t="s">
        <v>1376</v>
      </c>
      <c r="V8" s="415" t="s">
        <v>1377</v>
      </c>
      <c r="W8" s="3383" t="s">
        <v>1378</v>
      </c>
      <c r="X8" s="2904" t="s">
        <v>1375</v>
      </c>
      <c r="Y8" s="415" t="s">
        <v>1376</v>
      </c>
      <c r="Z8" s="415" t="s">
        <v>1377</v>
      </c>
      <c r="AA8" s="3383" t="s">
        <v>1378</v>
      </c>
      <c r="AB8" s="2904" t="s">
        <v>1375</v>
      </c>
      <c r="AC8" s="415" t="s">
        <v>1376</v>
      </c>
      <c r="AD8" s="415" t="s">
        <v>1377</v>
      </c>
      <c r="AE8" s="3383" t="s">
        <v>1378</v>
      </c>
      <c r="AF8" s="2904" t="s">
        <v>1379</v>
      </c>
      <c r="AG8" s="3384" t="s">
        <v>1380</v>
      </c>
      <c r="AH8" s="2904" t="s">
        <v>1379</v>
      </c>
      <c r="AI8" s="3384" t="s">
        <v>1380</v>
      </c>
      <c r="AJ8" s="2904" t="s">
        <v>1379</v>
      </c>
      <c r="AK8" s="3384" t="s">
        <v>1380</v>
      </c>
      <c r="AL8" s="2904" t="s">
        <v>1379</v>
      </c>
      <c r="AM8" s="3384" t="s">
        <v>1380</v>
      </c>
      <c r="AN8" s="2904" t="s">
        <v>1379</v>
      </c>
      <c r="AO8" s="3384" t="s">
        <v>1380</v>
      </c>
    </row>
    <row r="9" spans="1:41" ht="19.5" customHeight="1" x14ac:dyDescent="0.35">
      <c r="A9" s="2633"/>
      <c r="B9" s="1224"/>
      <c r="C9" s="1224"/>
      <c r="D9" s="102" t="str">
        <f>D2</f>
        <v>Pride in being South African</v>
      </c>
      <c r="E9" s="3385">
        <v>84</v>
      </c>
      <c r="F9" s="120">
        <v>90</v>
      </c>
      <c r="G9" s="120">
        <v>90</v>
      </c>
      <c r="H9" s="120">
        <v>90</v>
      </c>
      <c r="I9" s="120">
        <v>78</v>
      </c>
      <c r="J9" s="120">
        <v>65</v>
      </c>
      <c r="K9" s="2621">
        <v>75</v>
      </c>
      <c r="L9" s="3386">
        <v>92.097967444973222</v>
      </c>
      <c r="M9" s="3387">
        <v>86.799492718143796</v>
      </c>
      <c r="N9" s="3387">
        <v>89.693507511431292</v>
      </c>
      <c r="O9" s="3388">
        <v>89.606609925510114</v>
      </c>
      <c r="P9" s="3386">
        <v>86.853583304450169</v>
      </c>
      <c r="Q9" s="3387">
        <v>89.799252722580988</v>
      </c>
      <c r="R9" s="3387">
        <v>87.961947738935748</v>
      </c>
      <c r="S9" s="3388">
        <v>87.156873874472439</v>
      </c>
      <c r="T9" s="3387">
        <v>88</v>
      </c>
      <c r="U9" s="3387">
        <v>88</v>
      </c>
      <c r="V9" s="3387">
        <v>88</v>
      </c>
      <c r="W9" s="3388">
        <v>85</v>
      </c>
      <c r="X9" s="3386">
        <v>86</v>
      </c>
      <c r="Y9" s="3387">
        <v>88</v>
      </c>
      <c r="Z9" s="3387">
        <v>90</v>
      </c>
      <c r="AA9" s="3388">
        <v>89</v>
      </c>
      <c r="AB9" s="3386">
        <v>89</v>
      </c>
      <c r="AC9" s="3387">
        <v>90</v>
      </c>
      <c r="AD9" s="3387">
        <v>89</v>
      </c>
      <c r="AE9" s="3388">
        <v>89</v>
      </c>
      <c r="AF9" s="3386">
        <v>85</v>
      </c>
      <c r="AG9" s="3389">
        <v>84</v>
      </c>
      <c r="AH9" s="3387">
        <v>89.2</v>
      </c>
      <c r="AI9" s="3389">
        <v>86</v>
      </c>
      <c r="AJ9" s="3387">
        <v>78.8</v>
      </c>
      <c r="AK9" s="3389">
        <v>82.9</v>
      </c>
      <c r="AL9" s="4548">
        <v>83</v>
      </c>
      <c r="AM9" s="4549">
        <v>82</v>
      </c>
      <c r="AN9" s="4548">
        <v>82</v>
      </c>
      <c r="AO9" s="4549">
        <v>80</v>
      </c>
    </row>
    <row r="10" spans="1:41" x14ac:dyDescent="0.35">
      <c r="A10" s="2631"/>
      <c r="B10" s="3390"/>
      <c r="C10" s="3390"/>
      <c r="D10" s="1953"/>
      <c r="E10" s="1953"/>
      <c r="F10" s="1953"/>
      <c r="G10" s="1953"/>
      <c r="H10" s="1953"/>
      <c r="I10" s="1953"/>
      <c r="J10" s="1953"/>
      <c r="K10" s="1953"/>
      <c r="L10" s="3391">
        <f>+AVERAGE(L9:O9)</f>
        <v>89.549394400014606</v>
      </c>
      <c r="M10" s="1953"/>
      <c r="N10" s="1953"/>
      <c r="O10" s="1953"/>
      <c r="P10" s="3391">
        <f>+AVERAGE(P9:S9)</f>
        <v>87.942914410109836</v>
      </c>
      <c r="Q10" s="3392"/>
      <c r="R10" s="3392"/>
      <c r="S10" s="1869"/>
      <c r="T10" s="3391">
        <f>+AVERAGE(T9:W9)</f>
        <v>87.25</v>
      </c>
      <c r="U10" s="3392"/>
      <c r="V10" s="3392"/>
      <c r="W10" s="1869"/>
      <c r="X10" s="3391">
        <f>+AVERAGE(X9:AA9)</f>
        <v>88.25</v>
      </c>
      <c r="Y10" s="3392"/>
      <c r="Z10" s="3392"/>
      <c r="AA10" s="1869"/>
      <c r="AB10" s="3391">
        <f>+AVERAGE(AB9:AE9)</f>
        <v>89.25</v>
      </c>
      <c r="AF10" s="3391">
        <f>+AVERAGE(AF9:AG9)</f>
        <v>84.5</v>
      </c>
      <c r="AG10" s="3391"/>
      <c r="AH10" s="3391">
        <v>88</v>
      </c>
      <c r="AI10" s="3391"/>
      <c r="AJ10" s="3391">
        <f>+AVERAGE(AJ9:AK9)</f>
        <v>80.849999999999994</v>
      </c>
      <c r="AK10" s="3391"/>
      <c r="AL10" s="3393">
        <v>83</v>
      </c>
      <c r="AN10" s="140">
        <v>81</v>
      </c>
    </row>
    <row r="11" spans="1:41" x14ac:dyDescent="0.35">
      <c r="A11" s="2631"/>
      <c r="B11" s="3390"/>
      <c r="C11" s="3390"/>
      <c r="D11" s="1953"/>
      <c r="E11" s="1953"/>
      <c r="F11" s="1953"/>
      <c r="G11" s="1953"/>
      <c r="H11" s="1953"/>
      <c r="I11" s="1953"/>
      <c r="J11" s="1953"/>
      <c r="K11" s="1953"/>
      <c r="L11" s="3391"/>
      <c r="M11" s="1953"/>
      <c r="N11" s="1953"/>
      <c r="O11" s="1953"/>
      <c r="P11" s="3391"/>
      <c r="Q11" s="3392"/>
      <c r="R11" s="3392"/>
      <c r="S11" s="1869"/>
      <c r="T11" s="3391"/>
      <c r="U11" s="3392"/>
      <c r="V11" s="3392"/>
      <c r="W11" s="1869"/>
      <c r="X11" s="3391"/>
      <c r="Y11" s="3392"/>
      <c r="Z11" s="3392"/>
      <c r="AA11" s="1869"/>
      <c r="AB11" s="3391"/>
      <c r="AF11" s="3391"/>
      <c r="AG11" s="3391"/>
      <c r="AH11" s="3391"/>
      <c r="AI11" s="3391"/>
      <c r="AJ11" s="3391"/>
      <c r="AK11" s="3391"/>
    </row>
    <row r="12" spans="1:41" x14ac:dyDescent="0.35">
      <c r="A12" s="819">
        <v>5</v>
      </c>
      <c r="B12" s="1254" t="s">
        <v>56</v>
      </c>
      <c r="C12" s="1254"/>
      <c r="D12" s="1953"/>
      <c r="E12" s="1953"/>
      <c r="F12" s="1953"/>
      <c r="G12" s="1953"/>
      <c r="H12" s="1953"/>
      <c r="I12" s="1953"/>
      <c r="J12" s="1953"/>
      <c r="K12" s="1953"/>
      <c r="L12" s="1953"/>
      <c r="M12" s="3391"/>
      <c r="N12" s="1953"/>
      <c r="O12" s="1953"/>
      <c r="P12" s="3392"/>
      <c r="Q12" s="3392"/>
      <c r="R12" s="3392"/>
      <c r="S12" s="1869"/>
      <c r="T12" s="3392"/>
      <c r="U12" s="3392"/>
      <c r="V12" s="3392"/>
      <c r="W12" s="1869"/>
      <c r="X12" s="3392"/>
      <c r="Y12" s="3392"/>
      <c r="Z12" s="3392"/>
      <c r="AA12" s="1869"/>
      <c r="AC12" s="1427"/>
      <c r="AD12" s="1427"/>
      <c r="AE12" s="1427"/>
      <c r="AF12" s="1427"/>
      <c r="AG12" s="1427"/>
    </row>
    <row r="13" spans="1:41" x14ac:dyDescent="0.35">
      <c r="A13" s="2631"/>
      <c r="B13" s="3390"/>
      <c r="C13" s="3390"/>
      <c r="D13" s="1953"/>
      <c r="E13" s="1953"/>
      <c r="F13" s="1953"/>
      <c r="G13" s="1953"/>
      <c r="H13" s="1953"/>
      <c r="I13" s="1953"/>
      <c r="J13" s="1953"/>
      <c r="K13" s="1953"/>
      <c r="L13" s="1953"/>
      <c r="M13" s="1953"/>
      <c r="N13" s="1953"/>
      <c r="O13" s="1953"/>
      <c r="P13" s="3392"/>
      <c r="Q13" s="3392"/>
      <c r="R13" s="3392"/>
      <c r="S13" s="1869"/>
      <c r="T13" s="3392"/>
      <c r="U13" s="3392"/>
      <c r="V13" s="3392"/>
      <c r="W13" s="1869"/>
      <c r="X13" s="3392"/>
      <c r="Y13" s="3392"/>
      <c r="Z13" s="3392"/>
      <c r="AA13" s="1869"/>
      <c r="AC13" s="5003"/>
      <c r="AD13" s="5003"/>
      <c r="AE13" s="3394"/>
      <c r="AF13" s="5003"/>
      <c r="AG13" s="5003"/>
    </row>
    <row r="14" spans="1:41" x14ac:dyDescent="0.35">
      <c r="A14" s="2631"/>
      <c r="B14" s="3390"/>
      <c r="C14" s="3390"/>
      <c r="D14" s="1953"/>
      <c r="E14" s="1953"/>
      <c r="F14" s="1953"/>
      <c r="G14" s="1953"/>
      <c r="H14" s="1953"/>
      <c r="I14" s="1953"/>
      <c r="J14" s="1953"/>
      <c r="K14" s="1953"/>
      <c r="L14" s="1953"/>
      <c r="M14" s="1953"/>
      <c r="N14" s="1953"/>
      <c r="O14" s="1953"/>
      <c r="P14" s="3392"/>
      <c r="Q14" s="3392"/>
      <c r="R14" s="3392"/>
      <c r="S14" s="1869"/>
      <c r="T14" s="3392"/>
      <c r="U14" s="3392"/>
      <c r="V14" s="3392"/>
      <c r="W14" s="1869"/>
      <c r="X14" s="3392"/>
      <c r="Y14" s="3392"/>
      <c r="Z14" s="3392"/>
      <c r="AA14" s="1869"/>
      <c r="AC14" s="1427"/>
      <c r="AD14" s="3395"/>
      <c r="AE14" s="1427"/>
      <c r="AF14" s="1427"/>
      <c r="AG14" s="3395"/>
    </row>
    <row r="15" spans="1:41" x14ac:dyDescent="0.35">
      <c r="A15" s="2631"/>
      <c r="B15" s="3390"/>
      <c r="C15" s="3390"/>
      <c r="D15" s="1953"/>
      <c r="E15" s="1953"/>
      <c r="F15" s="1953"/>
      <c r="G15" s="1953"/>
      <c r="H15" s="1953"/>
      <c r="I15" s="1953"/>
      <c r="J15" s="1953"/>
      <c r="K15" s="1953"/>
      <c r="L15" s="1953"/>
      <c r="M15" s="1953"/>
      <c r="N15" s="1953"/>
      <c r="O15" s="1953"/>
      <c r="P15" s="3392"/>
      <c r="Q15" s="3392"/>
      <c r="R15" s="3392"/>
      <c r="S15" s="1869"/>
      <c r="T15" s="3392"/>
      <c r="U15" s="3392"/>
      <c r="V15" s="3392"/>
      <c r="W15" s="1869"/>
      <c r="X15" s="3392"/>
      <c r="Y15" s="3392"/>
      <c r="Z15" s="3392"/>
      <c r="AA15" s="1869"/>
      <c r="AC15" s="1427"/>
      <c r="AD15" s="1427"/>
      <c r="AE15" s="1427"/>
      <c r="AF15" s="1427"/>
      <c r="AG15" s="3395"/>
    </row>
    <row r="16" spans="1:41" x14ac:dyDescent="0.35">
      <c r="A16" s="2631"/>
      <c r="B16" s="3390"/>
      <c r="C16" s="3390"/>
      <c r="D16" s="1953"/>
      <c r="E16" s="1953"/>
      <c r="F16" s="1953"/>
      <c r="G16" s="1953"/>
      <c r="H16" s="1953"/>
      <c r="I16" s="1953"/>
      <c r="J16" s="1953"/>
      <c r="K16" s="1953"/>
      <c r="L16" s="1953"/>
      <c r="M16" s="1953"/>
      <c r="N16" s="1953"/>
      <c r="O16" s="1953"/>
      <c r="P16" s="3392"/>
      <c r="Q16" s="3392"/>
      <c r="R16" s="3392"/>
      <c r="S16" s="1869"/>
      <c r="T16" s="3392"/>
      <c r="U16" s="3392"/>
      <c r="V16" s="3392"/>
      <c r="W16" s="1869"/>
      <c r="X16" s="3392"/>
      <c r="Y16" s="3392"/>
      <c r="Z16" s="3392"/>
      <c r="AA16" s="1869"/>
      <c r="AC16" s="1427"/>
      <c r="AD16" s="1427"/>
      <c r="AE16" s="1427"/>
      <c r="AF16" s="1427"/>
      <c r="AG16" s="3396"/>
    </row>
    <row r="17" spans="1:33" x14ac:dyDescent="0.35">
      <c r="A17" s="2631"/>
      <c r="B17" s="3390"/>
      <c r="C17" s="3390"/>
      <c r="D17" s="1953"/>
      <c r="E17" s="1953"/>
      <c r="F17" s="1953"/>
      <c r="G17" s="1953"/>
      <c r="H17" s="1953"/>
      <c r="I17" s="1953"/>
      <c r="J17" s="1953"/>
      <c r="K17" s="1953"/>
      <c r="L17" s="1953"/>
      <c r="M17" s="1953"/>
      <c r="N17" s="1953"/>
      <c r="O17" s="1953"/>
      <c r="P17" s="3392"/>
      <c r="Q17" s="3392"/>
      <c r="R17" s="3392"/>
      <c r="S17" s="1869"/>
      <c r="T17" s="3392"/>
      <c r="U17" s="3392"/>
      <c r="V17" s="3392"/>
      <c r="W17" s="1869"/>
      <c r="X17" s="3392"/>
      <c r="Y17" s="3392"/>
      <c r="Z17" s="3392"/>
      <c r="AA17" s="1869"/>
      <c r="AC17" s="1427"/>
      <c r="AD17" s="1427"/>
      <c r="AE17" s="1427"/>
      <c r="AF17" s="1427"/>
      <c r="AG17" s="3397"/>
    </row>
    <row r="18" spans="1:33" x14ac:dyDescent="0.35">
      <c r="A18" s="2631"/>
      <c r="B18" s="3390"/>
      <c r="C18" s="3390"/>
      <c r="D18" s="1953"/>
      <c r="E18" s="1953"/>
      <c r="F18" s="1953"/>
      <c r="G18" s="1953"/>
      <c r="H18" s="1953"/>
      <c r="I18" s="1953"/>
      <c r="J18" s="1953"/>
      <c r="K18" s="1953"/>
      <c r="L18" s="1953"/>
      <c r="M18" s="1953"/>
      <c r="N18" s="1953"/>
      <c r="O18" s="1953"/>
      <c r="P18" s="3392"/>
      <c r="Q18" s="3392"/>
      <c r="R18" s="3392"/>
      <c r="S18" s="1869"/>
      <c r="T18" s="3392"/>
      <c r="U18" s="3392"/>
      <c r="V18" s="3392"/>
      <c r="W18" s="1869"/>
      <c r="X18" s="3392"/>
      <c r="Y18" s="3392"/>
      <c r="Z18" s="3392"/>
      <c r="AA18" s="1869"/>
      <c r="AD18" s="1427"/>
      <c r="AE18" s="1427"/>
      <c r="AF18" s="1427"/>
    </row>
    <row r="19" spans="1:33" x14ac:dyDescent="0.35">
      <c r="A19" s="2631"/>
      <c r="B19" s="3390"/>
      <c r="C19" s="3390"/>
      <c r="D19" s="1953"/>
      <c r="E19" s="1953"/>
      <c r="F19" s="1953"/>
      <c r="G19" s="1953"/>
      <c r="H19" s="1953"/>
      <c r="I19" s="1953"/>
      <c r="J19" s="1953"/>
      <c r="K19" s="1953"/>
      <c r="L19" s="1953"/>
      <c r="M19" s="1953"/>
      <c r="N19" s="1953"/>
      <c r="O19" s="1953"/>
      <c r="P19" s="3392"/>
      <c r="Q19" s="3392"/>
      <c r="R19" s="3392"/>
      <c r="S19" s="1869"/>
      <c r="T19" s="3392"/>
      <c r="U19" s="3392"/>
      <c r="V19" s="3392"/>
      <c r="W19" s="1869"/>
      <c r="X19" s="3392"/>
      <c r="Y19" s="3392"/>
      <c r="Z19" s="3392"/>
      <c r="AA19" s="1869"/>
      <c r="AD19" s="1427"/>
      <c r="AE19" s="1427"/>
      <c r="AF19" s="1427"/>
    </row>
    <row r="20" spans="1:33" x14ac:dyDescent="0.35">
      <c r="A20" s="2631"/>
      <c r="B20" s="3390"/>
      <c r="C20" s="3390"/>
      <c r="D20" s="1953"/>
      <c r="E20" s="1953"/>
      <c r="F20" s="1953"/>
      <c r="G20" s="1953"/>
      <c r="H20" s="1953"/>
      <c r="I20" s="1953"/>
      <c r="J20" s="1953"/>
      <c r="K20" s="1953"/>
      <c r="L20" s="1953"/>
      <c r="M20" s="1953"/>
      <c r="N20" s="1953"/>
      <c r="O20" s="1953"/>
      <c r="P20" s="3392"/>
      <c r="Q20" s="3392"/>
      <c r="R20" s="3392"/>
      <c r="S20" s="1869"/>
      <c r="T20" s="3392"/>
      <c r="U20" s="3392"/>
      <c r="V20" s="3392"/>
      <c r="W20" s="1869"/>
      <c r="X20" s="3392"/>
      <c r="Y20" s="3392"/>
      <c r="Z20" s="3392"/>
      <c r="AA20" s="1869"/>
      <c r="AD20" s="1427"/>
      <c r="AE20" s="1427"/>
      <c r="AF20" s="1427"/>
    </row>
    <row r="21" spans="1:33" x14ac:dyDescent="0.35">
      <c r="A21" s="2631"/>
      <c r="B21" s="3390"/>
      <c r="C21" s="3390"/>
      <c r="D21" s="1953"/>
      <c r="E21" s="1953"/>
      <c r="F21" s="1953"/>
      <c r="G21" s="1953"/>
      <c r="H21" s="1953"/>
      <c r="I21" s="1953"/>
      <c r="J21" s="1953"/>
      <c r="K21" s="1953"/>
      <c r="L21" s="1953"/>
      <c r="M21" s="1953"/>
      <c r="N21" s="1953"/>
      <c r="O21" s="1953"/>
      <c r="P21" s="3392"/>
      <c r="Q21" s="3392"/>
      <c r="R21" s="3392"/>
      <c r="S21" s="1869"/>
      <c r="T21" s="3392"/>
      <c r="U21" s="3392"/>
      <c r="V21" s="3392"/>
      <c r="W21" s="1869"/>
      <c r="X21" s="3392"/>
      <c r="Y21" s="3392"/>
      <c r="Z21" s="3392"/>
      <c r="AA21" s="1869"/>
      <c r="AD21" s="1427"/>
      <c r="AE21" s="1427"/>
      <c r="AF21" s="1427"/>
    </row>
    <row r="22" spans="1:33" x14ac:dyDescent="0.35">
      <c r="A22" s="2631"/>
      <c r="B22" s="3390"/>
      <c r="C22" s="3390"/>
      <c r="D22" s="1953"/>
      <c r="E22" s="1953"/>
      <c r="F22" s="1953"/>
      <c r="G22" s="1953"/>
      <c r="H22" s="1953"/>
      <c r="I22" s="1953"/>
      <c r="J22" s="1953"/>
      <c r="K22" s="1953"/>
      <c r="L22" s="1953"/>
      <c r="M22" s="1953"/>
      <c r="N22" s="1953"/>
      <c r="O22" s="1953"/>
      <c r="P22" s="3392"/>
      <c r="Q22" s="3392"/>
      <c r="R22" s="3392"/>
      <c r="S22" s="1869"/>
      <c r="T22" s="3392"/>
      <c r="U22" s="3392"/>
      <c r="V22" s="3392"/>
      <c r="W22" s="1869"/>
      <c r="X22" s="3392"/>
      <c r="Y22" s="3392"/>
      <c r="Z22" s="3392"/>
      <c r="AA22" s="1869"/>
      <c r="AD22" s="1427"/>
      <c r="AE22" s="1427"/>
      <c r="AF22" s="1427"/>
    </row>
    <row r="23" spans="1:33" x14ac:dyDescent="0.35">
      <c r="A23" s="2631"/>
      <c r="B23" s="3390"/>
      <c r="C23" s="3390"/>
      <c r="D23" s="1953"/>
      <c r="E23" s="1953"/>
      <c r="F23" s="1953"/>
      <c r="G23" s="1953"/>
      <c r="H23" s="1953"/>
      <c r="I23" s="1953"/>
      <c r="J23" s="1953"/>
      <c r="K23" s="1953"/>
      <c r="L23" s="1953"/>
      <c r="M23" s="1953"/>
      <c r="N23" s="1953"/>
      <c r="O23" s="1953"/>
      <c r="P23" s="3392"/>
      <c r="Q23" s="3392"/>
      <c r="R23" s="3392"/>
      <c r="S23" s="1869"/>
      <c r="T23" s="3392"/>
      <c r="U23" s="3392"/>
      <c r="V23" s="3392"/>
      <c r="W23" s="1869"/>
      <c r="X23" s="3392"/>
      <c r="Y23" s="3392"/>
      <c r="Z23" s="3392"/>
      <c r="AA23" s="1869"/>
      <c r="AD23" s="1427"/>
      <c r="AE23" s="1427"/>
      <c r="AF23" s="1427"/>
    </row>
    <row r="24" spans="1:33" x14ac:dyDescent="0.35">
      <c r="A24" s="2631"/>
      <c r="B24" s="3390"/>
      <c r="C24" s="3390"/>
      <c r="D24" s="1953"/>
      <c r="E24" s="1953"/>
      <c r="F24" s="1953"/>
      <c r="G24" s="1953"/>
      <c r="H24" s="1953"/>
      <c r="I24" s="1953"/>
      <c r="J24" s="1953"/>
      <c r="K24" s="1953"/>
      <c r="L24" s="1953"/>
      <c r="M24" s="1953"/>
      <c r="N24" s="1953"/>
      <c r="O24" s="1953"/>
      <c r="P24" s="3392"/>
      <c r="Q24" s="3392"/>
      <c r="R24" s="3392"/>
      <c r="S24" s="1869"/>
      <c r="T24" s="3392"/>
      <c r="U24" s="3392"/>
      <c r="V24" s="3392"/>
      <c r="W24" s="1869"/>
      <c r="X24" s="3392"/>
      <c r="Y24" s="3392"/>
      <c r="Z24" s="3392"/>
      <c r="AA24" s="1869"/>
      <c r="AD24" s="1427"/>
      <c r="AE24" s="1427"/>
      <c r="AF24" s="1427"/>
    </row>
    <row r="25" spans="1:33" x14ac:dyDescent="0.35">
      <c r="A25" s="2631"/>
      <c r="B25" s="3390"/>
      <c r="C25" s="3390"/>
      <c r="D25" s="1953"/>
      <c r="E25" s="1953"/>
      <c r="F25" s="1953"/>
      <c r="G25" s="1953"/>
      <c r="H25" s="1953"/>
      <c r="I25" s="1953"/>
      <c r="J25" s="1953"/>
      <c r="K25" s="1953"/>
      <c r="L25" s="1953"/>
      <c r="M25" s="1953"/>
      <c r="N25" s="1953"/>
      <c r="O25" s="1953"/>
      <c r="P25" s="3392"/>
      <c r="Q25" s="3392"/>
      <c r="R25" s="3392"/>
      <c r="S25" s="1869"/>
      <c r="T25" s="3392"/>
      <c r="U25" s="3392"/>
      <c r="V25" s="3392"/>
      <c r="W25" s="1869"/>
      <c r="X25" s="3392"/>
      <c r="Y25" s="3392"/>
      <c r="Z25" s="3392"/>
      <c r="AA25" s="1869"/>
    </row>
    <row r="26" spans="1:33" x14ac:dyDescent="0.35">
      <c r="A26" s="2631"/>
      <c r="B26" s="3390"/>
      <c r="C26" s="3390"/>
      <c r="D26" s="1953"/>
      <c r="E26" s="1953"/>
      <c r="F26" s="1953"/>
      <c r="G26" s="1953"/>
      <c r="H26" s="1953"/>
      <c r="I26" s="1953"/>
      <c r="J26" s="1953"/>
      <c r="K26" s="1953"/>
      <c r="L26" s="1953"/>
      <c r="M26" s="1953"/>
      <c r="N26" s="1953"/>
      <c r="O26" s="1953"/>
      <c r="P26" s="3392"/>
      <c r="Q26" s="3392"/>
      <c r="R26" s="3392"/>
      <c r="S26" s="1869"/>
      <c r="T26" s="3392"/>
      <c r="U26" s="3392"/>
      <c r="V26" s="3392"/>
      <c r="W26" s="1869"/>
      <c r="X26" s="3392"/>
      <c r="Y26" s="3392"/>
      <c r="Z26" s="3392"/>
      <c r="AA26" s="1869"/>
    </row>
    <row r="27" spans="1:33" x14ac:dyDescent="0.35">
      <c r="A27" s="2631"/>
      <c r="B27" s="3390"/>
      <c r="C27" s="3390"/>
      <c r="D27" s="1953"/>
      <c r="E27" s="1953"/>
      <c r="F27" s="1953"/>
      <c r="G27" s="1953"/>
      <c r="H27" s="1953"/>
      <c r="I27" s="1953"/>
      <c r="J27" s="1953"/>
      <c r="K27" s="1953"/>
      <c r="L27" s="1953"/>
      <c r="M27" s="1953"/>
      <c r="N27" s="1953"/>
      <c r="O27" s="1953"/>
      <c r="P27" s="3392"/>
      <c r="Q27" s="3392"/>
      <c r="R27" s="3392"/>
      <c r="S27" s="1869"/>
      <c r="T27" s="3392"/>
      <c r="U27" s="3392"/>
      <c r="V27" s="3392"/>
      <c r="W27" s="1869"/>
      <c r="X27" s="3392"/>
      <c r="Y27" s="3392"/>
      <c r="Z27" s="3392"/>
      <c r="AA27" s="1869"/>
    </row>
    <row r="28" spans="1:33" x14ac:dyDescent="0.35">
      <c r="A28" s="2631"/>
      <c r="B28" s="3390"/>
      <c r="C28" s="3390"/>
      <c r="D28" s="1953"/>
      <c r="E28" s="1953"/>
      <c r="F28" s="1953"/>
      <c r="G28" s="1953"/>
      <c r="H28" s="1953"/>
      <c r="I28" s="1953"/>
      <c r="J28" s="1953"/>
      <c r="K28" s="1953"/>
      <c r="L28" s="1953"/>
      <c r="M28" s="1953"/>
      <c r="N28" s="1953"/>
      <c r="O28" s="1953"/>
      <c r="P28" s="3392"/>
      <c r="Q28" s="3392"/>
      <c r="R28" s="3392"/>
      <c r="S28" s="1869"/>
      <c r="T28" s="3392"/>
      <c r="U28" s="3392"/>
      <c r="V28" s="3392"/>
      <c r="W28" s="1869"/>
      <c r="X28" s="3392"/>
      <c r="Y28" s="3392"/>
      <c r="Z28" s="3392"/>
      <c r="AA28" s="1869"/>
    </row>
    <row r="29" spans="1:33" x14ac:dyDescent="0.35">
      <c r="D29" s="2078"/>
      <c r="E29" s="2078"/>
      <c r="F29" s="2078"/>
      <c r="G29" s="2078"/>
      <c r="H29" s="2078"/>
      <c r="I29" s="2078"/>
      <c r="J29" s="2078"/>
      <c r="K29" s="2078"/>
      <c r="L29" s="2078"/>
      <c r="M29" s="2078"/>
      <c r="N29" s="2078"/>
      <c r="O29" s="2078"/>
      <c r="P29" s="2078"/>
      <c r="Q29" s="2078"/>
      <c r="R29" s="2078"/>
      <c r="S29" s="2078"/>
      <c r="T29" s="2078"/>
      <c r="U29" s="2078"/>
      <c r="V29" s="2078"/>
      <c r="W29" s="2078"/>
      <c r="X29" s="2078"/>
      <c r="Y29" s="2078"/>
      <c r="Z29" s="2078"/>
      <c r="AA29" s="2078"/>
    </row>
    <row r="30" spans="1:33" x14ac:dyDescent="0.35">
      <c r="D30" s="2078"/>
      <c r="E30" s="2078"/>
      <c r="F30" s="2078"/>
      <c r="G30" s="2078"/>
      <c r="H30" s="2078"/>
      <c r="I30" s="2078"/>
      <c r="J30" s="2078"/>
      <c r="K30" s="2078"/>
      <c r="L30" s="2078"/>
      <c r="M30" s="2078"/>
      <c r="N30" s="2078"/>
      <c r="O30" s="2078"/>
      <c r="P30" s="2078"/>
      <c r="Q30" s="2078"/>
      <c r="R30" s="2078"/>
      <c r="S30" s="2078"/>
      <c r="T30" s="2078"/>
      <c r="U30" s="2078"/>
      <c r="V30" s="2078"/>
      <c r="W30" s="2078"/>
      <c r="X30" s="2078"/>
      <c r="Y30" s="2078"/>
      <c r="Z30" s="2078"/>
      <c r="AA30" s="2078"/>
    </row>
    <row r="31" spans="1:33" x14ac:dyDescent="0.35">
      <c r="D31" s="2078"/>
      <c r="E31" s="2078"/>
      <c r="F31" s="2078"/>
      <c r="G31" s="2078"/>
      <c r="H31" s="2078"/>
      <c r="I31" s="2078"/>
      <c r="J31" s="2078"/>
      <c r="K31" s="2078"/>
      <c r="L31" s="2078"/>
      <c r="M31" s="2078"/>
      <c r="N31" s="2078"/>
      <c r="O31" s="2078"/>
      <c r="P31" s="2078"/>
      <c r="Q31" s="2078"/>
      <c r="R31" s="2078"/>
      <c r="S31" s="2078"/>
      <c r="T31" s="2078"/>
      <c r="U31" s="2078"/>
      <c r="V31" s="2078"/>
      <c r="W31" s="2078"/>
      <c r="X31" s="2078"/>
      <c r="Y31" s="2078"/>
      <c r="Z31" s="2078"/>
      <c r="AA31" s="2078"/>
    </row>
    <row r="32" spans="1:33" x14ac:dyDescent="0.35">
      <c r="D32" s="4986" t="s">
        <v>942</v>
      </c>
      <c r="E32" s="4987"/>
      <c r="F32" s="3398" t="s">
        <v>123</v>
      </c>
      <c r="G32" s="3399"/>
      <c r="H32" s="3398" t="s">
        <v>124</v>
      </c>
      <c r="I32" s="3399"/>
      <c r="J32" s="3398" t="s">
        <v>125</v>
      </c>
      <c r="K32" s="3399"/>
      <c r="L32" s="4983" t="s">
        <v>126</v>
      </c>
      <c r="M32" s="4984"/>
      <c r="N32" s="5004" t="s">
        <v>302</v>
      </c>
      <c r="O32" s="5005"/>
      <c r="P32" s="2078"/>
      <c r="Q32" s="2078"/>
      <c r="R32" s="2078"/>
      <c r="S32" s="2078"/>
      <c r="T32" s="2078"/>
      <c r="U32" s="2078"/>
      <c r="V32" s="2078"/>
      <c r="W32" s="2078"/>
      <c r="X32" s="2078"/>
      <c r="Y32" s="2078"/>
      <c r="Z32" s="2078"/>
      <c r="AA32" s="2078"/>
    </row>
    <row r="33" spans="1:35" x14ac:dyDescent="0.35">
      <c r="D33" s="4988"/>
      <c r="E33" s="4989"/>
      <c r="F33" s="3336" t="s">
        <v>1381</v>
      </c>
      <c r="G33" s="3336" t="s">
        <v>1382</v>
      </c>
      <c r="H33" s="3336" t="s">
        <v>1383</v>
      </c>
      <c r="I33" s="3336" t="s">
        <v>1384</v>
      </c>
      <c r="J33" s="3336" t="s">
        <v>1318</v>
      </c>
      <c r="K33" s="3336" t="s">
        <v>1319</v>
      </c>
      <c r="L33" s="3336" t="s">
        <v>1320</v>
      </c>
      <c r="M33" s="3336" t="s">
        <v>1321</v>
      </c>
      <c r="N33" s="3400" t="s">
        <v>1322</v>
      </c>
      <c r="O33" s="3400" t="s">
        <v>1323</v>
      </c>
      <c r="P33" s="2078"/>
      <c r="Q33" s="2078"/>
      <c r="R33" s="2078"/>
      <c r="S33" s="2078"/>
      <c r="T33" s="2078"/>
      <c r="U33" s="2078"/>
      <c r="V33" s="2078"/>
      <c r="W33" s="2078"/>
      <c r="X33" s="2078"/>
      <c r="Y33" s="2078"/>
      <c r="Z33" s="2078"/>
      <c r="AA33" s="2078"/>
    </row>
    <row r="34" spans="1:35" x14ac:dyDescent="0.35">
      <c r="D34" s="5006" t="s">
        <v>402</v>
      </c>
      <c r="E34" s="4988"/>
      <c r="F34" s="3342">
        <v>96</v>
      </c>
      <c r="G34" s="3401">
        <v>87</v>
      </c>
      <c r="H34" s="3402">
        <v>92</v>
      </c>
      <c r="I34" s="3343">
        <v>91</v>
      </c>
      <c r="J34" s="3342">
        <v>90</v>
      </c>
      <c r="K34" s="3343">
        <v>86</v>
      </c>
      <c r="L34" s="3403">
        <v>90</v>
      </c>
      <c r="M34" s="3401">
        <v>78</v>
      </c>
      <c r="N34" s="3404">
        <v>77</v>
      </c>
      <c r="O34" s="3405">
        <v>82</v>
      </c>
      <c r="P34" s="2079"/>
      <c r="Q34" s="2078"/>
      <c r="R34" s="2078"/>
      <c r="S34" s="2078"/>
      <c r="T34" s="2078"/>
      <c r="U34" s="2078"/>
      <c r="V34" s="2078"/>
      <c r="W34" s="2078"/>
      <c r="X34" s="2078"/>
      <c r="Y34" s="2078"/>
      <c r="Z34" s="2078"/>
      <c r="AA34" s="2078"/>
    </row>
    <row r="35" spans="1:35" x14ac:dyDescent="0.35">
      <c r="D35" s="4980" t="s">
        <v>404</v>
      </c>
      <c r="E35" s="5000"/>
      <c r="F35" s="3342">
        <v>91</v>
      </c>
      <c r="G35" s="3343">
        <v>92</v>
      </c>
      <c r="H35" s="3402">
        <v>84</v>
      </c>
      <c r="I35" s="3343">
        <v>90</v>
      </c>
      <c r="J35" s="3342">
        <v>88</v>
      </c>
      <c r="K35" s="3343">
        <v>82</v>
      </c>
      <c r="L35" s="3342">
        <v>86</v>
      </c>
      <c r="M35" s="3343">
        <v>81</v>
      </c>
      <c r="N35" s="3406">
        <v>85</v>
      </c>
      <c r="O35" s="3407">
        <v>75</v>
      </c>
      <c r="P35" s="2079"/>
      <c r="Q35" s="2078"/>
      <c r="R35" s="2078"/>
      <c r="S35" s="2078"/>
      <c r="T35" s="2078"/>
      <c r="U35" s="2078"/>
      <c r="V35" s="2078"/>
      <c r="W35" s="2078"/>
      <c r="X35" s="2078"/>
      <c r="Y35" s="2078"/>
      <c r="Z35" s="2078"/>
      <c r="AA35" s="2078"/>
    </row>
    <row r="36" spans="1:35" x14ac:dyDescent="0.35">
      <c r="D36" s="4980" t="s">
        <v>407</v>
      </c>
      <c r="E36" s="5000"/>
      <c r="F36" s="3342">
        <v>83</v>
      </c>
      <c r="G36" s="3343">
        <v>81</v>
      </c>
      <c r="H36" s="3402">
        <v>83</v>
      </c>
      <c r="I36" s="3343">
        <v>80</v>
      </c>
      <c r="J36" s="3342">
        <v>83</v>
      </c>
      <c r="K36" s="3343">
        <v>82</v>
      </c>
      <c r="L36" s="3342">
        <v>78</v>
      </c>
      <c r="M36" s="3343">
        <v>82</v>
      </c>
      <c r="N36" s="3406">
        <v>79</v>
      </c>
      <c r="O36" s="3407">
        <v>79</v>
      </c>
      <c r="P36" s="2079"/>
      <c r="Q36" s="2078"/>
      <c r="R36" s="2078"/>
      <c r="S36" s="2078"/>
      <c r="T36" s="2078"/>
      <c r="U36" s="2078"/>
      <c r="V36" s="2078"/>
      <c r="W36" s="2078"/>
      <c r="X36" s="2078"/>
      <c r="Y36" s="2078"/>
      <c r="Z36" s="2078"/>
      <c r="AA36" s="2078"/>
    </row>
    <row r="37" spans="1:35" x14ac:dyDescent="0.35">
      <c r="D37" s="4980" t="s">
        <v>1324</v>
      </c>
      <c r="E37" s="5000"/>
      <c r="F37" s="3342">
        <v>89</v>
      </c>
      <c r="G37" s="3343">
        <v>83</v>
      </c>
      <c r="H37" s="3402">
        <v>94</v>
      </c>
      <c r="I37" s="3343">
        <v>84</v>
      </c>
      <c r="J37" s="3342">
        <v>60</v>
      </c>
      <c r="K37" s="3343">
        <v>79</v>
      </c>
      <c r="L37" s="3342">
        <v>80</v>
      </c>
      <c r="M37" s="3343">
        <v>81</v>
      </c>
      <c r="N37" s="3406">
        <v>85</v>
      </c>
      <c r="O37" s="3407">
        <v>76</v>
      </c>
      <c r="P37" s="2079"/>
      <c r="Q37" s="2078"/>
      <c r="R37" s="2078"/>
      <c r="S37" s="2078"/>
      <c r="T37" s="2078"/>
      <c r="U37" s="2078"/>
      <c r="V37" s="2078"/>
      <c r="W37" s="2078"/>
      <c r="X37" s="2078"/>
      <c r="Y37" s="2078"/>
      <c r="Z37" s="2078"/>
      <c r="AA37" s="2078"/>
    </row>
    <row r="38" spans="1:35" x14ac:dyDescent="0.35">
      <c r="D38" s="4985" t="s">
        <v>409</v>
      </c>
      <c r="E38" s="5007"/>
      <c r="F38" s="3342">
        <v>73</v>
      </c>
      <c r="G38" s="3343">
        <v>90</v>
      </c>
      <c r="H38" s="3402">
        <v>93</v>
      </c>
      <c r="I38" s="3343">
        <v>88</v>
      </c>
      <c r="J38" s="3342">
        <v>82</v>
      </c>
      <c r="K38" s="3343">
        <v>87</v>
      </c>
      <c r="L38" s="3342">
        <v>90</v>
      </c>
      <c r="M38" s="3343">
        <v>88</v>
      </c>
      <c r="N38" s="3406">
        <v>92</v>
      </c>
      <c r="O38" s="3407">
        <v>86</v>
      </c>
      <c r="P38" s="2079"/>
      <c r="Q38" s="2078"/>
      <c r="R38" s="2078"/>
      <c r="S38" s="2078"/>
      <c r="T38" s="2078"/>
      <c r="U38" s="2078"/>
      <c r="V38" s="2078"/>
      <c r="W38" s="2078"/>
      <c r="X38" s="2078"/>
      <c r="Y38" s="2078"/>
      <c r="Z38" s="2078"/>
      <c r="AA38" s="2078"/>
    </row>
    <row r="39" spans="1:35" x14ac:dyDescent="0.35">
      <c r="D39" s="4980" t="s">
        <v>408</v>
      </c>
      <c r="E39" s="5000"/>
      <c r="F39" s="3342">
        <v>95</v>
      </c>
      <c r="G39" s="3343">
        <v>88</v>
      </c>
      <c r="H39" s="3402">
        <v>88</v>
      </c>
      <c r="I39" s="3343">
        <v>86</v>
      </c>
      <c r="J39" s="3342">
        <v>83</v>
      </c>
      <c r="K39" s="3343">
        <v>85</v>
      </c>
      <c r="L39" s="3342">
        <v>90</v>
      </c>
      <c r="M39" s="3343">
        <v>89</v>
      </c>
      <c r="N39" s="3406">
        <v>87</v>
      </c>
      <c r="O39" s="3407">
        <v>89</v>
      </c>
      <c r="P39" s="2079"/>
      <c r="Q39" s="2078"/>
      <c r="R39" s="2078"/>
      <c r="S39" s="2078"/>
      <c r="T39" s="2078"/>
      <c r="U39" s="2078"/>
      <c r="V39" s="2078"/>
      <c r="W39" s="2078"/>
      <c r="X39" s="2078"/>
      <c r="Y39" s="2078"/>
      <c r="Z39" s="2078"/>
      <c r="AA39" s="2078"/>
    </row>
    <row r="40" spans="1:35" x14ac:dyDescent="0.35">
      <c r="D40" s="4980" t="s">
        <v>406</v>
      </c>
      <c r="E40" s="5000"/>
      <c r="F40" s="3342">
        <v>79</v>
      </c>
      <c r="G40" s="3343">
        <v>88</v>
      </c>
      <c r="H40" s="3402">
        <v>90</v>
      </c>
      <c r="I40" s="3343">
        <v>84</v>
      </c>
      <c r="J40" s="3342">
        <v>87</v>
      </c>
      <c r="K40" s="3343">
        <v>86</v>
      </c>
      <c r="L40" s="3342">
        <v>83</v>
      </c>
      <c r="M40" s="3343">
        <v>87</v>
      </c>
      <c r="N40" s="3406">
        <v>76</v>
      </c>
      <c r="O40" s="3407">
        <v>82</v>
      </c>
      <c r="P40" s="2079"/>
      <c r="Q40" s="2078"/>
      <c r="R40" s="2078"/>
      <c r="S40" s="2078"/>
      <c r="T40" s="2078"/>
      <c r="U40" s="2078"/>
      <c r="V40" s="2078"/>
      <c r="W40" s="2078"/>
      <c r="X40" s="2078"/>
      <c r="Y40" s="2078"/>
      <c r="Z40" s="2078"/>
      <c r="AA40" s="2078"/>
    </row>
    <row r="41" spans="1:35" x14ac:dyDescent="0.35">
      <c r="D41" s="4980" t="s">
        <v>403</v>
      </c>
      <c r="E41" s="5000"/>
      <c r="F41" s="3342">
        <v>96</v>
      </c>
      <c r="G41" s="3343">
        <v>92</v>
      </c>
      <c r="H41" s="3402">
        <v>87</v>
      </c>
      <c r="I41" s="3343">
        <v>92</v>
      </c>
      <c r="J41" s="3342">
        <v>89</v>
      </c>
      <c r="K41" s="3343">
        <v>95</v>
      </c>
      <c r="L41" s="3342">
        <v>85</v>
      </c>
      <c r="M41" s="3343">
        <v>84</v>
      </c>
      <c r="N41" s="3406">
        <v>92</v>
      </c>
      <c r="O41" s="3407">
        <v>92</v>
      </c>
      <c r="P41" s="2079"/>
      <c r="Q41" s="2078"/>
      <c r="R41" s="2078"/>
      <c r="S41" s="2078"/>
      <c r="T41" s="2078"/>
      <c r="U41" s="2078"/>
      <c r="V41" s="2078"/>
      <c r="W41" s="2078"/>
      <c r="X41" s="2078"/>
      <c r="Y41" s="2078"/>
      <c r="Z41" s="2078"/>
      <c r="AA41" s="2078"/>
    </row>
    <row r="42" spans="1:35" x14ac:dyDescent="0.35">
      <c r="D42" s="4980" t="s">
        <v>401</v>
      </c>
      <c r="E42" s="5000"/>
      <c r="F42" s="3352">
        <v>80</v>
      </c>
      <c r="G42" s="3353">
        <v>77</v>
      </c>
      <c r="H42" s="3352">
        <v>91</v>
      </c>
      <c r="I42" s="3353">
        <v>93</v>
      </c>
      <c r="J42" s="3352">
        <v>73</v>
      </c>
      <c r="K42" s="3353">
        <v>81</v>
      </c>
      <c r="L42" s="3352">
        <v>85</v>
      </c>
      <c r="M42" s="3353">
        <v>77</v>
      </c>
      <c r="N42" s="3408">
        <v>78</v>
      </c>
      <c r="O42" s="3409">
        <v>75</v>
      </c>
      <c r="P42" s="2079"/>
      <c r="Q42" s="2078"/>
      <c r="R42" s="2078"/>
      <c r="S42" s="2078"/>
      <c r="T42" s="2078"/>
      <c r="U42" s="2078"/>
      <c r="V42" s="2078"/>
      <c r="W42" s="2078"/>
      <c r="X42" s="2078"/>
      <c r="Y42" s="2078"/>
      <c r="Z42" s="2078"/>
      <c r="AA42" s="2078"/>
    </row>
    <row r="43" spans="1:35" x14ac:dyDescent="0.35">
      <c r="D43" s="2078"/>
      <c r="E43" s="2078"/>
      <c r="F43" s="2078"/>
      <c r="G43" s="2078"/>
      <c r="H43" s="2078"/>
      <c r="I43" s="2078"/>
      <c r="J43" s="2078"/>
      <c r="K43" s="2078"/>
      <c r="L43" s="2078"/>
      <c r="M43" s="2078"/>
      <c r="N43" s="2079"/>
      <c r="O43" s="2079"/>
      <c r="P43" s="2079"/>
      <c r="Q43" s="2078"/>
      <c r="R43" s="2078"/>
      <c r="S43" s="2078"/>
      <c r="T43" s="2078"/>
      <c r="U43" s="2078"/>
      <c r="V43" s="2078"/>
      <c r="W43" s="2078"/>
      <c r="X43" s="2078"/>
      <c r="Y43" s="2078"/>
      <c r="Z43" s="2078"/>
      <c r="AA43" s="2078"/>
    </row>
    <row r="44" spans="1:35" x14ac:dyDescent="0.35">
      <c r="D44" s="2078"/>
      <c r="E44" s="2078"/>
      <c r="F44" s="2078"/>
      <c r="G44" s="2078"/>
      <c r="H44" s="2078"/>
      <c r="I44" s="2078"/>
      <c r="J44" s="2078"/>
      <c r="K44" s="2078"/>
      <c r="L44" s="2078"/>
      <c r="M44" s="2078"/>
      <c r="N44" s="2078"/>
      <c r="O44" s="2078"/>
      <c r="P44" s="2078"/>
      <c r="Q44" s="2078"/>
      <c r="R44" s="2078"/>
      <c r="S44" s="2078"/>
      <c r="T44" s="2078"/>
      <c r="U44" s="2078"/>
      <c r="V44" s="2078"/>
      <c r="W44" s="2078"/>
      <c r="X44" s="2078"/>
      <c r="Y44" s="2078"/>
      <c r="Z44" s="2078"/>
      <c r="AA44" s="2078"/>
    </row>
    <row r="45" spans="1:35" x14ac:dyDescent="0.35">
      <c r="A45" s="819">
        <v>6</v>
      </c>
      <c r="B45" s="819" t="s">
        <v>58</v>
      </c>
      <c r="C45" s="819"/>
      <c r="D45" s="4642" t="s">
        <v>363</v>
      </c>
      <c r="E45" s="4643"/>
      <c r="F45" s="4643"/>
      <c r="G45" s="4643"/>
      <c r="H45" s="4643"/>
      <c r="I45" s="4643"/>
      <c r="J45" s="4643"/>
      <c r="K45" s="4643"/>
      <c r="L45" s="4643"/>
      <c r="M45" s="4643"/>
      <c r="N45" s="4643"/>
      <c r="O45" s="4643"/>
      <c r="P45" s="4643"/>
      <c r="Q45" s="4643"/>
      <c r="R45" s="4643"/>
      <c r="S45" s="4643"/>
      <c r="T45" s="4643"/>
      <c r="U45" s="4643"/>
      <c r="V45" s="4643"/>
      <c r="W45" s="4643"/>
      <c r="X45" s="4643"/>
      <c r="Y45" s="4643"/>
      <c r="Z45" s="4643"/>
      <c r="AA45" s="4643"/>
      <c r="AB45" s="4643"/>
      <c r="AC45" s="4643"/>
      <c r="AD45" s="4643"/>
      <c r="AE45" s="4643"/>
      <c r="AF45" s="4643"/>
      <c r="AG45" s="4643"/>
      <c r="AH45" s="4643"/>
      <c r="AI45" s="4644"/>
    </row>
    <row r="46" spans="1:35" ht="15" customHeight="1" x14ac:dyDescent="0.35">
      <c r="A46" s="870">
        <v>7</v>
      </c>
      <c r="B46" s="870" t="s">
        <v>60</v>
      </c>
      <c r="C46" s="870"/>
      <c r="D46" s="4688" t="s">
        <v>1385</v>
      </c>
      <c r="E46" s="4689"/>
      <c r="F46" s="4689"/>
      <c r="G46" s="4689"/>
      <c r="H46" s="4689"/>
      <c r="I46" s="4689"/>
      <c r="J46" s="4689"/>
      <c r="K46" s="4689"/>
      <c r="L46" s="4689"/>
      <c r="M46" s="4689"/>
      <c r="N46" s="4689"/>
      <c r="O46" s="4689"/>
      <c r="P46" s="4689"/>
      <c r="Q46" s="4689"/>
      <c r="R46" s="4689"/>
      <c r="S46" s="4689"/>
      <c r="T46" s="4689"/>
      <c r="U46" s="4689"/>
      <c r="V46" s="4689"/>
      <c r="W46" s="4689"/>
      <c r="X46" s="4689"/>
      <c r="Y46" s="4689"/>
      <c r="Z46" s="4689"/>
      <c r="AA46" s="4689"/>
      <c r="AB46" s="4689"/>
      <c r="AC46" s="4689"/>
      <c r="AD46" s="4689"/>
      <c r="AE46" s="4689"/>
      <c r="AF46" s="4689"/>
      <c r="AG46" s="4689"/>
      <c r="AH46" s="4689"/>
      <c r="AI46" s="4690"/>
    </row>
    <row r="47" spans="1:35" ht="12.75" customHeight="1" x14ac:dyDescent="0.35">
      <c r="A47" s="819">
        <v>8</v>
      </c>
      <c r="B47" s="819" t="s">
        <v>62</v>
      </c>
      <c r="C47" s="819"/>
      <c r="D47" s="4691" t="s">
        <v>1386</v>
      </c>
      <c r="E47" s="4692"/>
      <c r="F47" s="4692"/>
      <c r="G47" s="4692"/>
      <c r="H47" s="4692"/>
      <c r="I47" s="4692"/>
      <c r="J47" s="4692"/>
      <c r="K47" s="4692"/>
      <c r="L47" s="4692"/>
      <c r="M47" s="4692"/>
      <c r="N47" s="4692"/>
      <c r="O47" s="4692"/>
      <c r="P47" s="4692"/>
      <c r="Q47" s="4692"/>
      <c r="R47" s="4692"/>
      <c r="S47" s="4692"/>
      <c r="T47" s="4692"/>
      <c r="U47" s="4692"/>
      <c r="V47" s="4692"/>
      <c r="W47" s="4692"/>
      <c r="X47" s="4692"/>
      <c r="Y47" s="4692"/>
      <c r="Z47" s="4692"/>
      <c r="AA47" s="4692"/>
      <c r="AB47" s="4692"/>
      <c r="AC47" s="4692"/>
      <c r="AD47" s="4692"/>
      <c r="AE47" s="4692"/>
      <c r="AF47" s="4692"/>
      <c r="AG47" s="4692"/>
      <c r="AH47" s="4692"/>
      <c r="AI47" s="4693"/>
    </row>
    <row r="48" spans="1:35" ht="51.75" customHeight="1" x14ac:dyDescent="0.35">
      <c r="A48" s="819">
        <v>9</v>
      </c>
      <c r="B48" s="819" t="s">
        <v>278</v>
      </c>
      <c r="D48" s="4691" t="s">
        <v>1387</v>
      </c>
      <c r="E48" s="4692"/>
      <c r="F48" s="4692"/>
      <c r="G48" s="4692"/>
      <c r="H48" s="4692"/>
      <c r="I48" s="4692"/>
      <c r="J48" s="4692"/>
      <c r="K48" s="4692"/>
      <c r="L48" s="4692"/>
      <c r="M48" s="4692"/>
      <c r="N48" s="4692"/>
      <c r="O48" s="4692"/>
      <c r="P48" s="4692"/>
      <c r="Q48" s="4692"/>
      <c r="R48" s="4692"/>
      <c r="S48" s="4692"/>
      <c r="T48" s="4692"/>
      <c r="U48" s="4692"/>
      <c r="V48" s="4692"/>
      <c r="W48" s="4692"/>
      <c r="X48" s="4692"/>
      <c r="Y48" s="4692"/>
      <c r="Z48" s="4692"/>
      <c r="AA48" s="4692"/>
      <c r="AB48" s="4692"/>
      <c r="AC48" s="4692"/>
      <c r="AD48" s="4692"/>
      <c r="AE48" s="4692"/>
      <c r="AF48" s="4692"/>
      <c r="AG48" s="4692"/>
      <c r="AH48" s="4692"/>
      <c r="AI48" s="4693"/>
    </row>
    <row r="53" spans="1:31" s="3411" customFormat="1" x14ac:dyDescent="0.35">
      <c r="A53" s="3410"/>
      <c r="B53" s="3410"/>
      <c r="C53" s="3410"/>
    </row>
    <row r="54" spans="1:31" s="3411" customFormat="1" x14ac:dyDescent="0.35">
      <c r="A54" s="3410"/>
      <c r="B54" s="3410"/>
      <c r="C54" s="3410"/>
      <c r="E54" s="415">
        <v>2003</v>
      </c>
      <c r="F54" s="415">
        <v>2004</v>
      </c>
      <c r="G54" s="415">
        <v>2005</v>
      </c>
      <c r="H54" s="415">
        <v>2006</v>
      </c>
      <c r="I54" s="415">
        <v>2007</v>
      </c>
      <c r="J54" s="415">
        <v>2008</v>
      </c>
      <c r="K54" s="415">
        <v>2009</v>
      </c>
      <c r="L54" s="3412" t="s">
        <v>118</v>
      </c>
      <c r="M54" s="3412" t="s">
        <v>119</v>
      </c>
      <c r="N54" s="3412" t="s">
        <v>120</v>
      </c>
      <c r="O54" s="3412" t="s">
        <v>121</v>
      </c>
      <c r="P54" s="3412" t="s">
        <v>122</v>
      </c>
      <c r="Q54" s="3412" t="s">
        <v>123</v>
      </c>
      <c r="R54" s="3412" t="s">
        <v>124</v>
      </c>
      <c r="S54" s="3413" t="s">
        <v>125</v>
      </c>
      <c r="T54" s="3412" t="s">
        <v>126</v>
      </c>
      <c r="U54" s="3412" t="s">
        <v>302</v>
      </c>
      <c r="V54" s="3414"/>
      <c r="X54" s="3414"/>
      <c r="Y54" s="3414"/>
      <c r="Z54" s="3414"/>
      <c r="AB54" s="3414"/>
      <c r="AC54" s="3414"/>
      <c r="AD54" s="3414"/>
    </row>
    <row r="55" spans="1:31" s="3411" customFormat="1" x14ac:dyDescent="0.35">
      <c r="A55" s="3410"/>
      <c r="B55" s="3410"/>
      <c r="C55" s="3410"/>
      <c r="E55" s="108">
        <v>84</v>
      </c>
      <c r="F55" s="108">
        <v>90</v>
      </c>
      <c r="G55" s="108">
        <v>90</v>
      </c>
      <c r="H55" s="108">
        <v>90</v>
      </c>
      <c r="I55" s="108">
        <v>78</v>
      </c>
      <c r="J55" s="108">
        <v>65</v>
      </c>
      <c r="K55" s="108">
        <v>75</v>
      </c>
      <c r="L55" s="3413">
        <v>90</v>
      </c>
      <c r="M55" s="3415">
        <v>88.25</v>
      </c>
      <c r="N55" s="3413">
        <v>87</v>
      </c>
      <c r="O55" s="3415">
        <v>88</v>
      </c>
      <c r="P55" s="3415">
        <v>89</v>
      </c>
      <c r="Q55" s="3415">
        <v>85</v>
      </c>
      <c r="R55" s="3413">
        <v>88</v>
      </c>
      <c r="S55" s="415">
        <v>81</v>
      </c>
      <c r="T55" s="415">
        <v>83</v>
      </c>
      <c r="U55" s="415">
        <v>81</v>
      </c>
      <c r="V55" s="3416"/>
      <c r="W55" s="3416"/>
      <c r="X55" s="3416"/>
      <c r="Y55" s="3416"/>
      <c r="Z55" s="3416"/>
      <c r="AA55" s="3416"/>
      <c r="AB55" s="3416"/>
      <c r="AC55" s="3416"/>
      <c r="AD55" s="3416"/>
    </row>
    <row r="56" spans="1:31" s="3418" customFormat="1" x14ac:dyDescent="0.35">
      <c r="A56" s="3417"/>
      <c r="B56" s="3417"/>
      <c r="C56" s="3417"/>
      <c r="AB56" s="3419"/>
      <c r="AC56" s="3419"/>
      <c r="AD56" s="3419"/>
      <c r="AE56" s="3419"/>
    </row>
    <row r="57" spans="1:31" s="3418" customFormat="1" x14ac:dyDescent="0.35">
      <c r="A57" s="3417"/>
      <c r="B57" s="3417"/>
      <c r="C57" s="3417"/>
    </row>
  </sheetData>
  <mergeCells count="29">
    <mergeCell ref="D2:AK2"/>
    <mergeCell ref="D3:AK3"/>
    <mergeCell ref="D4:AK4"/>
    <mergeCell ref="L7:O7"/>
    <mergeCell ref="P7:S7"/>
    <mergeCell ref="T7:W7"/>
    <mergeCell ref="X7:AA7"/>
    <mergeCell ref="AB7:AE7"/>
    <mergeCell ref="AF7:AG7"/>
    <mergeCell ref="D39:E39"/>
    <mergeCell ref="AL7:AM7"/>
    <mergeCell ref="AN7:AO7"/>
    <mergeCell ref="AC13:AD13"/>
    <mergeCell ref="AF13:AG13"/>
    <mergeCell ref="D32:E33"/>
    <mergeCell ref="L32:M32"/>
    <mergeCell ref="N32:O32"/>
    <mergeCell ref="D34:E34"/>
    <mergeCell ref="D35:E35"/>
    <mergeCell ref="D36:E36"/>
    <mergeCell ref="D37:E37"/>
    <mergeCell ref="D38:E38"/>
    <mergeCell ref="D48:AI48"/>
    <mergeCell ref="D40:E40"/>
    <mergeCell ref="D41:E41"/>
    <mergeCell ref="D42:E42"/>
    <mergeCell ref="D45:AI45"/>
    <mergeCell ref="D46:AI46"/>
    <mergeCell ref="D47:AI47"/>
  </mergeCells>
  <pageMargins left="0.74803149606299213" right="0.74803149606299213" top="0.98425196850393704" bottom="0.98425196850393704" header="0.51181102362204722" footer="0.51181102362204722"/>
  <pageSetup paperSize="9" scale="3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249977111117893"/>
    <pageSetUpPr fitToPage="1"/>
  </sheetPr>
  <dimension ref="A1:W279"/>
  <sheetViews>
    <sheetView showGridLines="0" view="pageBreakPreview" zoomScaleNormal="100" zoomScaleSheetLayoutView="100" workbookViewId="0">
      <selection activeCell="Y27" sqref="Y27"/>
    </sheetView>
  </sheetViews>
  <sheetFormatPr defaultColWidth="9.1796875" defaultRowHeight="14.5" x14ac:dyDescent="0.35"/>
  <cols>
    <col min="1" max="1" width="3.7265625" style="3420" customWidth="1"/>
    <col min="2" max="2" width="13.26953125" style="3420" customWidth="1"/>
    <col min="3" max="3" width="3.7265625" style="3420" customWidth="1"/>
    <col min="4" max="4" width="14.54296875" style="3422" customWidth="1"/>
    <col min="5" max="6" width="7.54296875" style="3422" customWidth="1"/>
    <col min="7" max="7" width="6.81640625" style="3422" customWidth="1"/>
    <col min="8" max="8" width="7.453125" style="3422" customWidth="1"/>
    <col min="9" max="9" width="8.1796875" style="3422" customWidth="1"/>
    <col min="10" max="11" width="7.81640625" style="3422" customWidth="1"/>
    <col min="12" max="12" width="8" style="3422" customWidth="1"/>
    <col min="13" max="13" width="9.1796875" style="3422" customWidth="1"/>
    <col min="14" max="14" width="8.1796875" style="3422" customWidth="1"/>
    <col min="15" max="15" width="9.54296875" style="3422" customWidth="1"/>
    <col min="16" max="16" width="9.1796875" style="3422"/>
    <col min="17" max="17" width="9" style="3422" customWidth="1"/>
    <col min="18" max="18" width="8" style="3422" customWidth="1"/>
    <col min="19" max="19" width="7.7265625" style="3422" customWidth="1"/>
    <col min="20" max="16384" width="9.1796875" style="3422"/>
  </cols>
  <sheetData>
    <row r="1" spans="1:23" x14ac:dyDescent="0.35">
      <c r="D1" s="3421"/>
      <c r="E1" s="3421"/>
      <c r="F1" s="3421"/>
      <c r="G1" s="3421"/>
      <c r="H1" s="3421"/>
      <c r="I1" s="3421"/>
      <c r="J1" s="3421"/>
      <c r="K1" s="3421"/>
      <c r="L1" s="3421"/>
      <c r="M1" s="3421"/>
    </row>
    <row r="2" spans="1:23" ht="15.75" customHeight="1" x14ac:dyDescent="0.35">
      <c r="A2" s="819">
        <v>1</v>
      </c>
      <c r="B2" s="3423" t="s">
        <v>1388</v>
      </c>
      <c r="C2" s="3423">
        <v>61</v>
      </c>
      <c r="D2" s="4642" t="s">
        <v>1389</v>
      </c>
      <c r="E2" s="4643"/>
      <c r="F2" s="4643"/>
      <c r="G2" s="4643"/>
      <c r="H2" s="4643"/>
      <c r="I2" s="4643"/>
      <c r="J2" s="4643"/>
      <c r="K2" s="4643"/>
      <c r="L2" s="4643"/>
      <c r="M2" s="4643"/>
      <c r="N2" s="4643"/>
      <c r="O2" s="4643"/>
      <c r="P2" s="4643"/>
      <c r="Q2" s="4643"/>
      <c r="R2" s="4643"/>
      <c r="S2" s="4643"/>
      <c r="T2" s="4643"/>
      <c r="U2" s="4643"/>
      <c r="V2" s="4643"/>
      <c r="W2" s="4644"/>
    </row>
    <row r="3" spans="1:23" ht="15" customHeight="1" x14ac:dyDescent="0.35">
      <c r="A3" s="819">
        <v>2</v>
      </c>
      <c r="B3" s="3423" t="s">
        <v>1390</v>
      </c>
      <c r="C3" s="3423"/>
      <c r="D3" s="4642" t="s">
        <v>1391</v>
      </c>
      <c r="E3" s="4643"/>
      <c r="F3" s="4643"/>
      <c r="G3" s="4643"/>
      <c r="H3" s="4643"/>
      <c r="I3" s="4643"/>
      <c r="J3" s="4643"/>
      <c r="K3" s="4643"/>
      <c r="L3" s="4643"/>
      <c r="M3" s="4643"/>
      <c r="N3" s="4643"/>
      <c r="O3" s="4643"/>
      <c r="P3" s="4643"/>
      <c r="Q3" s="4643"/>
      <c r="R3" s="4643"/>
      <c r="S3" s="4643"/>
      <c r="T3" s="4643"/>
      <c r="U3" s="4643"/>
      <c r="V3" s="4643"/>
      <c r="W3" s="4644"/>
    </row>
    <row r="4" spans="1:23" ht="12.75" customHeight="1" x14ac:dyDescent="0.35">
      <c r="A4" s="819">
        <v>3</v>
      </c>
      <c r="B4" s="3423" t="s">
        <v>4</v>
      </c>
      <c r="C4" s="3424"/>
      <c r="D4" s="4642" t="s">
        <v>1392</v>
      </c>
      <c r="E4" s="4643"/>
      <c r="F4" s="4643"/>
      <c r="G4" s="4643"/>
      <c r="H4" s="4643"/>
      <c r="I4" s="4643"/>
      <c r="J4" s="4643"/>
      <c r="K4" s="4643"/>
      <c r="L4" s="4643"/>
      <c r="M4" s="4643"/>
      <c r="N4" s="4643"/>
      <c r="O4" s="4643"/>
      <c r="P4" s="4643"/>
      <c r="Q4" s="4643"/>
      <c r="R4" s="4643"/>
      <c r="S4" s="4643"/>
      <c r="T4" s="4643"/>
      <c r="U4" s="4643"/>
      <c r="V4" s="4643"/>
      <c r="W4" s="4644"/>
    </row>
    <row r="5" spans="1:23" ht="12.75" customHeight="1" x14ac:dyDescent="0.35">
      <c r="A5" s="819"/>
      <c r="B5" s="3423"/>
      <c r="C5" s="3425"/>
      <c r="D5" s="949"/>
      <c r="E5" s="949"/>
      <c r="F5" s="949"/>
      <c r="G5" s="949"/>
      <c r="H5" s="949"/>
      <c r="I5" s="949"/>
      <c r="J5" s="949"/>
      <c r="K5" s="949"/>
      <c r="L5" s="949"/>
      <c r="M5" s="949"/>
      <c r="N5" s="949"/>
      <c r="O5" s="949"/>
      <c r="P5" s="949"/>
      <c r="Q5" s="949"/>
      <c r="R5" s="949"/>
      <c r="S5" s="949"/>
      <c r="T5" s="949"/>
      <c r="U5" s="949"/>
      <c r="V5" s="949"/>
      <c r="W5" s="949"/>
    </row>
    <row r="6" spans="1:23" x14ac:dyDescent="0.35">
      <c r="A6" s="819">
        <v>4</v>
      </c>
      <c r="B6" s="819" t="s">
        <v>6</v>
      </c>
      <c r="D6" s="3426" t="s">
        <v>7</v>
      </c>
      <c r="E6" s="3426"/>
      <c r="F6" s="3426"/>
      <c r="G6" s="3426"/>
      <c r="H6" s="3426"/>
      <c r="I6" s="3426"/>
      <c r="J6" s="3426"/>
      <c r="K6" s="3426"/>
    </row>
    <row r="7" spans="1:23" ht="12.75" customHeight="1" x14ac:dyDescent="0.35">
      <c r="A7" s="2633"/>
      <c r="D7" s="3427"/>
      <c r="E7" s="3428">
        <v>2007</v>
      </c>
      <c r="F7" s="3428">
        <v>2011</v>
      </c>
      <c r="G7" s="3428">
        <v>2012</v>
      </c>
      <c r="H7" s="3428" t="s">
        <v>121</v>
      </c>
      <c r="I7" s="3428" t="s">
        <v>122</v>
      </c>
      <c r="J7" s="3428" t="s">
        <v>123</v>
      </c>
      <c r="K7" s="3428" t="s">
        <v>124</v>
      </c>
      <c r="L7" s="1653" t="s">
        <v>125</v>
      </c>
      <c r="M7" s="1653" t="s">
        <v>126</v>
      </c>
      <c r="N7" s="1653" t="s">
        <v>302</v>
      </c>
    </row>
    <row r="8" spans="1:23" ht="14.15" customHeight="1" x14ac:dyDescent="0.35">
      <c r="A8" s="2633"/>
      <c r="D8" s="3429" t="s">
        <v>1393</v>
      </c>
      <c r="E8" s="3430">
        <v>76</v>
      </c>
      <c r="F8" s="3430">
        <v>88.4</v>
      </c>
      <c r="G8" s="3430">
        <v>85.1</v>
      </c>
      <c r="H8" s="3430">
        <v>86.8</v>
      </c>
      <c r="I8" s="3430">
        <v>85.4</v>
      </c>
      <c r="J8" s="3430">
        <v>83.7</v>
      </c>
      <c r="K8" s="3431">
        <v>84.8</v>
      </c>
      <c r="L8" s="4550">
        <v>79.099999999999994</v>
      </c>
      <c r="M8" s="4550">
        <v>82.6</v>
      </c>
      <c r="N8" s="4550">
        <v>86.6</v>
      </c>
    </row>
    <row r="9" spans="1:23" ht="14.15" customHeight="1" x14ac:dyDescent="0.35">
      <c r="A9" s="2633"/>
      <c r="D9" s="3432" t="s">
        <v>1394</v>
      </c>
      <c r="E9" s="3433">
        <v>23</v>
      </c>
      <c r="F9" s="3433">
        <v>37.6</v>
      </c>
      <c r="G9" s="3433">
        <v>36.5</v>
      </c>
      <c r="H9" s="3433">
        <v>35</v>
      </c>
      <c r="I9" s="3433">
        <v>31.2</v>
      </c>
      <c r="J9" s="3433">
        <v>30.7</v>
      </c>
      <c r="K9" s="3433">
        <v>29.4</v>
      </c>
      <c r="L9" s="3434">
        <v>32</v>
      </c>
      <c r="M9" s="3435">
        <v>35.1</v>
      </c>
      <c r="N9" s="3435" t="s">
        <v>1969</v>
      </c>
    </row>
    <row r="10" spans="1:23" ht="14.15" customHeight="1" x14ac:dyDescent="0.35">
      <c r="A10" s="2633"/>
      <c r="D10" s="3429"/>
      <c r="E10" s="3430"/>
      <c r="F10" s="3430"/>
      <c r="G10" s="3430"/>
      <c r="H10" s="3431"/>
      <c r="I10" s="3431"/>
      <c r="J10" s="3431"/>
      <c r="K10" s="3431"/>
      <c r="L10" s="3436"/>
    </row>
    <row r="11" spans="1:23" ht="14.15" customHeight="1" x14ac:dyDescent="0.35">
      <c r="A11" s="2633"/>
      <c r="D11" s="3429"/>
      <c r="E11" s="3430"/>
      <c r="F11" s="3430"/>
      <c r="G11" s="3430"/>
      <c r="H11" s="3431"/>
      <c r="I11" s="3431"/>
      <c r="J11" s="3431"/>
      <c r="K11" s="3431"/>
      <c r="L11" s="3436"/>
    </row>
    <row r="12" spans="1:23" ht="14.15" customHeight="1" x14ac:dyDescent="0.35">
      <c r="A12" s="2633"/>
      <c r="D12" s="3429"/>
      <c r="E12" s="3437"/>
      <c r="F12" s="3437"/>
      <c r="G12" s="3437"/>
      <c r="H12" s="3437"/>
      <c r="I12" s="3437"/>
      <c r="J12" s="3437"/>
      <c r="K12" s="3431"/>
      <c r="L12" s="3436"/>
    </row>
    <row r="13" spans="1:23" ht="14.15" customHeight="1" x14ac:dyDescent="0.35">
      <c r="A13" s="2633"/>
      <c r="D13" s="3429"/>
      <c r="E13" s="3437"/>
      <c r="F13" s="3437"/>
      <c r="G13" s="3437"/>
      <c r="H13" s="3431"/>
      <c r="I13" s="3431"/>
      <c r="J13" s="3431"/>
      <c r="K13" s="3431"/>
      <c r="L13" s="3436"/>
    </row>
    <row r="14" spans="1:23" ht="14.15" customHeight="1" x14ac:dyDescent="0.35">
      <c r="A14" s="2633"/>
      <c r="D14" s="3426" t="s">
        <v>35</v>
      </c>
      <c r="E14" s="3437"/>
      <c r="F14" s="3437"/>
      <c r="G14" s="3437"/>
      <c r="H14" s="3437"/>
      <c r="I14" s="3438"/>
      <c r="J14" s="3438"/>
      <c r="K14" s="3438"/>
      <c r="L14" s="3436"/>
    </row>
    <row r="15" spans="1:23" ht="14.15" customHeight="1" x14ac:dyDescent="0.35">
      <c r="A15" s="2633"/>
      <c r="D15" s="3439"/>
      <c r="E15" s="3440"/>
      <c r="F15" s="5010" t="s">
        <v>1395</v>
      </c>
      <c r="G15" s="5011"/>
      <c r="H15" s="5011"/>
      <c r="I15" s="5012" t="s">
        <v>1396</v>
      </c>
      <c r="J15" s="5013"/>
      <c r="K15" s="5013"/>
      <c r="L15" s="5012" t="s">
        <v>123</v>
      </c>
      <c r="M15" s="5013"/>
      <c r="N15" s="5014"/>
      <c r="O15" s="5012" t="s">
        <v>124</v>
      </c>
      <c r="P15" s="5013"/>
      <c r="Q15" s="5014"/>
      <c r="R15" s="5012" t="s">
        <v>125</v>
      </c>
      <c r="S15" s="5013"/>
      <c r="T15" s="5013"/>
      <c r="U15" s="5015" t="s">
        <v>126</v>
      </c>
      <c r="V15" s="5016"/>
      <c r="W15" s="5017"/>
    </row>
    <row r="16" spans="1:23" ht="24.65" customHeight="1" x14ac:dyDescent="0.35">
      <c r="A16" s="2633"/>
      <c r="D16" s="3441"/>
      <c r="E16" s="3442" t="s">
        <v>1397</v>
      </c>
      <c r="F16" s="3443" t="s">
        <v>1398</v>
      </c>
      <c r="G16" s="3443" t="s">
        <v>1399</v>
      </c>
      <c r="H16" s="3442" t="s">
        <v>1397</v>
      </c>
      <c r="I16" s="3443" t="s">
        <v>1398</v>
      </c>
      <c r="J16" s="3443" t="s">
        <v>1399</v>
      </c>
      <c r="K16" s="3444" t="s">
        <v>1397</v>
      </c>
      <c r="L16" s="3443" t="s">
        <v>1398</v>
      </c>
      <c r="M16" s="3443" t="s">
        <v>1399</v>
      </c>
      <c r="N16" s="3445" t="s">
        <v>1397</v>
      </c>
      <c r="O16" s="3443" t="s">
        <v>1398</v>
      </c>
      <c r="P16" s="3443" t="s">
        <v>1399</v>
      </c>
      <c r="Q16" s="3445" t="s">
        <v>1397</v>
      </c>
      <c r="R16" s="3446" t="s">
        <v>1397</v>
      </c>
      <c r="S16" s="3447" t="s">
        <v>1398</v>
      </c>
      <c r="T16" s="3447" t="s">
        <v>1399</v>
      </c>
      <c r="U16" s="3448" t="s">
        <v>1397</v>
      </c>
      <c r="V16" s="3449" t="s">
        <v>1398</v>
      </c>
      <c r="W16" s="3450" t="s">
        <v>1399</v>
      </c>
    </row>
    <row r="17" spans="1:23" ht="14.15" customHeight="1" x14ac:dyDescent="0.35">
      <c r="A17" s="2633"/>
      <c r="D17" s="1270" t="s">
        <v>402</v>
      </c>
      <c r="E17" s="3451">
        <v>28.3</v>
      </c>
      <c r="F17" s="3452">
        <v>40.299999999999997</v>
      </c>
      <c r="G17" s="3452">
        <v>27.4</v>
      </c>
      <c r="H17" s="3453">
        <v>32.299999999999997</v>
      </c>
      <c r="I17" s="3452">
        <v>50.6</v>
      </c>
      <c r="J17" s="3452">
        <v>20.6</v>
      </c>
      <c r="K17" s="3453">
        <v>28.8</v>
      </c>
      <c r="L17" s="3452">
        <v>45.8</v>
      </c>
      <c r="M17" s="3452">
        <v>18.8</v>
      </c>
      <c r="N17" s="3452">
        <v>35.6</v>
      </c>
      <c r="O17" s="3452">
        <v>47.1</v>
      </c>
      <c r="P17" s="3452">
        <v>17.399999999999999</v>
      </c>
      <c r="Q17" s="3452">
        <v>35.5</v>
      </c>
      <c r="R17" s="3452">
        <v>31.1</v>
      </c>
      <c r="S17" s="3452">
        <v>44.2</v>
      </c>
      <c r="T17" s="3452">
        <v>21.7</v>
      </c>
      <c r="U17" s="5018" t="s">
        <v>1400</v>
      </c>
      <c r="V17" s="5019"/>
      <c r="W17" s="5020"/>
    </row>
    <row r="18" spans="1:23" ht="14.15" customHeight="1" x14ac:dyDescent="0.35">
      <c r="A18" s="2633"/>
      <c r="D18" s="1270" t="s">
        <v>1401</v>
      </c>
      <c r="E18" s="3451">
        <v>29.2</v>
      </c>
      <c r="F18" s="3452">
        <v>50.3</v>
      </c>
      <c r="G18" s="3452">
        <v>28.8</v>
      </c>
      <c r="H18" s="3453">
        <v>20.9</v>
      </c>
      <c r="I18" s="3452">
        <v>46.8</v>
      </c>
      <c r="J18" s="3452">
        <v>30.4</v>
      </c>
      <c r="K18" s="3453">
        <v>22.9</v>
      </c>
      <c r="L18" s="3452">
        <v>48</v>
      </c>
      <c r="M18" s="3452">
        <v>31</v>
      </c>
      <c r="N18" s="3452">
        <v>21</v>
      </c>
      <c r="O18" s="3452">
        <v>42.4</v>
      </c>
      <c r="P18" s="3452">
        <v>31.2</v>
      </c>
      <c r="Q18" s="3452">
        <v>26.4</v>
      </c>
      <c r="R18" s="3452">
        <v>23</v>
      </c>
      <c r="S18" s="3452">
        <v>47.3</v>
      </c>
      <c r="T18" s="3452">
        <v>27.1</v>
      </c>
      <c r="U18" s="5021"/>
      <c r="V18" s="5022"/>
      <c r="W18" s="5023"/>
    </row>
    <row r="19" spans="1:23" ht="14.15" customHeight="1" x14ac:dyDescent="0.35">
      <c r="A19" s="2633"/>
      <c r="D19" s="1270" t="s">
        <v>524</v>
      </c>
      <c r="E19" s="3451">
        <v>30.8</v>
      </c>
      <c r="F19" s="3452">
        <v>33.6</v>
      </c>
      <c r="G19" s="3452">
        <v>41.5</v>
      </c>
      <c r="H19" s="3453">
        <v>24.8</v>
      </c>
      <c r="I19" s="3452">
        <v>40.6</v>
      </c>
      <c r="J19" s="3452">
        <v>34.6</v>
      </c>
      <c r="K19" s="3453">
        <v>24.8</v>
      </c>
      <c r="L19" s="3452">
        <v>36.6</v>
      </c>
      <c r="M19" s="3452">
        <v>33.6</v>
      </c>
      <c r="N19" s="3452">
        <v>29.8</v>
      </c>
      <c r="O19" s="3452">
        <v>33</v>
      </c>
      <c r="P19" s="3452">
        <v>33</v>
      </c>
      <c r="Q19" s="3452">
        <v>34</v>
      </c>
      <c r="R19" s="3452">
        <v>28.1</v>
      </c>
      <c r="S19" s="3452">
        <v>37.700000000000003</v>
      </c>
      <c r="T19" s="3452">
        <v>26.5</v>
      </c>
      <c r="U19" s="5021"/>
      <c r="V19" s="5022"/>
      <c r="W19" s="5023"/>
    </row>
    <row r="20" spans="1:23" ht="14.15" customHeight="1" x14ac:dyDescent="0.35">
      <c r="A20" s="2633"/>
      <c r="D20" s="1270" t="s">
        <v>1402</v>
      </c>
      <c r="E20" s="3451">
        <v>25.6</v>
      </c>
      <c r="F20" s="3452">
        <v>38.700000000000003</v>
      </c>
      <c r="G20" s="3452">
        <v>34.4</v>
      </c>
      <c r="H20" s="3453">
        <v>26.9</v>
      </c>
      <c r="I20" s="3452">
        <v>43.1</v>
      </c>
      <c r="J20" s="3452">
        <v>33</v>
      </c>
      <c r="K20" s="3453">
        <v>23.9</v>
      </c>
      <c r="L20" s="3452">
        <v>35.6</v>
      </c>
      <c r="M20" s="3452">
        <v>33.1</v>
      </c>
      <c r="N20" s="3452">
        <v>31.3</v>
      </c>
      <c r="O20" s="3452">
        <v>35.4</v>
      </c>
      <c r="P20" s="3452">
        <v>32.700000000000003</v>
      </c>
      <c r="Q20" s="3452">
        <v>32</v>
      </c>
      <c r="R20" s="3452">
        <v>29.1</v>
      </c>
      <c r="S20" s="3452">
        <v>38.6</v>
      </c>
      <c r="T20" s="3452">
        <v>28.8</v>
      </c>
      <c r="U20" s="5021"/>
      <c r="V20" s="5022"/>
      <c r="W20" s="5023"/>
    </row>
    <row r="21" spans="1:23" ht="14.15" customHeight="1" x14ac:dyDescent="0.35">
      <c r="A21" s="2633"/>
      <c r="D21" s="1270" t="s">
        <v>409</v>
      </c>
      <c r="E21" s="3451">
        <v>24.3</v>
      </c>
      <c r="F21" s="3452">
        <v>46.1</v>
      </c>
      <c r="G21" s="3452">
        <v>32.700000000000003</v>
      </c>
      <c r="H21" s="3453">
        <v>21.2</v>
      </c>
      <c r="I21" s="3452">
        <v>51.2</v>
      </c>
      <c r="J21" s="3452">
        <v>25.9</v>
      </c>
      <c r="K21" s="3453">
        <v>22.8</v>
      </c>
      <c r="L21" s="3452">
        <v>45.8</v>
      </c>
      <c r="M21" s="3452">
        <v>29.6</v>
      </c>
      <c r="N21" s="3452">
        <v>24.6</v>
      </c>
      <c r="O21" s="3452">
        <v>45.2</v>
      </c>
      <c r="P21" s="3452">
        <v>25.8</v>
      </c>
      <c r="Q21" s="3452">
        <v>29</v>
      </c>
      <c r="R21" s="3452">
        <v>24.5</v>
      </c>
      <c r="S21" s="3452">
        <v>46.1</v>
      </c>
      <c r="T21" s="3452">
        <v>26.4</v>
      </c>
      <c r="U21" s="5021"/>
      <c r="V21" s="5022"/>
      <c r="W21" s="5023"/>
    </row>
    <row r="22" spans="1:23" ht="14.15" customHeight="1" x14ac:dyDescent="0.35">
      <c r="A22" s="2633"/>
      <c r="D22" s="1270" t="s">
        <v>1403</v>
      </c>
      <c r="E22" s="3451">
        <v>21.4</v>
      </c>
      <c r="F22" s="3452">
        <v>37.299999999999997</v>
      </c>
      <c r="G22" s="3452">
        <v>32.200000000000003</v>
      </c>
      <c r="H22" s="3453">
        <v>30.6</v>
      </c>
      <c r="I22" s="3452">
        <v>40.299999999999997</v>
      </c>
      <c r="J22" s="3452">
        <v>29.8</v>
      </c>
      <c r="K22" s="3453">
        <v>29.9</v>
      </c>
      <c r="L22" s="3452">
        <v>38.4</v>
      </c>
      <c r="M22" s="3452">
        <v>31.8</v>
      </c>
      <c r="N22" s="3452">
        <v>29.8</v>
      </c>
      <c r="O22" s="3452">
        <v>32.799999999999997</v>
      </c>
      <c r="P22" s="3452">
        <v>35.5</v>
      </c>
      <c r="Q22" s="3452">
        <v>31.7</v>
      </c>
      <c r="R22" s="3452">
        <v>29.3</v>
      </c>
      <c r="S22" s="3452">
        <v>35.4</v>
      </c>
      <c r="T22" s="3452">
        <v>31.7</v>
      </c>
      <c r="U22" s="5021"/>
      <c r="V22" s="5022"/>
      <c r="W22" s="5023"/>
    </row>
    <row r="23" spans="1:23" ht="14.15" customHeight="1" x14ac:dyDescent="0.35">
      <c r="A23" s="2633"/>
      <c r="D23" s="1270" t="s">
        <v>406</v>
      </c>
      <c r="E23" s="3451">
        <v>36.200000000000003</v>
      </c>
      <c r="F23" s="3452">
        <v>49.3</v>
      </c>
      <c r="G23" s="3452">
        <v>25.7</v>
      </c>
      <c r="H23" s="3453">
        <v>25</v>
      </c>
      <c r="I23" s="3452">
        <v>53.9</v>
      </c>
      <c r="J23" s="3452">
        <v>23.9</v>
      </c>
      <c r="K23" s="3453">
        <v>22.2</v>
      </c>
      <c r="L23" s="3452">
        <v>47.4</v>
      </c>
      <c r="M23" s="3452">
        <v>25.8</v>
      </c>
      <c r="N23" s="3452">
        <v>26.8</v>
      </c>
      <c r="O23" s="3452">
        <v>47.7</v>
      </c>
      <c r="P23" s="3452">
        <v>21.1</v>
      </c>
      <c r="Q23" s="3452">
        <v>31.2</v>
      </c>
      <c r="R23" s="3452">
        <v>30.7</v>
      </c>
      <c r="S23" s="3452">
        <v>47.5</v>
      </c>
      <c r="T23" s="3452">
        <v>17.399999999999999</v>
      </c>
      <c r="U23" s="5021"/>
      <c r="V23" s="5022"/>
      <c r="W23" s="5023"/>
    </row>
    <row r="24" spans="1:23" ht="14.15" customHeight="1" x14ac:dyDescent="0.35">
      <c r="A24" s="2633"/>
      <c r="D24" s="1270" t="s">
        <v>1404</v>
      </c>
      <c r="E24" s="3451">
        <v>28.4</v>
      </c>
      <c r="F24" s="3452">
        <v>50.8</v>
      </c>
      <c r="G24" s="3452">
        <v>21.5</v>
      </c>
      <c r="H24" s="3453">
        <v>27.8</v>
      </c>
      <c r="I24" s="3452">
        <v>53.4</v>
      </c>
      <c r="J24" s="3452">
        <v>20.2</v>
      </c>
      <c r="K24" s="3453">
        <v>26.3</v>
      </c>
      <c r="L24" s="3452">
        <v>43.8</v>
      </c>
      <c r="M24" s="3452">
        <v>23.1</v>
      </c>
      <c r="N24" s="3452">
        <v>33.1</v>
      </c>
      <c r="O24" s="3452">
        <v>42.8</v>
      </c>
      <c r="P24" s="3452">
        <v>26.5</v>
      </c>
      <c r="Q24" s="3452">
        <v>30.7</v>
      </c>
      <c r="R24" s="3452">
        <v>22.1</v>
      </c>
      <c r="S24" s="3452">
        <v>43.1</v>
      </c>
      <c r="T24" s="3452">
        <v>23.6</v>
      </c>
      <c r="U24" s="5021"/>
      <c r="V24" s="5022"/>
      <c r="W24" s="5023"/>
    </row>
    <row r="25" spans="1:23" ht="14.15" customHeight="1" x14ac:dyDescent="0.35">
      <c r="A25" s="2633"/>
      <c r="D25" s="2151" t="s">
        <v>401</v>
      </c>
      <c r="E25" s="3454">
        <v>34.6</v>
      </c>
      <c r="F25" s="3455">
        <v>51.7</v>
      </c>
      <c r="G25" s="3455">
        <v>13.8</v>
      </c>
      <c r="H25" s="3456">
        <v>34.4</v>
      </c>
      <c r="I25" s="3455">
        <v>57.7</v>
      </c>
      <c r="J25" s="3455">
        <v>12.3</v>
      </c>
      <c r="K25" s="3456">
        <v>29.9</v>
      </c>
      <c r="L25" s="3457">
        <v>52.2</v>
      </c>
      <c r="M25" s="3457">
        <v>12.9</v>
      </c>
      <c r="N25" s="3457">
        <v>34.9</v>
      </c>
      <c r="O25" s="3457">
        <v>47.1</v>
      </c>
      <c r="P25" s="3457">
        <v>14</v>
      </c>
      <c r="Q25" s="3457">
        <v>38.799999999999997</v>
      </c>
      <c r="R25" s="3457">
        <v>32.299999999999997</v>
      </c>
      <c r="S25" s="3457">
        <v>51.7</v>
      </c>
      <c r="T25" s="3457">
        <v>12.6</v>
      </c>
      <c r="U25" s="3458"/>
      <c r="V25" s="3458"/>
      <c r="W25" s="3459"/>
    </row>
    <row r="26" spans="1:23" ht="14.15" customHeight="1" x14ac:dyDescent="0.35">
      <c r="A26" s="2633"/>
      <c r="D26" s="3460" t="s">
        <v>306</v>
      </c>
      <c r="E26" s="3461">
        <v>28.8</v>
      </c>
      <c r="F26" s="3462">
        <v>41.3</v>
      </c>
      <c r="G26" s="3463">
        <v>31.6</v>
      </c>
      <c r="H26" s="3464">
        <v>27</v>
      </c>
      <c r="I26" s="3462">
        <v>46.5</v>
      </c>
      <c r="J26" s="3463">
        <v>27.7</v>
      </c>
      <c r="K26" s="3464">
        <v>25.8</v>
      </c>
      <c r="L26" s="3461">
        <v>41.8</v>
      </c>
      <c r="M26" s="3461">
        <v>28.1</v>
      </c>
      <c r="N26" s="3461">
        <v>30.1</v>
      </c>
      <c r="O26" s="3461">
        <v>39.4</v>
      </c>
      <c r="P26" s="3461">
        <v>27.6</v>
      </c>
      <c r="Q26" s="3461">
        <v>33</v>
      </c>
      <c r="R26" s="3461">
        <v>28.6</v>
      </c>
      <c r="S26" s="3461">
        <v>42.1</v>
      </c>
      <c r="T26" s="3461">
        <v>24.5</v>
      </c>
      <c r="U26" s="3465"/>
      <c r="V26" s="3466"/>
      <c r="W26" s="3467"/>
    </row>
    <row r="27" spans="1:23" ht="14.15" customHeight="1" x14ac:dyDescent="0.35">
      <c r="A27" s="2633"/>
      <c r="D27" s="3429"/>
      <c r="E27" s="3437"/>
      <c r="F27" s="3437"/>
      <c r="G27" s="3437"/>
      <c r="H27" s="3431"/>
      <c r="I27" s="3431"/>
      <c r="J27" s="3437"/>
      <c r="K27" s="3437"/>
      <c r="L27" s="3436"/>
      <c r="U27" s="3436"/>
    </row>
    <row r="28" spans="1:23" ht="14.15" customHeight="1" x14ac:dyDescent="0.35">
      <c r="A28" s="2633"/>
      <c r="D28" s="3468"/>
      <c r="E28" s="3469"/>
      <c r="F28" s="3469"/>
      <c r="G28" s="3469"/>
      <c r="H28" s="3470"/>
      <c r="I28" s="3470"/>
      <c r="J28" s="3469"/>
      <c r="K28" s="3469"/>
      <c r="P28" s="140"/>
    </row>
    <row r="29" spans="1:23" x14ac:dyDescent="0.35">
      <c r="A29" s="2633"/>
      <c r="D29" s="3471" t="s">
        <v>1405</v>
      </c>
      <c r="E29" s="3472" t="s">
        <v>1406</v>
      </c>
      <c r="F29" s="3473"/>
      <c r="G29" s="3474"/>
      <c r="H29" s="3475"/>
      <c r="I29" s="3475"/>
      <c r="J29" s="3476"/>
      <c r="K29" s="3476"/>
      <c r="L29" s="3332"/>
      <c r="M29" s="3332"/>
      <c r="N29" s="3332"/>
      <c r="P29" s="140"/>
    </row>
    <row r="30" spans="1:23" x14ac:dyDescent="0.35">
      <c r="A30" s="2633"/>
      <c r="D30" s="3429"/>
      <c r="E30" s="3477" t="s">
        <v>121</v>
      </c>
      <c r="F30" s="3477" t="s">
        <v>122</v>
      </c>
      <c r="G30" s="3477" t="s">
        <v>123</v>
      </c>
      <c r="H30" s="3477" t="s">
        <v>124</v>
      </c>
      <c r="I30" s="3477" t="s">
        <v>125</v>
      </c>
      <c r="J30" s="3478" t="s">
        <v>126</v>
      </c>
      <c r="K30" s="3469"/>
      <c r="L30" s="3469"/>
    </row>
    <row r="31" spans="1:23" ht="14.15" customHeight="1" x14ac:dyDescent="0.35">
      <c r="A31" s="2633"/>
      <c r="D31" s="3429" t="s">
        <v>402</v>
      </c>
      <c r="E31" s="3479">
        <v>66</v>
      </c>
      <c r="F31" s="3479">
        <v>64.900000000000006</v>
      </c>
      <c r="G31" s="3479">
        <v>64.900000000000006</v>
      </c>
      <c r="H31" s="3479">
        <v>59</v>
      </c>
      <c r="I31" s="3479">
        <v>56</v>
      </c>
      <c r="J31" s="5024" t="s">
        <v>1407</v>
      </c>
      <c r="K31" s="3469"/>
      <c r="L31" s="3469"/>
    </row>
    <row r="32" spans="1:23" ht="14.15" customHeight="1" x14ac:dyDescent="0.35">
      <c r="A32" s="2633"/>
      <c r="D32" s="3429" t="s">
        <v>404</v>
      </c>
      <c r="E32" s="3479">
        <v>60.9</v>
      </c>
      <c r="F32" s="3479">
        <v>58.7</v>
      </c>
      <c r="G32" s="3479">
        <v>58.7</v>
      </c>
      <c r="H32" s="3479">
        <v>64</v>
      </c>
      <c r="I32" s="3479">
        <v>64</v>
      </c>
      <c r="J32" s="5025"/>
      <c r="K32" s="3469"/>
      <c r="L32" s="3469"/>
    </row>
    <row r="33" spans="1:19" ht="14.15" customHeight="1" x14ac:dyDescent="0.35">
      <c r="A33" s="2633"/>
      <c r="D33" s="3429" t="s">
        <v>407</v>
      </c>
      <c r="E33" s="3479">
        <v>59.1</v>
      </c>
      <c r="F33" s="3479">
        <v>57.5</v>
      </c>
      <c r="G33" s="3479">
        <v>57.5</v>
      </c>
      <c r="H33" s="3479">
        <v>57</v>
      </c>
      <c r="I33" s="3479">
        <v>53</v>
      </c>
      <c r="J33" s="5025"/>
      <c r="K33" s="3469"/>
      <c r="L33" s="3469"/>
    </row>
    <row r="34" spans="1:19" ht="14.15" customHeight="1" x14ac:dyDescent="0.35">
      <c r="A34" s="2633"/>
      <c r="D34" s="3429" t="s">
        <v>1324</v>
      </c>
      <c r="E34" s="3479">
        <v>56.5</v>
      </c>
      <c r="F34" s="3479">
        <v>53</v>
      </c>
      <c r="G34" s="3479">
        <v>53</v>
      </c>
      <c r="H34" s="3479">
        <v>51</v>
      </c>
      <c r="I34" s="3479">
        <v>50</v>
      </c>
      <c r="J34" s="5025"/>
      <c r="K34" s="3469"/>
      <c r="L34" s="3469"/>
    </row>
    <row r="35" spans="1:19" ht="14.15" customHeight="1" x14ac:dyDescent="0.35">
      <c r="A35" s="2633"/>
      <c r="D35" s="3429" t="s">
        <v>409</v>
      </c>
      <c r="E35" s="3479">
        <v>59.1</v>
      </c>
      <c r="F35" s="3479">
        <v>58.8</v>
      </c>
      <c r="G35" s="3479">
        <v>58.8</v>
      </c>
      <c r="H35" s="3479">
        <v>65</v>
      </c>
      <c r="I35" s="3479">
        <v>58</v>
      </c>
      <c r="J35" s="5025"/>
      <c r="K35" s="3469"/>
      <c r="L35" s="3469"/>
    </row>
    <row r="36" spans="1:19" ht="14.15" customHeight="1" x14ac:dyDescent="0.35">
      <c r="A36" s="2633"/>
      <c r="D36" s="3429" t="s">
        <v>408</v>
      </c>
      <c r="E36" s="3479">
        <v>56.5</v>
      </c>
      <c r="F36" s="3479">
        <v>53.6</v>
      </c>
      <c r="G36" s="3479">
        <v>53.6</v>
      </c>
      <c r="H36" s="3479">
        <v>57</v>
      </c>
      <c r="I36" s="3479">
        <v>56</v>
      </c>
      <c r="J36" s="5025"/>
      <c r="K36" s="3469"/>
      <c r="L36" s="3469"/>
    </row>
    <row r="37" spans="1:19" ht="14.15" customHeight="1" x14ac:dyDescent="0.35">
      <c r="A37" s="2633"/>
      <c r="D37" s="3429" t="s">
        <v>406</v>
      </c>
      <c r="E37" s="3479">
        <v>50.7</v>
      </c>
      <c r="F37" s="3479">
        <v>47.5</v>
      </c>
      <c r="G37" s="3479">
        <v>47.5</v>
      </c>
      <c r="H37" s="3479">
        <v>50</v>
      </c>
      <c r="I37" s="3479">
        <v>47</v>
      </c>
      <c r="J37" s="5025"/>
      <c r="K37" s="3469"/>
      <c r="L37" s="3469"/>
    </row>
    <row r="38" spans="1:19" ht="14.15" customHeight="1" x14ac:dyDescent="0.35">
      <c r="A38" s="2633"/>
      <c r="D38" s="3429" t="s">
        <v>403</v>
      </c>
      <c r="E38" s="3479">
        <v>60</v>
      </c>
      <c r="F38" s="3479">
        <v>50.2</v>
      </c>
      <c r="G38" s="3479">
        <v>50.2</v>
      </c>
      <c r="H38" s="3479">
        <v>60</v>
      </c>
      <c r="I38" s="3479">
        <v>52</v>
      </c>
      <c r="J38" s="5025"/>
      <c r="K38" s="3469"/>
      <c r="L38" s="3469"/>
    </row>
    <row r="39" spans="1:19" ht="14.15" customHeight="1" x14ac:dyDescent="0.35">
      <c r="A39" s="2633"/>
      <c r="D39" s="3480" t="s">
        <v>401</v>
      </c>
      <c r="E39" s="3481">
        <v>65.5</v>
      </c>
      <c r="F39" s="3481">
        <v>60.4</v>
      </c>
      <c r="G39" s="3481">
        <v>60.4</v>
      </c>
      <c r="H39" s="3481">
        <v>58</v>
      </c>
      <c r="I39" s="3481">
        <v>58</v>
      </c>
      <c r="J39" s="5025"/>
      <c r="K39" s="3469"/>
      <c r="L39" s="3469"/>
    </row>
    <row r="40" spans="1:19" ht="14.15" customHeight="1" x14ac:dyDescent="0.35">
      <c r="A40" s="2633"/>
      <c r="D40" s="3460" t="s">
        <v>306</v>
      </c>
      <c r="E40" s="3482">
        <v>59.9</v>
      </c>
      <c r="F40" s="3482">
        <v>56.9</v>
      </c>
      <c r="G40" s="3482">
        <v>58.8</v>
      </c>
      <c r="H40" s="3482">
        <v>57.3</v>
      </c>
      <c r="I40" s="3482">
        <v>54.3</v>
      </c>
      <c r="J40" s="5026"/>
      <c r="K40" s="3469"/>
      <c r="L40" s="3469"/>
    </row>
    <row r="41" spans="1:19" ht="14.15" customHeight="1" x14ac:dyDescent="0.35">
      <c r="A41" s="2633"/>
      <c r="D41" s="3468"/>
      <c r="E41" s="3469"/>
      <c r="F41" s="3469"/>
      <c r="G41" s="2078"/>
      <c r="H41" s="3470"/>
      <c r="I41" s="3470"/>
      <c r="J41" s="3469"/>
      <c r="K41" s="3469"/>
    </row>
    <row r="42" spans="1:19" ht="14.15" customHeight="1" x14ac:dyDescent="0.35">
      <c r="A42" s="2633"/>
      <c r="G42" s="2078"/>
      <c r="R42" s="3483"/>
    </row>
    <row r="43" spans="1:19" ht="14.15" customHeight="1" x14ac:dyDescent="0.35">
      <c r="A43" s="2631">
        <v>5</v>
      </c>
      <c r="B43" s="1192" t="s">
        <v>56</v>
      </c>
      <c r="D43" s="3471" t="s">
        <v>1408</v>
      </c>
      <c r="E43" s="3484" t="s">
        <v>1409</v>
      </c>
      <c r="F43" s="3332"/>
      <c r="G43" s="3485"/>
      <c r="H43" s="3332"/>
      <c r="I43" s="3332"/>
      <c r="J43" s="3332"/>
      <c r="K43" s="3332"/>
      <c r="L43" s="3332"/>
      <c r="M43" s="3332"/>
      <c r="N43" s="3332"/>
      <c r="O43" s="3332"/>
      <c r="P43" s="3332"/>
      <c r="Q43" s="3332"/>
      <c r="R43" s="3486"/>
    </row>
    <row r="44" spans="1:19" ht="14.15" customHeight="1" x14ac:dyDescent="0.35">
      <c r="A44" s="2633"/>
      <c r="D44" s="3429"/>
      <c r="E44" s="3477" t="s">
        <v>121</v>
      </c>
      <c r="F44" s="3477" t="s">
        <v>122</v>
      </c>
      <c r="G44" s="3477" t="s">
        <v>123</v>
      </c>
      <c r="H44" s="1653" t="s">
        <v>124</v>
      </c>
      <c r="I44" s="1653" t="s">
        <v>125</v>
      </c>
      <c r="J44" s="3487" t="s">
        <v>126</v>
      </c>
      <c r="S44" s="3483"/>
    </row>
    <row r="45" spans="1:19" ht="14.15" customHeight="1" x14ac:dyDescent="0.35">
      <c r="A45" s="2633"/>
      <c r="D45" s="3429" t="s">
        <v>402</v>
      </c>
      <c r="E45" s="3479">
        <v>68.900000000000006</v>
      </c>
      <c r="F45" s="3479">
        <v>56</v>
      </c>
      <c r="G45" s="590">
        <v>56</v>
      </c>
      <c r="H45" s="3488">
        <v>42.9</v>
      </c>
      <c r="I45" s="3488">
        <v>37.9</v>
      </c>
      <c r="J45" s="3489">
        <v>50.7</v>
      </c>
      <c r="S45" s="3483"/>
    </row>
    <row r="46" spans="1:19" ht="14.15" customHeight="1" x14ac:dyDescent="0.35">
      <c r="D46" s="3429" t="s">
        <v>404</v>
      </c>
      <c r="E46" s="3479">
        <v>69.7</v>
      </c>
      <c r="F46" s="3479">
        <v>59.9</v>
      </c>
      <c r="G46" s="590">
        <v>59.9</v>
      </c>
      <c r="H46" s="3488">
        <v>48</v>
      </c>
      <c r="I46" s="3488">
        <v>43.6</v>
      </c>
      <c r="J46" s="3489">
        <v>56.47</v>
      </c>
    </row>
    <row r="47" spans="1:19" ht="14.15" customHeight="1" x14ac:dyDescent="0.35">
      <c r="A47" s="2633"/>
      <c r="D47" s="3429" t="s">
        <v>407</v>
      </c>
      <c r="E47" s="3479">
        <v>57.4</v>
      </c>
      <c r="F47" s="3479">
        <v>49.4</v>
      </c>
      <c r="G47" s="590">
        <v>49.4</v>
      </c>
      <c r="H47" s="3488">
        <v>43.2</v>
      </c>
      <c r="I47" s="3488">
        <v>39.700000000000003</v>
      </c>
      <c r="J47" s="3489">
        <v>42.82</v>
      </c>
    </row>
    <row r="48" spans="1:19" ht="14.15" customHeight="1" x14ac:dyDescent="0.35">
      <c r="A48" s="2633"/>
      <c r="D48" s="3429" t="s">
        <v>1324</v>
      </c>
      <c r="E48" s="3479">
        <v>70.8</v>
      </c>
      <c r="F48" s="3479">
        <v>59.8</v>
      </c>
      <c r="G48" s="590">
        <v>59.8</v>
      </c>
      <c r="H48" s="3488">
        <v>45.2</v>
      </c>
      <c r="I48" s="3488">
        <v>39.700000000000003</v>
      </c>
      <c r="J48" s="3489">
        <v>54.07</v>
      </c>
    </row>
    <row r="49" spans="1:23" ht="14.15" customHeight="1" x14ac:dyDescent="0.35">
      <c r="A49" s="2633"/>
      <c r="D49" s="3429" t="s">
        <v>409</v>
      </c>
      <c r="E49" s="3479">
        <v>76.2</v>
      </c>
      <c r="F49" s="3479">
        <v>71.599999999999994</v>
      </c>
      <c r="G49" s="590">
        <v>71.599999999999994</v>
      </c>
      <c r="H49" s="3488">
        <v>68.2</v>
      </c>
      <c r="I49" s="3488">
        <v>64.2</v>
      </c>
      <c r="J49" s="3489">
        <v>61.33</v>
      </c>
    </row>
    <row r="50" spans="1:23" ht="14.15" customHeight="1" x14ac:dyDescent="0.35">
      <c r="A50" s="2633"/>
      <c r="D50" s="3429" t="s">
        <v>408</v>
      </c>
      <c r="E50" s="3479">
        <v>72.3</v>
      </c>
      <c r="F50" s="3479">
        <v>60.3</v>
      </c>
      <c r="G50" s="590">
        <v>60.3</v>
      </c>
      <c r="H50" s="3488">
        <v>50.6</v>
      </c>
      <c r="I50" s="3488">
        <v>44.3</v>
      </c>
      <c r="J50" s="3489">
        <v>56.9</v>
      </c>
    </row>
    <row r="51" spans="1:23" ht="14.15" customHeight="1" x14ac:dyDescent="0.35">
      <c r="D51" s="3429" t="s">
        <v>406</v>
      </c>
      <c r="E51" s="3479">
        <v>64.8</v>
      </c>
      <c r="F51" s="3479">
        <v>53.5</v>
      </c>
      <c r="G51" s="590">
        <v>53.5</v>
      </c>
      <c r="H51" s="3488">
        <v>43.5</v>
      </c>
      <c r="I51" s="3488">
        <v>39.700000000000003</v>
      </c>
      <c r="J51" s="3489">
        <v>48.57</v>
      </c>
      <c r="M51" s="344" t="s">
        <v>294</v>
      </c>
    </row>
    <row r="52" spans="1:23" s="3494" customFormat="1" x14ac:dyDescent="0.35">
      <c r="A52" s="2631"/>
      <c r="B52" s="3490"/>
      <c r="C52" s="3490"/>
      <c r="D52" s="3429" t="s">
        <v>403</v>
      </c>
      <c r="E52" s="3479">
        <v>71.2</v>
      </c>
      <c r="F52" s="3479">
        <v>61.9</v>
      </c>
      <c r="G52" s="3491">
        <v>61.9</v>
      </c>
      <c r="H52" s="3488">
        <v>47.9</v>
      </c>
      <c r="I52" s="3488">
        <v>41</v>
      </c>
      <c r="J52" s="3489">
        <v>48.93</v>
      </c>
      <c r="K52" s="3492"/>
      <c r="L52" s="3422"/>
      <c r="M52" s="3422"/>
      <c r="N52" s="3493"/>
    </row>
    <row r="53" spans="1:23" x14ac:dyDescent="0.35">
      <c r="A53" s="2631"/>
      <c r="B53" s="3495"/>
      <c r="C53" s="1192"/>
      <c r="D53" s="3480" t="s">
        <v>401</v>
      </c>
      <c r="E53" s="3481">
        <v>45.1</v>
      </c>
      <c r="F53" s="3481">
        <v>32.299999999999997</v>
      </c>
      <c r="G53" s="1343">
        <v>32.299999999999997</v>
      </c>
      <c r="H53" s="3496">
        <v>24.5</v>
      </c>
      <c r="I53" s="3496">
        <v>21.3</v>
      </c>
      <c r="J53" s="3497">
        <v>37.51</v>
      </c>
      <c r="K53" s="108"/>
      <c r="L53" s="108"/>
      <c r="M53" s="108"/>
      <c r="N53" s="327"/>
      <c r="O53" s="3498"/>
    </row>
    <row r="54" spans="1:23" x14ac:dyDescent="0.35">
      <c r="C54" s="2077"/>
      <c r="D54" s="3460" t="s">
        <v>306</v>
      </c>
      <c r="E54" s="3482">
        <v>64.2</v>
      </c>
      <c r="F54" s="3482">
        <v>54.4</v>
      </c>
      <c r="G54" s="3482">
        <v>52.3</v>
      </c>
      <c r="H54" s="3482">
        <v>44.9</v>
      </c>
      <c r="I54" s="3482">
        <v>41.1</v>
      </c>
      <c r="J54" s="3499">
        <v>49.15</v>
      </c>
      <c r="K54" s="109"/>
      <c r="L54" s="109"/>
      <c r="M54" s="109"/>
      <c r="N54" s="330"/>
      <c r="O54" s="3498"/>
    </row>
    <row r="55" spans="1:23" x14ac:dyDescent="0.35">
      <c r="A55" s="2631"/>
      <c r="B55" s="2077"/>
      <c r="C55" s="2077"/>
      <c r="D55" s="2078"/>
      <c r="E55" s="109"/>
      <c r="F55" s="109"/>
      <c r="H55" s="109"/>
      <c r="I55" s="109"/>
      <c r="J55" s="109"/>
      <c r="K55" s="109"/>
      <c r="L55" s="109"/>
      <c r="M55" s="330"/>
      <c r="N55" s="3498"/>
    </row>
    <row r="56" spans="1:23" ht="13.5" customHeight="1" x14ac:dyDescent="0.35">
      <c r="B56" s="2077"/>
      <c r="C56" s="2077"/>
      <c r="D56" s="2078"/>
      <c r="E56" s="2078"/>
      <c r="F56" s="2078"/>
      <c r="G56" s="2078"/>
      <c r="H56" s="2078"/>
      <c r="I56" s="2078"/>
      <c r="J56" s="2078"/>
      <c r="K56" s="2078"/>
      <c r="L56" s="2078"/>
      <c r="M56" s="3421"/>
    </row>
    <row r="57" spans="1:23" x14ac:dyDescent="0.35">
      <c r="A57" s="2633">
        <v>6</v>
      </c>
      <c r="B57" s="819" t="s">
        <v>58</v>
      </c>
      <c r="C57" s="819"/>
      <c r="D57" s="4642" t="s">
        <v>1410</v>
      </c>
      <c r="E57" s="4643"/>
      <c r="F57" s="4643"/>
      <c r="G57" s="4643"/>
      <c r="H57" s="4643"/>
      <c r="I57" s="4643"/>
      <c r="J57" s="4643"/>
      <c r="K57" s="4643"/>
      <c r="L57" s="4643"/>
      <c r="M57" s="4643"/>
      <c r="N57" s="4643"/>
      <c r="O57" s="4643"/>
      <c r="P57" s="4643"/>
      <c r="Q57" s="4643"/>
      <c r="R57" s="4643"/>
      <c r="S57" s="4643"/>
      <c r="T57" s="4643"/>
      <c r="U57" s="4643"/>
      <c r="V57" s="4643"/>
      <c r="W57" s="4644"/>
    </row>
    <row r="58" spans="1:23" ht="45" customHeight="1" x14ac:dyDescent="0.35">
      <c r="A58" s="2633">
        <v>7</v>
      </c>
      <c r="B58" s="870" t="s">
        <v>60</v>
      </c>
      <c r="C58" s="870"/>
      <c r="D58" s="4642" t="s">
        <v>1411</v>
      </c>
      <c r="E58" s="4643"/>
      <c r="F58" s="4643"/>
      <c r="G58" s="4643"/>
      <c r="H58" s="4643"/>
      <c r="I58" s="4643"/>
      <c r="J58" s="4643"/>
      <c r="K58" s="4643"/>
      <c r="L58" s="4643"/>
      <c r="M58" s="4643"/>
      <c r="N58" s="4643"/>
      <c r="O58" s="4643"/>
      <c r="P58" s="4643"/>
      <c r="Q58" s="4643"/>
      <c r="R58" s="4643"/>
      <c r="S58" s="4643"/>
      <c r="T58" s="4643"/>
      <c r="U58" s="4643"/>
      <c r="V58" s="4643"/>
      <c r="W58" s="4644"/>
    </row>
    <row r="59" spans="1:23" ht="17.25" customHeight="1" x14ac:dyDescent="0.35">
      <c r="A59" s="2633">
        <v>8</v>
      </c>
      <c r="B59" s="819" t="s">
        <v>62</v>
      </c>
      <c r="C59" s="819"/>
      <c r="D59" s="4642" t="s">
        <v>1412</v>
      </c>
      <c r="E59" s="4643"/>
      <c r="F59" s="4643"/>
      <c r="G59" s="4643"/>
      <c r="H59" s="4643"/>
      <c r="I59" s="4643"/>
      <c r="J59" s="4643"/>
      <c r="K59" s="4643"/>
      <c r="L59" s="4643"/>
      <c r="M59" s="4643"/>
      <c r="N59" s="4643"/>
      <c r="O59" s="4643"/>
      <c r="P59" s="4643"/>
      <c r="Q59" s="4643"/>
      <c r="R59" s="4643"/>
      <c r="S59" s="4643"/>
      <c r="T59" s="4643"/>
      <c r="U59" s="4643"/>
      <c r="V59" s="4643"/>
      <c r="W59" s="4644"/>
    </row>
    <row r="60" spans="1:23" ht="83.25" customHeight="1" x14ac:dyDescent="0.35">
      <c r="A60" s="2633">
        <v>9</v>
      </c>
      <c r="B60" s="819" t="s">
        <v>134</v>
      </c>
      <c r="C60" s="819"/>
      <c r="D60" s="4642" t="s">
        <v>1413</v>
      </c>
      <c r="E60" s="4643"/>
      <c r="F60" s="4643"/>
      <c r="G60" s="4643"/>
      <c r="H60" s="4643"/>
      <c r="I60" s="4643"/>
      <c r="J60" s="4643"/>
      <c r="K60" s="4643"/>
      <c r="L60" s="4643"/>
      <c r="M60" s="4643"/>
      <c r="N60" s="4643"/>
      <c r="O60" s="4643"/>
      <c r="P60" s="4643"/>
      <c r="Q60" s="4643"/>
      <c r="R60" s="4643"/>
      <c r="S60" s="4643"/>
      <c r="T60" s="4643"/>
      <c r="U60" s="4643"/>
      <c r="V60" s="4643"/>
      <c r="W60" s="4644"/>
    </row>
    <row r="62" spans="1:23" ht="13.5" customHeight="1" x14ac:dyDescent="0.35"/>
    <row r="63" spans="1:23" ht="9.75" customHeight="1" x14ac:dyDescent="0.35">
      <c r="B63" s="2077"/>
      <c r="C63" s="2077"/>
      <c r="D63" s="2078"/>
      <c r="E63" s="2078"/>
      <c r="F63" s="2078"/>
      <c r="G63" s="2078"/>
      <c r="H63" s="2078"/>
      <c r="I63" s="2078"/>
      <c r="J63" s="2078"/>
      <c r="K63" s="2078"/>
      <c r="L63" s="2078"/>
      <c r="M63" s="3421"/>
    </row>
    <row r="64" spans="1:23" ht="13.5" customHeight="1" x14ac:dyDescent="0.35"/>
    <row r="65" spans="2:12" ht="13.5" customHeight="1" x14ac:dyDescent="0.35"/>
    <row r="66" spans="2:12" ht="12.75" customHeight="1" x14ac:dyDescent="0.35"/>
    <row r="67" spans="2:12" ht="27.75" customHeight="1" x14ac:dyDescent="0.35"/>
    <row r="68" spans="2:12" x14ac:dyDescent="0.35">
      <c r="B68" s="2077"/>
      <c r="C68" s="2077"/>
      <c r="D68" s="140"/>
      <c r="E68" s="140"/>
      <c r="F68" s="140"/>
      <c r="G68" s="140"/>
      <c r="H68" s="140"/>
      <c r="I68" s="140"/>
      <c r="J68" s="140"/>
      <c r="K68" s="140"/>
      <c r="L68" s="140"/>
    </row>
    <row r="69" spans="2:12" x14ac:dyDescent="0.35">
      <c r="B69" s="2077"/>
      <c r="C69" s="2077"/>
      <c r="D69" s="140"/>
      <c r="E69" s="140"/>
      <c r="F69" s="140"/>
      <c r="G69" s="140"/>
      <c r="H69" s="140"/>
      <c r="I69" s="140"/>
      <c r="J69" s="140"/>
      <c r="K69" s="140"/>
      <c r="L69" s="140"/>
    </row>
    <row r="70" spans="2:12" x14ac:dyDescent="0.35">
      <c r="B70" s="2077"/>
      <c r="C70" s="2077"/>
      <c r="D70" s="140"/>
      <c r="E70" s="140"/>
      <c r="F70" s="140"/>
      <c r="G70" s="140"/>
      <c r="H70" s="140"/>
      <c r="I70" s="140"/>
      <c r="J70" s="140"/>
      <c r="K70" s="140"/>
      <c r="L70" s="140"/>
    </row>
    <row r="71" spans="2:12" x14ac:dyDescent="0.35">
      <c r="B71" s="2077"/>
      <c r="C71" s="2077"/>
      <c r="D71" s="140"/>
      <c r="E71" s="140"/>
      <c r="F71" s="140"/>
      <c r="G71" s="140"/>
      <c r="H71" s="140"/>
      <c r="I71" s="140"/>
      <c r="J71" s="140"/>
      <c r="K71" s="140"/>
      <c r="L71" s="140"/>
    </row>
    <row r="72" spans="2:12" x14ac:dyDescent="0.35">
      <c r="B72" s="2077"/>
      <c r="C72" s="2077"/>
      <c r="D72" s="140"/>
      <c r="E72" s="140"/>
      <c r="F72" s="140"/>
      <c r="G72" s="140"/>
      <c r="H72" s="140"/>
      <c r="I72" s="140"/>
      <c r="J72" s="140"/>
      <c r="K72" s="140"/>
      <c r="L72" s="140"/>
    </row>
    <row r="73" spans="2:12" x14ac:dyDescent="0.35">
      <c r="B73" s="2077"/>
      <c r="C73" s="2077"/>
      <c r="D73" s="140"/>
      <c r="E73" s="140"/>
      <c r="F73" s="140"/>
      <c r="G73" s="140"/>
      <c r="H73" s="140"/>
      <c r="I73" s="140"/>
      <c r="J73" s="140"/>
      <c r="K73" s="140"/>
      <c r="L73" s="140"/>
    </row>
    <row r="74" spans="2:12" x14ac:dyDescent="0.35">
      <c r="B74" s="2077"/>
      <c r="C74" s="2077"/>
      <c r="D74" s="140"/>
      <c r="E74" s="140"/>
      <c r="F74" s="140"/>
      <c r="G74" s="140"/>
      <c r="H74" s="140"/>
      <c r="I74" s="140"/>
      <c r="J74" s="140"/>
      <c r="K74" s="140"/>
      <c r="L74" s="140"/>
    </row>
    <row r="75" spans="2:12" x14ac:dyDescent="0.35">
      <c r="B75" s="2077"/>
      <c r="C75" s="2077"/>
      <c r="D75" s="140"/>
      <c r="E75" s="140"/>
      <c r="F75" s="140"/>
      <c r="G75" s="140"/>
      <c r="H75" s="140"/>
      <c r="I75" s="140"/>
      <c r="J75" s="140"/>
      <c r="K75" s="140"/>
      <c r="L75" s="140"/>
    </row>
    <row r="76" spans="2:12" x14ac:dyDescent="0.35">
      <c r="B76" s="2077"/>
      <c r="C76" s="2077"/>
      <c r="D76" s="140"/>
      <c r="E76" s="140"/>
      <c r="F76" s="140"/>
      <c r="G76" s="140"/>
      <c r="H76" s="140"/>
      <c r="I76" s="140"/>
      <c r="J76" s="140"/>
      <c r="K76" s="140"/>
      <c r="L76" s="140"/>
    </row>
    <row r="77" spans="2:12" x14ac:dyDescent="0.35">
      <c r="B77" s="2077"/>
      <c r="C77" s="2077"/>
      <c r="D77" s="140"/>
      <c r="E77" s="140"/>
      <c r="F77" s="140"/>
      <c r="G77" s="140"/>
      <c r="H77" s="140"/>
      <c r="I77" s="140"/>
      <c r="J77" s="140"/>
      <c r="K77" s="140"/>
      <c r="L77" s="140"/>
    </row>
    <row r="78" spans="2:12" x14ac:dyDescent="0.35">
      <c r="B78" s="2077"/>
      <c r="C78" s="2077"/>
      <c r="D78" s="140"/>
      <c r="E78" s="140"/>
      <c r="F78" s="140"/>
      <c r="G78" s="140"/>
      <c r="H78" s="140"/>
      <c r="I78" s="140"/>
      <c r="J78" s="140"/>
      <c r="K78" s="140"/>
      <c r="L78" s="140"/>
    </row>
    <row r="79" spans="2:12" x14ac:dyDescent="0.35">
      <c r="B79" s="2077"/>
      <c r="C79" s="2077"/>
      <c r="D79" s="140"/>
      <c r="E79" s="140"/>
      <c r="F79" s="140"/>
      <c r="G79" s="140"/>
      <c r="H79" s="140"/>
      <c r="I79" s="140"/>
      <c r="J79" s="140"/>
      <c r="K79" s="140"/>
      <c r="L79" s="140"/>
    </row>
    <row r="80" spans="2:12" x14ac:dyDescent="0.35">
      <c r="B80" s="2077"/>
      <c r="C80" s="2077"/>
      <c r="D80" s="140"/>
      <c r="E80" s="140"/>
      <c r="F80" s="140"/>
      <c r="G80" s="140"/>
      <c r="H80" s="140"/>
      <c r="I80" s="140"/>
      <c r="J80" s="140"/>
      <c r="K80" s="140"/>
      <c r="L80" s="140"/>
    </row>
    <row r="81" spans="2:12" x14ac:dyDescent="0.35">
      <c r="B81" s="2077"/>
      <c r="C81" s="2077"/>
      <c r="D81" s="140"/>
      <c r="E81" s="140"/>
      <c r="F81" s="140"/>
      <c r="G81" s="140"/>
      <c r="H81" s="140"/>
      <c r="I81" s="140"/>
      <c r="J81" s="140"/>
      <c r="K81" s="140"/>
      <c r="L81" s="140"/>
    </row>
    <row r="82" spans="2:12" x14ac:dyDescent="0.35">
      <c r="B82" s="2077"/>
      <c r="C82" s="2077"/>
      <c r="D82" s="140"/>
      <c r="E82" s="140"/>
      <c r="F82" s="140"/>
      <c r="G82" s="140"/>
      <c r="H82" s="140"/>
      <c r="I82" s="140"/>
      <c r="J82" s="140"/>
      <c r="K82" s="140"/>
      <c r="L82" s="140"/>
    </row>
    <row r="83" spans="2:12" x14ac:dyDescent="0.35">
      <c r="B83" s="2077"/>
      <c r="C83" s="2077"/>
      <c r="D83" s="140"/>
      <c r="E83" s="140"/>
      <c r="F83" s="140"/>
      <c r="G83" s="140"/>
      <c r="H83" s="140"/>
      <c r="I83" s="140"/>
      <c r="J83" s="140"/>
      <c r="K83" s="140"/>
      <c r="L83" s="140"/>
    </row>
    <row r="84" spans="2:12" x14ac:dyDescent="0.35">
      <c r="B84" s="2077"/>
      <c r="C84" s="2077"/>
      <c r="D84" s="140"/>
      <c r="E84" s="140"/>
      <c r="F84" s="140"/>
      <c r="G84" s="140"/>
      <c r="H84" s="140"/>
      <c r="I84" s="140"/>
      <c r="J84" s="140"/>
      <c r="K84" s="140"/>
      <c r="L84" s="140"/>
    </row>
    <row r="85" spans="2:12" x14ac:dyDescent="0.35">
      <c r="B85" s="2077"/>
      <c r="C85" s="2077"/>
      <c r="D85" s="140"/>
      <c r="E85" s="140"/>
      <c r="F85" s="140"/>
      <c r="G85" s="140"/>
      <c r="H85" s="140"/>
      <c r="I85" s="140"/>
      <c r="J85" s="140"/>
      <c r="K85" s="140"/>
      <c r="L85" s="140"/>
    </row>
    <row r="86" spans="2:12" x14ac:dyDescent="0.35">
      <c r="B86" s="2077"/>
      <c r="C86" s="2077"/>
      <c r="D86" s="140"/>
      <c r="E86" s="140"/>
      <c r="F86" s="140"/>
      <c r="G86" s="140"/>
      <c r="H86" s="140"/>
      <c r="I86" s="140"/>
      <c r="J86" s="140"/>
      <c r="K86" s="140"/>
      <c r="L86" s="140"/>
    </row>
    <row r="87" spans="2:12" x14ac:dyDescent="0.35">
      <c r="B87" s="2077"/>
      <c r="C87" s="2077"/>
      <c r="D87" s="140"/>
      <c r="E87" s="140"/>
      <c r="F87" s="140"/>
      <c r="G87" s="140"/>
      <c r="H87" s="140"/>
      <c r="I87" s="140"/>
      <c r="J87" s="140"/>
      <c r="K87" s="140"/>
      <c r="L87" s="140"/>
    </row>
    <row r="88" spans="2:12" x14ac:dyDescent="0.35">
      <c r="B88" s="2077"/>
      <c r="C88" s="2077"/>
      <c r="D88" s="140"/>
      <c r="E88" s="140"/>
      <c r="F88" s="140"/>
      <c r="G88" s="140"/>
      <c r="H88" s="140"/>
      <c r="I88" s="140"/>
      <c r="J88" s="140"/>
      <c r="K88" s="140"/>
      <c r="L88" s="140"/>
    </row>
    <row r="89" spans="2:12" x14ac:dyDescent="0.35">
      <c r="B89" s="2077"/>
      <c r="C89" s="2077"/>
      <c r="D89" s="140"/>
      <c r="E89" s="140"/>
      <c r="F89" s="140"/>
      <c r="G89" s="140"/>
      <c r="H89" s="140"/>
      <c r="I89" s="140"/>
      <c r="J89" s="140"/>
      <c r="K89" s="140"/>
      <c r="L89" s="140"/>
    </row>
    <row r="90" spans="2:12" x14ac:dyDescent="0.35">
      <c r="B90" s="2077"/>
      <c r="C90" s="2077"/>
      <c r="D90" s="140"/>
      <c r="E90" s="140"/>
      <c r="F90" s="140"/>
      <c r="G90" s="140"/>
      <c r="H90" s="140"/>
      <c r="I90" s="140"/>
      <c r="J90" s="140"/>
      <c r="K90" s="140"/>
      <c r="L90" s="140"/>
    </row>
    <row r="91" spans="2:12" x14ac:dyDescent="0.35">
      <c r="B91" s="2077"/>
      <c r="C91" s="2077"/>
      <c r="D91" s="140"/>
      <c r="E91" s="140"/>
      <c r="F91" s="140"/>
      <c r="G91" s="140"/>
      <c r="H91" s="140"/>
      <c r="I91" s="140"/>
      <c r="J91" s="140"/>
      <c r="K91" s="140"/>
      <c r="L91" s="140"/>
    </row>
    <row r="92" spans="2:12" x14ac:dyDescent="0.35">
      <c r="B92" s="2077"/>
      <c r="C92" s="2077"/>
      <c r="D92" s="140"/>
      <c r="E92" s="140"/>
      <c r="F92" s="140"/>
      <c r="G92" s="140"/>
      <c r="H92" s="140"/>
      <c r="I92" s="140"/>
      <c r="J92" s="140"/>
      <c r="K92" s="140"/>
      <c r="L92" s="140"/>
    </row>
    <row r="93" spans="2:12" x14ac:dyDescent="0.35">
      <c r="B93" s="2077"/>
      <c r="C93" s="2077"/>
      <c r="D93" s="140"/>
      <c r="E93" s="140"/>
      <c r="F93" s="140"/>
      <c r="G93" s="140"/>
      <c r="H93" s="140"/>
      <c r="I93" s="140"/>
      <c r="J93" s="140"/>
      <c r="K93" s="140"/>
      <c r="L93" s="140"/>
    </row>
    <row r="94" spans="2:12" x14ac:dyDescent="0.35">
      <c r="B94" s="2077"/>
      <c r="C94" s="2077"/>
      <c r="D94" s="140"/>
      <c r="E94" s="140"/>
      <c r="F94" s="140"/>
      <c r="G94" s="140"/>
      <c r="H94" s="140"/>
      <c r="I94" s="140"/>
      <c r="J94" s="140"/>
      <c r="K94" s="140"/>
      <c r="L94" s="140"/>
    </row>
    <row r="95" spans="2:12" x14ac:dyDescent="0.35">
      <c r="B95" s="2077"/>
      <c r="C95" s="2077"/>
      <c r="D95" s="140"/>
      <c r="E95" s="140"/>
      <c r="F95" s="140"/>
      <c r="G95" s="140"/>
      <c r="H95" s="140"/>
      <c r="I95" s="140"/>
      <c r="J95" s="140"/>
      <c r="K95" s="140"/>
      <c r="L95" s="140"/>
    </row>
    <row r="96" spans="2:12" x14ac:dyDescent="0.35">
      <c r="B96" s="2077"/>
      <c r="C96" s="2077"/>
      <c r="D96" s="140"/>
      <c r="E96" s="140"/>
      <c r="F96" s="140"/>
      <c r="G96" s="140"/>
      <c r="H96" s="140"/>
      <c r="I96" s="140"/>
      <c r="J96" s="140"/>
      <c r="K96" s="140"/>
      <c r="L96" s="140"/>
    </row>
    <row r="97" spans="2:12" x14ac:dyDescent="0.35">
      <c r="B97" s="2077"/>
      <c r="C97" s="2077"/>
      <c r="D97" s="140"/>
      <c r="E97" s="140"/>
      <c r="F97" s="140"/>
      <c r="G97" s="140"/>
      <c r="H97" s="140"/>
      <c r="I97" s="140"/>
      <c r="J97" s="140"/>
      <c r="K97" s="140"/>
      <c r="L97" s="140"/>
    </row>
    <row r="98" spans="2:12" x14ac:dyDescent="0.35">
      <c r="B98" s="2077"/>
      <c r="C98" s="2077"/>
      <c r="D98" s="140"/>
      <c r="E98" s="140"/>
      <c r="F98" s="140"/>
      <c r="G98" s="140"/>
      <c r="H98" s="140"/>
      <c r="I98" s="140"/>
      <c r="J98" s="140"/>
      <c r="K98" s="140"/>
      <c r="L98" s="140"/>
    </row>
    <row r="99" spans="2:12" x14ac:dyDescent="0.35">
      <c r="B99" s="2077"/>
      <c r="C99" s="2077"/>
      <c r="D99" s="140"/>
      <c r="E99" s="140"/>
      <c r="F99" s="140"/>
      <c r="G99" s="140"/>
      <c r="H99" s="140"/>
      <c r="I99" s="140"/>
      <c r="J99" s="140"/>
      <c r="K99" s="140"/>
      <c r="L99" s="140"/>
    </row>
    <row r="100" spans="2:12" x14ac:dyDescent="0.35">
      <c r="B100" s="2077"/>
      <c r="C100" s="2077"/>
      <c r="D100" s="140"/>
      <c r="E100" s="140"/>
      <c r="F100" s="140"/>
      <c r="G100" s="140"/>
      <c r="H100" s="140"/>
      <c r="I100" s="140"/>
      <c r="J100" s="140"/>
      <c r="K100" s="140"/>
      <c r="L100" s="140"/>
    </row>
    <row r="101" spans="2:12" x14ac:dyDescent="0.35">
      <c r="B101" s="2077"/>
      <c r="C101" s="2077"/>
      <c r="D101" s="140"/>
      <c r="E101" s="140"/>
      <c r="F101" s="140"/>
      <c r="G101" s="140"/>
      <c r="H101" s="140"/>
      <c r="I101" s="140"/>
      <c r="J101" s="140"/>
      <c r="K101" s="140"/>
      <c r="L101" s="140"/>
    </row>
    <row r="102" spans="2:12" x14ac:dyDescent="0.35">
      <c r="B102" s="2077"/>
      <c r="C102" s="2077"/>
      <c r="D102" s="140"/>
      <c r="E102" s="140"/>
      <c r="F102" s="140"/>
      <c r="G102" s="140"/>
      <c r="H102" s="140"/>
      <c r="I102" s="140"/>
      <c r="J102" s="140"/>
      <c r="K102" s="140"/>
      <c r="L102" s="140"/>
    </row>
    <row r="103" spans="2:12" x14ac:dyDescent="0.35">
      <c r="B103" s="2077"/>
      <c r="C103" s="2077"/>
      <c r="D103" s="140"/>
      <c r="E103" s="140"/>
      <c r="F103" s="140"/>
      <c r="G103" s="140"/>
      <c r="H103" s="140"/>
      <c r="I103" s="140"/>
      <c r="J103" s="140"/>
      <c r="K103" s="140"/>
      <c r="L103" s="140"/>
    </row>
    <row r="104" spans="2:12" x14ac:dyDescent="0.35">
      <c r="B104" s="2077"/>
      <c r="C104" s="2077"/>
      <c r="D104" s="140"/>
      <c r="E104" s="140"/>
      <c r="F104" s="140"/>
      <c r="G104" s="140"/>
      <c r="H104" s="140"/>
      <c r="I104" s="140"/>
      <c r="J104" s="140"/>
      <c r="K104" s="140"/>
      <c r="L104" s="140"/>
    </row>
    <row r="105" spans="2:12" x14ac:dyDescent="0.35">
      <c r="B105" s="2077"/>
      <c r="C105" s="2077"/>
      <c r="D105" s="140"/>
      <c r="E105" s="140"/>
      <c r="F105" s="140"/>
      <c r="G105" s="140"/>
      <c r="H105" s="140"/>
      <c r="I105" s="140"/>
      <c r="J105" s="140"/>
      <c r="K105" s="140"/>
      <c r="L105" s="140"/>
    </row>
    <row r="106" spans="2:12" x14ac:dyDescent="0.35">
      <c r="B106" s="2077"/>
      <c r="C106" s="2077"/>
      <c r="D106" s="140"/>
      <c r="E106" s="140"/>
      <c r="F106" s="140"/>
      <c r="G106" s="140"/>
      <c r="H106" s="140"/>
      <c r="I106" s="140"/>
      <c r="J106" s="140"/>
      <c r="K106" s="140"/>
      <c r="L106" s="140"/>
    </row>
    <row r="107" spans="2:12" x14ac:dyDescent="0.35">
      <c r="B107" s="2077"/>
      <c r="C107" s="2077"/>
      <c r="D107" s="140"/>
      <c r="E107" s="140"/>
      <c r="F107" s="140"/>
      <c r="G107" s="140"/>
      <c r="H107" s="140"/>
      <c r="I107" s="140"/>
      <c r="J107" s="140"/>
      <c r="K107" s="140"/>
      <c r="L107" s="140"/>
    </row>
    <row r="108" spans="2:12" x14ac:dyDescent="0.35">
      <c r="B108" s="2077"/>
      <c r="C108" s="2077"/>
      <c r="D108" s="140"/>
      <c r="E108" s="140"/>
      <c r="F108" s="140"/>
      <c r="G108" s="140"/>
      <c r="H108" s="140"/>
      <c r="I108" s="140"/>
      <c r="J108" s="140"/>
      <c r="K108" s="140"/>
      <c r="L108" s="140"/>
    </row>
    <row r="109" spans="2:12" x14ac:dyDescent="0.35">
      <c r="B109" s="2077"/>
      <c r="C109" s="2077"/>
      <c r="D109" s="140"/>
      <c r="E109" s="140"/>
      <c r="F109" s="140"/>
      <c r="G109" s="140"/>
      <c r="H109" s="140"/>
      <c r="I109" s="140"/>
      <c r="J109" s="140"/>
      <c r="K109" s="140"/>
      <c r="L109" s="140"/>
    </row>
    <row r="110" spans="2:12" x14ac:dyDescent="0.35">
      <c r="B110" s="2077"/>
      <c r="C110" s="2077"/>
      <c r="D110" s="140"/>
      <c r="E110" s="140"/>
      <c r="F110" s="140"/>
      <c r="G110" s="140"/>
      <c r="H110" s="140"/>
      <c r="I110" s="140"/>
      <c r="J110" s="140"/>
      <c r="K110" s="140"/>
      <c r="L110" s="140"/>
    </row>
    <row r="111" spans="2:12" x14ac:dyDescent="0.35">
      <c r="B111" s="2077"/>
      <c r="C111" s="2077"/>
      <c r="D111" s="140"/>
      <c r="E111" s="140"/>
      <c r="F111" s="140"/>
      <c r="G111" s="140"/>
      <c r="H111" s="140"/>
      <c r="I111" s="140"/>
      <c r="J111" s="140"/>
      <c r="K111" s="140"/>
      <c r="L111" s="140"/>
    </row>
    <row r="112" spans="2:12" x14ac:dyDescent="0.35">
      <c r="B112" s="2077"/>
      <c r="C112" s="2077"/>
      <c r="D112" s="140"/>
      <c r="E112" s="140"/>
      <c r="F112" s="140"/>
      <c r="G112" s="140"/>
      <c r="H112" s="140"/>
      <c r="I112" s="140"/>
      <c r="J112" s="140"/>
      <c r="K112" s="140"/>
      <c r="L112" s="140"/>
    </row>
    <row r="113" spans="2:12" x14ac:dyDescent="0.35">
      <c r="B113" s="2077"/>
      <c r="C113" s="2077"/>
      <c r="D113" s="140"/>
      <c r="E113" s="140"/>
      <c r="F113" s="140"/>
      <c r="G113" s="140"/>
      <c r="H113" s="140"/>
      <c r="I113" s="140"/>
      <c r="J113" s="140"/>
      <c r="K113" s="140"/>
      <c r="L113" s="140"/>
    </row>
    <row r="114" spans="2:12" x14ac:dyDescent="0.35">
      <c r="B114" s="2077"/>
      <c r="C114" s="2077"/>
      <c r="D114" s="140"/>
      <c r="E114" s="140"/>
      <c r="F114" s="140"/>
      <c r="G114" s="140"/>
      <c r="H114" s="140"/>
      <c r="I114" s="140"/>
      <c r="J114" s="140"/>
      <c r="K114" s="140"/>
      <c r="L114" s="140"/>
    </row>
    <row r="115" spans="2:12" x14ac:dyDescent="0.35">
      <c r="B115" s="2077"/>
      <c r="C115" s="2077"/>
      <c r="D115" s="140"/>
      <c r="E115" s="140"/>
      <c r="F115" s="140"/>
      <c r="G115" s="140"/>
      <c r="H115" s="140"/>
      <c r="I115" s="140"/>
      <c r="J115" s="140"/>
      <c r="K115" s="140"/>
      <c r="L115" s="140"/>
    </row>
    <row r="116" spans="2:12" x14ac:dyDescent="0.35">
      <c r="B116" s="2077"/>
      <c r="C116" s="2077"/>
      <c r="D116" s="140"/>
      <c r="E116" s="140"/>
      <c r="F116" s="140"/>
      <c r="G116" s="140"/>
      <c r="H116" s="140"/>
      <c r="I116" s="140"/>
      <c r="J116" s="140"/>
      <c r="K116" s="140"/>
      <c r="L116" s="140"/>
    </row>
    <row r="117" spans="2:12" x14ac:dyDescent="0.35">
      <c r="B117" s="2077"/>
      <c r="C117" s="2077"/>
      <c r="D117" s="140"/>
      <c r="E117" s="140"/>
      <c r="F117" s="140"/>
      <c r="G117" s="140"/>
      <c r="H117" s="140"/>
      <c r="I117" s="140"/>
      <c r="J117" s="140"/>
      <c r="K117" s="140"/>
      <c r="L117" s="140"/>
    </row>
    <row r="118" spans="2:12" x14ac:dyDescent="0.35">
      <c r="B118" s="2077"/>
      <c r="C118" s="2077"/>
      <c r="D118" s="140"/>
      <c r="E118" s="140"/>
      <c r="F118" s="140"/>
      <c r="G118" s="140"/>
      <c r="H118" s="140"/>
      <c r="I118" s="140"/>
      <c r="J118" s="140"/>
      <c r="K118" s="140"/>
      <c r="L118" s="140"/>
    </row>
    <row r="119" spans="2:12" x14ac:dyDescent="0.35">
      <c r="B119" s="2077"/>
      <c r="C119" s="2077"/>
      <c r="D119" s="140"/>
      <c r="E119" s="140"/>
      <c r="F119" s="140"/>
      <c r="G119" s="140"/>
      <c r="H119" s="140"/>
      <c r="I119" s="140"/>
      <c r="J119" s="140"/>
      <c r="K119" s="140"/>
      <c r="L119" s="140"/>
    </row>
    <row r="120" spans="2:12" x14ac:dyDescent="0.35">
      <c r="B120" s="2077"/>
      <c r="C120" s="2077"/>
      <c r="D120" s="140"/>
      <c r="E120" s="140"/>
      <c r="F120" s="140"/>
      <c r="G120" s="140"/>
      <c r="H120" s="140"/>
      <c r="I120" s="140"/>
      <c r="J120" s="140"/>
      <c r="K120" s="140"/>
      <c r="L120" s="140"/>
    </row>
    <row r="121" spans="2:12" x14ac:dyDescent="0.35">
      <c r="B121" s="2077"/>
      <c r="C121" s="2077"/>
      <c r="D121" s="140"/>
      <c r="E121" s="140"/>
      <c r="F121" s="140"/>
      <c r="G121" s="140"/>
      <c r="H121" s="140"/>
      <c r="I121" s="140"/>
      <c r="J121" s="140"/>
      <c r="K121" s="140"/>
      <c r="L121" s="140"/>
    </row>
    <row r="122" spans="2:12" x14ac:dyDescent="0.35">
      <c r="B122" s="2077"/>
      <c r="C122" s="2077"/>
      <c r="D122" s="140"/>
      <c r="E122" s="140"/>
      <c r="F122" s="140"/>
      <c r="G122" s="140"/>
      <c r="H122" s="140"/>
      <c r="I122" s="140"/>
      <c r="J122" s="140"/>
      <c r="K122" s="140"/>
      <c r="L122" s="140"/>
    </row>
    <row r="123" spans="2:12" x14ac:dyDescent="0.35">
      <c r="B123" s="2077"/>
      <c r="C123" s="2077"/>
      <c r="D123" s="140"/>
      <c r="E123" s="140"/>
      <c r="F123" s="140"/>
      <c r="G123" s="140"/>
      <c r="H123" s="140"/>
      <c r="I123" s="140"/>
      <c r="J123" s="140"/>
      <c r="K123" s="140"/>
      <c r="L123" s="140"/>
    </row>
    <row r="124" spans="2:12" x14ac:dyDescent="0.35">
      <c r="B124" s="2077"/>
      <c r="C124" s="2077"/>
      <c r="D124" s="140"/>
      <c r="E124" s="140"/>
      <c r="F124" s="140"/>
      <c r="G124" s="140"/>
      <c r="H124" s="140"/>
      <c r="I124" s="140"/>
      <c r="J124" s="140"/>
      <c r="K124" s="140"/>
      <c r="L124" s="140"/>
    </row>
    <row r="125" spans="2:12" x14ac:dyDescent="0.35">
      <c r="B125" s="2077"/>
      <c r="C125" s="2077"/>
      <c r="D125" s="140"/>
      <c r="E125" s="140"/>
      <c r="F125" s="140"/>
      <c r="G125" s="140"/>
      <c r="H125" s="140"/>
      <c r="I125" s="140"/>
      <c r="J125" s="140"/>
      <c r="K125" s="140"/>
      <c r="L125" s="140"/>
    </row>
    <row r="126" spans="2:12" x14ac:dyDescent="0.35">
      <c r="B126" s="2077"/>
      <c r="C126" s="2077"/>
      <c r="D126" s="140"/>
      <c r="E126" s="140"/>
      <c r="F126" s="140"/>
      <c r="G126" s="140"/>
      <c r="H126" s="140"/>
      <c r="I126" s="140"/>
      <c r="J126" s="140"/>
      <c r="K126" s="140"/>
      <c r="L126" s="140"/>
    </row>
    <row r="127" spans="2:12" x14ac:dyDescent="0.35">
      <c r="B127" s="2077"/>
      <c r="C127" s="2077"/>
      <c r="D127" s="140"/>
      <c r="E127" s="140"/>
      <c r="F127" s="140"/>
      <c r="G127" s="140"/>
      <c r="H127" s="140"/>
      <c r="I127" s="140"/>
      <c r="J127" s="140"/>
      <c r="K127" s="140"/>
      <c r="L127" s="140"/>
    </row>
    <row r="128" spans="2:12" x14ac:dyDescent="0.35">
      <c r="B128" s="2077"/>
      <c r="C128" s="2077"/>
      <c r="D128" s="140"/>
      <c r="E128" s="140"/>
      <c r="F128" s="140"/>
      <c r="G128" s="140"/>
      <c r="H128" s="140"/>
      <c r="I128" s="140"/>
      <c r="J128" s="140"/>
      <c r="K128" s="140"/>
      <c r="L128" s="140"/>
    </row>
    <row r="129" spans="2:12" x14ac:dyDescent="0.35">
      <c r="B129" s="2077"/>
      <c r="C129" s="2077"/>
      <c r="D129" s="140"/>
      <c r="E129" s="140"/>
      <c r="F129" s="140"/>
      <c r="G129" s="140"/>
      <c r="H129" s="140"/>
      <c r="I129" s="140"/>
      <c r="J129" s="140"/>
      <c r="K129" s="140"/>
      <c r="L129" s="140"/>
    </row>
    <row r="130" spans="2:12" x14ac:dyDescent="0.35">
      <c r="B130" s="2077"/>
      <c r="C130" s="2077"/>
      <c r="D130" s="140"/>
      <c r="E130" s="140"/>
      <c r="F130" s="140"/>
      <c r="G130" s="140"/>
      <c r="H130" s="140"/>
      <c r="I130" s="140"/>
      <c r="J130" s="140"/>
      <c r="K130" s="140"/>
      <c r="L130" s="140"/>
    </row>
    <row r="131" spans="2:12" x14ac:dyDescent="0.35">
      <c r="B131" s="2077"/>
      <c r="C131" s="2077"/>
      <c r="D131" s="140"/>
      <c r="E131" s="140"/>
      <c r="F131" s="140"/>
      <c r="G131" s="140"/>
      <c r="H131" s="140"/>
      <c r="I131" s="140"/>
      <c r="J131" s="140"/>
      <c r="K131" s="140"/>
      <c r="L131" s="140"/>
    </row>
    <row r="132" spans="2:12" x14ac:dyDescent="0.35">
      <c r="B132" s="2077"/>
      <c r="C132" s="2077"/>
      <c r="D132" s="140"/>
      <c r="E132" s="140"/>
      <c r="F132" s="140"/>
      <c r="G132" s="140"/>
      <c r="H132" s="140"/>
      <c r="I132" s="140"/>
      <c r="J132" s="140"/>
      <c r="K132" s="140"/>
      <c r="L132" s="140"/>
    </row>
    <row r="133" spans="2:12" x14ac:dyDescent="0.35">
      <c r="B133" s="2077"/>
      <c r="C133" s="2077"/>
      <c r="D133" s="140"/>
      <c r="E133" s="140"/>
      <c r="F133" s="140"/>
      <c r="G133" s="140"/>
      <c r="H133" s="140"/>
      <c r="I133" s="140"/>
      <c r="J133" s="140"/>
      <c r="K133" s="140"/>
      <c r="L133" s="140"/>
    </row>
    <row r="134" spans="2:12" x14ac:dyDescent="0.35">
      <c r="B134" s="2077"/>
      <c r="C134" s="2077"/>
      <c r="D134" s="140"/>
      <c r="E134" s="140"/>
      <c r="F134" s="140"/>
      <c r="G134" s="140"/>
      <c r="H134" s="140"/>
      <c r="I134" s="140"/>
      <c r="J134" s="140"/>
      <c r="K134" s="140"/>
      <c r="L134" s="140"/>
    </row>
    <row r="135" spans="2:12" x14ac:dyDescent="0.35">
      <c r="B135" s="2077"/>
      <c r="C135" s="2077"/>
      <c r="D135" s="140"/>
      <c r="E135" s="140"/>
      <c r="F135" s="140"/>
      <c r="G135" s="140"/>
      <c r="H135" s="140"/>
      <c r="I135" s="140"/>
      <c r="J135" s="140"/>
      <c r="K135" s="140"/>
      <c r="L135" s="140"/>
    </row>
    <row r="136" spans="2:12" x14ac:dyDescent="0.35">
      <c r="B136" s="2077"/>
      <c r="C136" s="2077"/>
      <c r="D136" s="140"/>
      <c r="E136" s="140"/>
      <c r="F136" s="140"/>
      <c r="G136" s="140"/>
      <c r="H136" s="140"/>
      <c r="I136" s="140"/>
      <c r="J136" s="140"/>
      <c r="K136" s="140"/>
      <c r="L136" s="140"/>
    </row>
    <row r="137" spans="2:12" x14ac:dyDescent="0.35">
      <c r="B137" s="2077"/>
      <c r="C137" s="2077"/>
      <c r="D137" s="140"/>
      <c r="E137" s="140"/>
      <c r="F137" s="140"/>
      <c r="G137" s="140"/>
      <c r="H137" s="140"/>
      <c r="I137" s="140"/>
      <c r="J137" s="140"/>
      <c r="K137" s="140"/>
      <c r="L137" s="140"/>
    </row>
    <row r="138" spans="2:12" x14ac:dyDescent="0.35">
      <c r="B138" s="2077"/>
      <c r="C138" s="2077"/>
      <c r="D138" s="140"/>
      <c r="E138" s="140"/>
      <c r="F138" s="140"/>
      <c r="G138" s="140"/>
      <c r="H138" s="140"/>
      <c r="I138" s="140"/>
      <c r="J138" s="140"/>
      <c r="K138" s="140"/>
      <c r="L138" s="140"/>
    </row>
    <row r="139" spans="2:12" x14ac:dyDescent="0.35">
      <c r="B139" s="2077"/>
      <c r="C139" s="2077"/>
      <c r="D139" s="140"/>
      <c r="E139" s="140"/>
      <c r="F139" s="140"/>
      <c r="G139" s="140"/>
      <c r="H139" s="140"/>
      <c r="I139" s="140"/>
      <c r="J139" s="140"/>
      <c r="K139" s="140"/>
      <c r="L139" s="140"/>
    </row>
    <row r="140" spans="2:12" x14ac:dyDescent="0.35">
      <c r="B140" s="2077"/>
      <c r="C140" s="2077"/>
      <c r="D140" s="140"/>
      <c r="E140" s="140"/>
      <c r="F140" s="140"/>
      <c r="G140" s="140"/>
      <c r="H140" s="140"/>
      <c r="I140" s="140"/>
      <c r="J140" s="140"/>
      <c r="K140" s="140"/>
      <c r="L140" s="140"/>
    </row>
    <row r="141" spans="2:12" x14ac:dyDescent="0.35">
      <c r="B141" s="2077"/>
      <c r="C141" s="2077"/>
      <c r="D141" s="140"/>
      <c r="E141" s="140"/>
      <c r="F141" s="140"/>
      <c r="G141" s="140"/>
      <c r="H141" s="140"/>
      <c r="I141" s="140"/>
      <c r="J141" s="140"/>
      <c r="K141" s="140"/>
      <c r="L141" s="140"/>
    </row>
    <row r="142" spans="2:12" x14ac:dyDescent="0.35">
      <c r="B142" s="2077"/>
      <c r="C142" s="2077"/>
      <c r="D142" s="140"/>
      <c r="E142" s="140"/>
      <c r="F142" s="140"/>
      <c r="G142" s="140"/>
      <c r="H142" s="140"/>
      <c r="I142" s="140"/>
      <c r="J142" s="140"/>
      <c r="K142" s="140"/>
      <c r="L142" s="140"/>
    </row>
    <row r="143" spans="2:12" x14ac:dyDescent="0.35">
      <c r="B143" s="2077"/>
      <c r="C143" s="2077"/>
      <c r="D143" s="140"/>
      <c r="E143" s="140"/>
      <c r="F143" s="140"/>
      <c r="G143" s="140"/>
      <c r="H143" s="140"/>
      <c r="I143" s="140"/>
      <c r="J143" s="140"/>
      <c r="K143" s="140"/>
      <c r="L143" s="140"/>
    </row>
    <row r="144" spans="2:12" x14ac:dyDescent="0.35">
      <c r="B144" s="2077"/>
      <c r="C144" s="2077"/>
      <c r="D144" s="140"/>
      <c r="E144" s="140"/>
      <c r="F144" s="140"/>
      <c r="G144" s="140"/>
      <c r="H144" s="140"/>
      <c r="I144" s="140"/>
      <c r="J144" s="140"/>
      <c r="K144" s="140"/>
      <c r="L144" s="140"/>
    </row>
    <row r="145" spans="2:12" x14ac:dyDescent="0.35">
      <c r="B145" s="2077"/>
      <c r="C145" s="2077"/>
      <c r="D145" s="140"/>
      <c r="E145" s="140"/>
      <c r="F145" s="140"/>
      <c r="G145" s="140"/>
      <c r="H145" s="140"/>
      <c r="I145" s="140"/>
      <c r="J145" s="140"/>
      <c r="K145" s="140"/>
      <c r="L145" s="140"/>
    </row>
    <row r="146" spans="2:12" x14ac:dyDescent="0.35">
      <c r="B146" s="2077"/>
      <c r="C146" s="2077"/>
      <c r="D146" s="140"/>
      <c r="E146" s="140"/>
      <c r="F146" s="140"/>
      <c r="G146" s="140"/>
      <c r="H146" s="140"/>
      <c r="I146" s="140"/>
      <c r="J146" s="140"/>
      <c r="K146" s="140"/>
      <c r="L146" s="140"/>
    </row>
    <row r="147" spans="2:12" x14ac:dyDescent="0.35">
      <c r="B147" s="2077"/>
      <c r="C147" s="2077"/>
      <c r="D147" s="140"/>
      <c r="E147" s="140"/>
      <c r="F147" s="140"/>
      <c r="G147" s="140"/>
      <c r="H147" s="140"/>
      <c r="I147" s="140"/>
      <c r="J147" s="140"/>
      <c r="K147" s="140"/>
      <c r="L147" s="140"/>
    </row>
    <row r="148" spans="2:12" x14ac:dyDescent="0.35">
      <c r="B148" s="2077"/>
      <c r="C148" s="2077"/>
      <c r="D148" s="140"/>
      <c r="E148" s="140"/>
      <c r="F148" s="140"/>
      <c r="G148" s="140"/>
      <c r="H148" s="140"/>
      <c r="I148" s="140"/>
      <c r="J148" s="140"/>
      <c r="K148" s="140"/>
      <c r="L148" s="140"/>
    </row>
    <row r="149" spans="2:12" x14ac:dyDescent="0.35">
      <c r="B149" s="2077"/>
      <c r="C149" s="2077"/>
      <c r="D149" s="140"/>
      <c r="E149" s="140"/>
      <c r="F149" s="140"/>
      <c r="G149" s="140"/>
      <c r="H149" s="140"/>
      <c r="I149" s="140"/>
      <c r="J149" s="140"/>
      <c r="K149" s="140"/>
      <c r="L149" s="140"/>
    </row>
    <row r="150" spans="2:12" x14ac:dyDescent="0.35">
      <c r="B150" s="2077"/>
      <c r="C150" s="2077"/>
      <c r="D150" s="140"/>
      <c r="E150" s="140"/>
      <c r="F150" s="140"/>
      <c r="G150" s="140"/>
      <c r="H150" s="140"/>
      <c r="I150" s="140"/>
      <c r="J150" s="140"/>
      <c r="K150" s="140"/>
      <c r="L150" s="140"/>
    </row>
    <row r="151" spans="2:12" x14ac:dyDescent="0.35">
      <c r="B151" s="2077"/>
      <c r="C151" s="2077"/>
      <c r="D151" s="140"/>
      <c r="E151" s="140"/>
      <c r="F151" s="140"/>
      <c r="G151" s="140"/>
      <c r="H151" s="140"/>
      <c r="I151" s="140"/>
      <c r="J151" s="140"/>
      <c r="K151" s="140"/>
      <c r="L151" s="140"/>
    </row>
    <row r="152" spans="2:12" x14ac:dyDescent="0.35">
      <c r="B152" s="2077"/>
      <c r="C152" s="2077"/>
      <c r="D152" s="140"/>
      <c r="E152" s="140"/>
      <c r="F152" s="140"/>
      <c r="G152" s="140"/>
      <c r="H152" s="140"/>
      <c r="I152" s="140"/>
      <c r="J152" s="140"/>
      <c r="K152" s="140"/>
      <c r="L152" s="140"/>
    </row>
    <row r="153" spans="2:12" x14ac:dyDescent="0.35">
      <c r="B153" s="2077"/>
      <c r="C153" s="2077"/>
      <c r="D153" s="140"/>
      <c r="E153" s="140"/>
      <c r="F153" s="140"/>
      <c r="G153" s="140"/>
      <c r="H153" s="140"/>
      <c r="I153" s="140"/>
      <c r="J153" s="140"/>
      <c r="K153" s="140"/>
      <c r="L153" s="140"/>
    </row>
    <row r="154" spans="2:12" x14ac:dyDescent="0.35">
      <c r="B154" s="2077"/>
      <c r="C154" s="2077"/>
      <c r="D154" s="140"/>
      <c r="E154" s="140"/>
      <c r="F154" s="140"/>
      <c r="G154" s="140"/>
      <c r="H154" s="140"/>
      <c r="I154" s="140"/>
      <c r="J154" s="140"/>
      <c r="K154" s="140"/>
      <c r="L154" s="140"/>
    </row>
    <row r="155" spans="2:12" x14ac:dyDescent="0.35">
      <c r="B155" s="2077"/>
      <c r="C155" s="2077"/>
      <c r="D155" s="140"/>
      <c r="E155" s="140"/>
      <c r="F155" s="140"/>
      <c r="G155" s="140"/>
      <c r="H155" s="140"/>
      <c r="I155" s="140"/>
      <c r="J155" s="140"/>
      <c r="K155" s="140"/>
      <c r="L155" s="140"/>
    </row>
    <row r="156" spans="2:12" x14ac:dyDescent="0.35">
      <c r="B156" s="2077"/>
      <c r="C156" s="2077"/>
      <c r="D156" s="140"/>
      <c r="E156" s="140"/>
      <c r="F156" s="140"/>
      <c r="G156" s="140"/>
      <c r="H156" s="140"/>
      <c r="I156" s="140"/>
      <c r="J156" s="140"/>
      <c r="K156" s="140"/>
      <c r="L156" s="140"/>
    </row>
    <row r="157" spans="2:12" x14ac:dyDescent="0.35">
      <c r="B157" s="2077"/>
      <c r="C157" s="2077"/>
      <c r="D157" s="140"/>
      <c r="E157" s="140"/>
      <c r="F157" s="140"/>
      <c r="G157" s="140"/>
      <c r="H157" s="140"/>
      <c r="I157" s="140"/>
      <c r="J157" s="140"/>
      <c r="K157" s="140"/>
      <c r="L157" s="140"/>
    </row>
    <row r="158" spans="2:12" x14ac:dyDescent="0.35">
      <c r="B158" s="2077"/>
      <c r="C158" s="2077"/>
      <c r="D158" s="140"/>
      <c r="E158" s="140"/>
      <c r="F158" s="140"/>
      <c r="G158" s="140"/>
      <c r="H158" s="140"/>
      <c r="I158" s="140"/>
      <c r="J158" s="140"/>
      <c r="K158" s="140"/>
      <c r="L158" s="140"/>
    </row>
    <row r="159" spans="2:12" x14ac:dyDescent="0.35">
      <c r="B159" s="2077"/>
      <c r="C159" s="2077"/>
      <c r="D159" s="140"/>
      <c r="E159" s="140"/>
      <c r="F159" s="140"/>
      <c r="G159" s="140"/>
      <c r="H159" s="140"/>
      <c r="I159" s="140"/>
      <c r="J159" s="140"/>
      <c r="K159" s="140"/>
      <c r="L159" s="140"/>
    </row>
    <row r="160" spans="2:12" x14ac:dyDescent="0.35">
      <c r="B160" s="2077"/>
      <c r="C160" s="2077"/>
      <c r="D160" s="140"/>
      <c r="E160" s="140"/>
      <c r="F160" s="140"/>
      <c r="G160" s="140"/>
      <c r="H160" s="140"/>
      <c r="I160" s="140"/>
      <c r="J160" s="140"/>
      <c r="K160" s="140"/>
      <c r="L160" s="140"/>
    </row>
    <row r="161" spans="2:12" x14ac:dyDescent="0.35">
      <c r="B161" s="2077"/>
      <c r="C161" s="2077"/>
      <c r="D161" s="140"/>
      <c r="E161" s="140"/>
      <c r="F161" s="140"/>
      <c r="G161" s="140"/>
      <c r="H161" s="140"/>
      <c r="I161" s="140"/>
      <c r="J161" s="140"/>
      <c r="K161" s="140"/>
      <c r="L161" s="140"/>
    </row>
    <row r="162" spans="2:12" x14ac:dyDescent="0.35">
      <c r="B162" s="2077"/>
      <c r="C162" s="2077"/>
      <c r="D162" s="140"/>
      <c r="E162" s="140"/>
      <c r="F162" s="140"/>
      <c r="G162" s="140"/>
      <c r="H162" s="140"/>
      <c r="I162" s="140"/>
      <c r="J162" s="140"/>
      <c r="K162" s="140"/>
      <c r="L162" s="140"/>
    </row>
    <row r="163" spans="2:12" x14ac:dyDescent="0.35">
      <c r="B163" s="2077"/>
      <c r="C163" s="2077"/>
      <c r="D163" s="140"/>
      <c r="E163" s="140"/>
      <c r="F163" s="140"/>
      <c r="G163" s="140"/>
      <c r="H163" s="140"/>
      <c r="I163" s="140"/>
      <c r="J163" s="140"/>
      <c r="K163" s="140"/>
      <c r="L163" s="140"/>
    </row>
    <row r="164" spans="2:12" x14ac:dyDescent="0.35">
      <c r="B164" s="2077"/>
      <c r="C164" s="2077"/>
      <c r="D164" s="140"/>
      <c r="E164" s="140"/>
      <c r="F164" s="140"/>
      <c r="G164" s="140"/>
      <c r="H164" s="140"/>
      <c r="I164" s="140"/>
      <c r="J164" s="140"/>
      <c r="K164" s="140"/>
      <c r="L164" s="140"/>
    </row>
    <row r="165" spans="2:12" x14ac:dyDescent="0.35">
      <c r="B165" s="2077"/>
      <c r="C165" s="2077"/>
      <c r="D165" s="140"/>
      <c r="E165" s="140"/>
      <c r="F165" s="140"/>
      <c r="G165" s="140"/>
      <c r="H165" s="140"/>
      <c r="I165" s="140"/>
      <c r="J165" s="140"/>
      <c r="K165" s="140"/>
      <c r="L165" s="140"/>
    </row>
    <row r="166" spans="2:12" x14ac:dyDescent="0.35">
      <c r="B166" s="2077"/>
      <c r="C166" s="2077"/>
      <c r="D166" s="140"/>
      <c r="E166" s="140"/>
      <c r="F166" s="140"/>
      <c r="G166" s="140"/>
      <c r="H166" s="140"/>
      <c r="I166" s="140"/>
      <c r="J166" s="140"/>
      <c r="K166" s="140"/>
      <c r="L166" s="140"/>
    </row>
    <row r="167" spans="2:12" x14ac:dyDescent="0.35">
      <c r="B167" s="2077"/>
      <c r="C167" s="2077"/>
      <c r="D167" s="140"/>
      <c r="E167" s="140"/>
      <c r="F167" s="140"/>
      <c r="G167" s="140"/>
      <c r="H167" s="140"/>
      <c r="I167" s="140"/>
      <c r="J167" s="140"/>
      <c r="K167" s="140"/>
      <c r="L167" s="140"/>
    </row>
    <row r="168" spans="2:12" x14ac:dyDescent="0.35">
      <c r="B168" s="2077"/>
      <c r="C168" s="2077"/>
      <c r="D168" s="140"/>
      <c r="E168" s="140"/>
      <c r="F168" s="140"/>
      <c r="G168" s="140"/>
      <c r="H168" s="140"/>
      <c r="I168" s="140"/>
      <c r="J168" s="140"/>
      <c r="K168" s="140"/>
      <c r="L168" s="140"/>
    </row>
    <row r="169" spans="2:12" x14ac:dyDescent="0.35">
      <c r="B169" s="2077"/>
      <c r="C169" s="2077"/>
      <c r="D169" s="140"/>
      <c r="E169" s="140"/>
      <c r="F169" s="140"/>
      <c r="G169" s="140"/>
      <c r="H169" s="140"/>
      <c r="I169" s="140"/>
      <c r="J169" s="140"/>
      <c r="K169" s="140"/>
      <c r="L169" s="140"/>
    </row>
    <row r="170" spans="2:12" x14ac:dyDescent="0.35">
      <c r="B170" s="2077"/>
      <c r="C170" s="2077"/>
      <c r="D170" s="140"/>
      <c r="E170" s="140"/>
      <c r="F170" s="140"/>
      <c r="G170" s="140"/>
      <c r="H170" s="140"/>
      <c r="I170" s="140"/>
      <c r="J170" s="140"/>
      <c r="K170" s="140"/>
      <c r="L170" s="140"/>
    </row>
    <row r="171" spans="2:12" x14ac:dyDescent="0.35">
      <c r="B171" s="2077"/>
      <c r="C171" s="2077"/>
      <c r="D171" s="140"/>
      <c r="E171" s="140"/>
      <c r="F171" s="140"/>
      <c r="G171" s="140"/>
      <c r="H171" s="140"/>
      <c r="I171" s="140"/>
      <c r="J171" s="140"/>
      <c r="K171" s="140"/>
      <c r="L171" s="140"/>
    </row>
    <row r="172" spans="2:12" x14ac:dyDescent="0.35">
      <c r="B172" s="2077"/>
      <c r="C172" s="2077"/>
      <c r="D172" s="140"/>
      <c r="E172" s="140"/>
      <c r="F172" s="140"/>
      <c r="G172" s="140"/>
      <c r="H172" s="140"/>
      <c r="I172" s="140"/>
      <c r="J172" s="140"/>
      <c r="K172" s="140"/>
      <c r="L172" s="140"/>
    </row>
    <row r="173" spans="2:12" x14ac:dyDescent="0.35">
      <c r="B173" s="2077"/>
      <c r="C173" s="2077"/>
      <c r="D173" s="140"/>
      <c r="E173" s="140"/>
      <c r="F173" s="140"/>
      <c r="G173" s="140"/>
      <c r="H173" s="140"/>
      <c r="I173" s="140"/>
      <c r="J173" s="140"/>
      <c r="K173" s="140"/>
      <c r="L173" s="140"/>
    </row>
    <row r="174" spans="2:12" x14ac:dyDescent="0.35">
      <c r="B174" s="2077"/>
      <c r="C174" s="2077"/>
      <c r="D174" s="140"/>
      <c r="E174" s="140"/>
      <c r="F174" s="140"/>
      <c r="G174" s="140"/>
      <c r="H174" s="140"/>
      <c r="I174" s="140"/>
      <c r="J174" s="140"/>
      <c r="K174" s="140"/>
      <c r="L174" s="140"/>
    </row>
    <row r="175" spans="2:12" x14ac:dyDescent="0.35">
      <c r="B175" s="2077"/>
      <c r="C175" s="2077"/>
      <c r="D175" s="140"/>
      <c r="E175" s="140"/>
      <c r="F175" s="140"/>
      <c r="G175" s="140"/>
      <c r="H175" s="140"/>
      <c r="I175" s="140"/>
      <c r="J175" s="140"/>
      <c r="K175" s="140"/>
      <c r="L175" s="140"/>
    </row>
    <row r="176" spans="2:12" x14ac:dyDescent="0.35">
      <c r="B176" s="2077"/>
      <c r="C176" s="2077"/>
      <c r="D176" s="140"/>
      <c r="E176" s="140"/>
      <c r="F176" s="140"/>
      <c r="G176" s="140"/>
      <c r="H176" s="140"/>
      <c r="I176" s="140"/>
      <c r="J176" s="140"/>
      <c r="K176" s="140"/>
      <c r="L176" s="140"/>
    </row>
    <row r="177" spans="2:12" x14ac:dyDescent="0.35">
      <c r="B177" s="2077"/>
      <c r="C177" s="2077"/>
      <c r="D177" s="140"/>
      <c r="E177" s="140"/>
      <c r="F177" s="140"/>
      <c r="G177" s="140"/>
      <c r="H177" s="140"/>
      <c r="I177" s="140"/>
      <c r="J177" s="140"/>
      <c r="K177" s="140"/>
      <c r="L177" s="140"/>
    </row>
    <row r="178" spans="2:12" x14ac:dyDescent="0.35">
      <c r="B178" s="2077"/>
      <c r="C178" s="2077"/>
      <c r="D178" s="140"/>
      <c r="E178" s="140"/>
      <c r="F178" s="140"/>
      <c r="G178" s="140"/>
      <c r="H178" s="140"/>
      <c r="I178" s="140"/>
      <c r="J178" s="140"/>
      <c r="K178" s="140"/>
      <c r="L178" s="140"/>
    </row>
    <row r="179" spans="2:12" x14ac:dyDescent="0.35">
      <c r="B179" s="2077"/>
      <c r="C179" s="2077"/>
      <c r="D179" s="140"/>
      <c r="E179" s="140"/>
      <c r="F179" s="140"/>
      <c r="G179" s="140"/>
      <c r="H179" s="140"/>
      <c r="I179" s="140"/>
      <c r="J179" s="140"/>
      <c r="K179" s="140"/>
      <c r="L179" s="140"/>
    </row>
    <row r="180" spans="2:12" x14ac:dyDescent="0.35">
      <c r="B180" s="2077"/>
      <c r="C180" s="2077"/>
      <c r="D180" s="140"/>
      <c r="E180" s="140"/>
      <c r="F180" s="140"/>
      <c r="G180" s="140"/>
      <c r="H180" s="140"/>
      <c r="I180" s="140"/>
      <c r="J180" s="140"/>
      <c r="K180" s="140"/>
      <c r="L180" s="140"/>
    </row>
    <row r="181" spans="2:12" x14ac:dyDescent="0.35">
      <c r="B181" s="2077"/>
      <c r="C181" s="2077"/>
      <c r="D181" s="140"/>
      <c r="E181" s="140"/>
      <c r="F181" s="140"/>
      <c r="G181" s="140"/>
      <c r="H181" s="140"/>
      <c r="I181" s="140"/>
      <c r="J181" s="140"/>
      <c r="K181" s="140"/>
      <c r="L181" s="140"/>
    </row>
    <row r="182" spans="2:12" x14ac:dyDescent="0.35">
      <c r="B182" s="2077"/>
      <c r="C182" s="2077"/>
      <c r="D182" s="140"/>
      <c r="E182" s="140"/>
      <c r="F182" s="140"/>
      <c r="G182" s="140"/>
      <c r="H182" s="140"/>
      <c r="I182" s="140"/>
      <c r="J182" s="140"/>
      <c r="K182" s="140"/>
      <c r="L182" s="140"/>
    </row>
    <row r="183" spans="2:12" x14ac:dyDescent="0.35">
      <c r="B183" s="2077"/>
      <c r="C183" s="2077"/>
      <c r="D183" s="140"/>
      <c r="E183" s="140"/>
      <c r="F183" s="140"/>
      <c r="G183" s="140"/>
      <c r="H183" s="140"/>
      <c r="I183" s="140"/>
      <c r="J183" s="140"/>
      <c r="K183" s="140"/>
      <c r="L183" s="140"/>
    </row>
    <row r="184" spans="2:12" x14ac:dyDescent="0.35">
      <c r="B184" s="2077"/>
      <c r="C184" s="2077"/>
      <c r="D184" s="140"/>
      <c r="E184" s="140"/>
      <c r="F184" s="140"/>
      <c r="G184" s="140"/>
      <c r="H184" s="140"/>
      <c r="I184" s="140"/>
      <c r="J184" s="140"/>
      <c r="K184" s="140"/>
      <c r="L184" s="140"/>
    </row>
    <row r="185" spans="2:12" x14ac:dyDescent="0.35">
      <c r="B185" s="2077"/>
      <c r="C185" s="2077"/>
      <c r="D185" s="140"/>
      <c r="E185" s="140"/>
      <c r="F185" s="140"/>
      <c r="G185" s="140"/>
      <c r="H185" s="140"/>
      <c r="I185" s="140"/>
      <c r="J185" s="140"/>
      <c r="K185" s="140"/>
      <c r="L185" s="140"/>
    </row>
    <row r="186" spans="2:12" x14ac:dyDescent="0.35">
      <c r="B186" s="2077"/>
      <c r="C186" s="2077"/>
      <c r="D186" s="140"/>
      <c r="E186" s="140"/>
      <c r="F186" s="140"/>
      <c r="G186" s="140"/>
      <c r="H186" s="140"/>
      <c r="I186" s="140"/>
      <c r="J186" s="140"/>
      <c r="K186" s="140"/>
      <c r="L186" s="140"/>
    </row>
    <row r="187" spans="2:12" x14ac:dyDescent="0.35">
      <c r="B187" s="2077"/>
      <c r="C187" s="2077"/>
      <c r="D187" s="140"/>
      <c r="E187" s="140"/>
      <c r="F187" s="140"/>
      <c r="G187" s="140"/>
      <c r="H187" s="140"/>
      <c r="I187" s="140"/>
      <c r="J187" s="140"/>
      <c r="K187" s="140"/>
      <c r="L187" s="140"/>
    </row>
    <row r="188" spans="2:12" x14ac:dyDescent="0.35">
      <c r="B188" s="2077"/>
      <c r="C188" s="2077"/>
      <c r="D188" s="140"/>
      <c r="E188" s="140"/>
      <c r="F188" s="140"/>
      <c r="G188" s="140"/>
      <c r="H188" s="140"/>
      <c r="I188" s="140"/>
      <c r="J188" s="140"/>
      <c r="K188" s="140"/>
      <c r="L188" s="140"/>
    </row>
    <row r="189" spans="2:12" x14ac:dyDescent="0.35">
      <c r="B189" s="2077"/>
      <c r="C189" s="2077"/>
      <c r="D189" s="140"/>
      <c r="E189" s="140"/>
      <c r="F189" s="140"/>
      <c r="G189" s="140"/>
      <c r="H189" s="140"/>
      <c r="I189" s="140"/>
      <c r="J189" s="140"/>
      <c r="K189" s="140"/>
      <c r="L189" s="140"/>
    </row>
    <row r="190" spans="2:12" x14ac:dyDescent="0.35">
      <c r="B190" s="2077"/>
      <c r="C190" s="2077"/>
      <c r="D190" s="140"/>
      <c r="E190" s="140"/>
      <c r="F190" s="140"/>
      <c r="G190" s="140"/>
      <c r="H190" s="140"/>
      <c r="I190" s="140"/>
      <c r="J190" s="140"/>
      <c r="K190" s="140"/>
      <c r="L190" s="140"/>
    </row>
    <row r="191" spans="2:12" x14ac:dyDescent="0.35">
      <c r="B191" s="2077"/>
      <c r="C191" s="2077"/>
      <c r="D191" s="140"/>
      <c r="E191" s="140"/>
      <c r="F191" s="140"/>
      <c r="G191" s="140"/>
      <c r="H191" s="140"/>
      <c r="I191" s="140"/>
      <c r="J191" s="140"/>
      <c r="K191" s="140"/>
      <c r="L191" s="140"/>
    </row>
    <row r="192" spans="2:12" x14ac:dyDescent="0.35">
      <c r="B192" s="2077"/>
      <c r="C192" s="2077"/>
      <c r="D192" s="140"/>
      <c r="E192" s="140"/>
      <c r="F192" s="140"/>
      <c r="G192" s="140"/>
      <c r="H192" s="140"/>
      <c r="I192" s="140"/>
      <c r="J192" s="140"/>
      <c r="K192" s="140"/>
      <c r="L192" s="140"/>
    </row>
    <row r="193" spans="2:12" x14ac:dyDescent="0.35">
      <c r="B193" s="2077"/>
      <c r="C193" s="2077"/>
      <c r="D193" s="140"/>
      <c r="E193" s="140"/>
      <c r="F193" s="140"/>
      <c r="G193" s="140"/>
      <c r="H193" s="140"/>
      <c r="I193" s="140"/>
      <c r="J193" s="140"/>
      <c r="K193" s="140"/>
      <c r="L193" s="140"/>
    </row>
    <row r="194" spans="2:12" x14ac:dyDescent="0.35">
      <c r="B194" s="2077"/>
      <c r="C194" s="2077"/>
      <c r="D194" s="140"/>
      <c r="E194" s="140"/>
      <c r="F194" s="140"/>
      <c r="G194" s="140"/>
      <c r="H194" s="140"/>
      <c r="I194" s="140"/>
      <c r="J194" s="140"/>
      <c r="K194" s="140"/>
      <c r="L194" s="140"/>
    </row>
    <row r="195" spans="2:12" x14ac:dyDescent="0.35">
      <c r="B195" s="2077"/>
      <c r="C195" s="2077"/>
      <c r="D195" s="140"/>
      <c r="E195" s="140"/>
      <c r="F195" s="140"/>
      <c r="G195" s="140"/>
      <c r="H195" s="140"/>
      <c r="I195" s="140"/>
      <c r="J195" s="140"/>
      <c r="K195" s="140"/>
      <c r="L195" s="140"/>
    </row>
    <row r="196" spans="2:12" x14ac:dyDescent="0.35">
      <c r="B196" s="2077"/>
      <c r="C196" s="2077"/>
      <c r="D196" s="140"/>
      <c r="E196" s="140"/>
      <c r="F196" s="140"/>
      <c r="G196" s="140"/>
      <c r="H196" s="140"/>
      <c r="I196" s="140"/>
      <c r="J196" s="140"/>
      <c r="K196" s="140"/>
      <c r="L196" s="140"/>
    </row>
    <row r="197" spans="2:12" x14ac:dyDescent="0.35">
      <c r="B197" s="2077"/>
      <c r="C197" s="2077"/>
      <c r="D197" s="140"/>
      <c r="E197" s="140"/>
      <c r="F197" s="140"/>
      <c r="G197" s="140"/>
      <c r="H197" s="140"/>
      <c r="I197" s="140"/>
      <c r="J197" s="140"/>
      <c r="K197" s="140"/>
      <c r="L197" s="140"/>
    </row>
    <row r="198" spans="2:12" x14ac:dyDescent="0.35">
      <c r="B198" s="2077"/>
      <c r="C198" s="2077"/>
      <c r="D198" s="140"/>
      <c r="E198" s="140"/>
      <c r="F198" s="140"/>
      <c r="G198" s="140"/>
      <c r="H198" s="140"/>
      <c r="I198" s="140"/>
      <c r="J198" s="140"/>
      <c r="K198" s="140"/>
      <c r="L198" s="140"/>
    </row>
    <row r="199" spans="2:12" x14ac:dyDescent="0.35">
      <c r="B199" s="2077"/>
      <c r="C199" s="2077"/>
      <c r="D199" s="140"/>
      <c r="E199" s="140"/>
      <c r="F199" s="140"/>
      <c r="G199" s="140"/>
      <c r="H199" s="140"/>
      <c r="I199" s="140"/>
      <c r="J199" s="140"/>
      <c r="K199" s="140"/>
      <c r="L199" s="140"/>
    </row>
    <row r="200" spans="2:12" x14ac:dyDescent="0.35">
      <c r="B200" s="2077"/>
      <c r="C200" s="2077"/>
      <c r="D200" s="140"/>
      <c r="E200" s="140"/>
      <c r="F200" s="140"/>
      <c r="G200" s="140"/>
      <c r="H200" s="140"/>
      <c r="I200" s="140"/>
      <c r="J200" s="140"/>
      <c r="K200" s="140"/>
      <c r="L200" s="140"/>
    </row>
    <row r="201" spans="2:12" x14ac:dyDescent="0.35">
      <c r="B201" s="2077"/>
      <c r="C201" s="2077"/>
      <c r="D201" s="140"/>
      <c r="E201" s="140"/>
      <c r="F201" s="140"/>
      <c r="G201" s="140"/>
      <c r="H201" s="140"/>
      <c r="I201" s="140"/>
      <c r="J201" s="140"/>
      <c r="K201" s="140"/>
      <c r="L201" s="140"/>
    </row>
    <row r="202" spans="2:12" x14ac:dyDescent="0.35">
      <c r="B202" s="2077"/>
      <c r="C202" s="2077"/>
      <c r="D202" s="140"/>
      <c r="E202" s="140"/>
      <c r="F202" s="140"/>
      <c r="G202" s="140"/>
      <c r="H202" s="140"/>
      <c r="I202" s="140"/>
      <c r="J202" s="140"/>
      <c r="K202" s="140"/>
      <c r="L202" s="140"/>
    </row>
    <row r="203" spans="2:12" x14ac:dyDescent="0.35">
      <c r="B203" s="2077"/>
      <c r="C203" s="2077"/>
      <c r="D203" s="140"/>
      <c r="E203" s="140"/>
      <c r="F203" s="140"/>
      <c r="G203" s="140"/>
      <c r="H203" s="140"/>
      <c r="I203" s="140"/>
      <c r="J203" s="140"/>
      <c r="K203" s="140"/>
      <c r="L203" s="140"/>
    </row>
    <row r="204" spans="2:12" x14ac:dyDescent="0.35">
      <c r="B204" s="2077"/>
      <c r="C204" s="2077"/>
      <c r="D204" s="140"/>
      <c r="E204" s="140"/>
      <c r="F204" s="140"/>
      <c r="G204" s="140"/>
      <c r="H204" s="140"/>
      <c r="I204" s="140"/>
      <c r="J204" s="140"/>
      <c r="K204" s="140"/>
      <c r="L204" s="140"/>
    </row>
    <row r="205" spans="2:12" x14ac:dyDescent="0.35">
      <c r="B205" s="2077"/>
      <c r="C205" s="2077"/>
      <c r="D205" s="140"/>
      <c r="E205" s="140"/>
      <c r="F205" s="140"/>
      <c r="G205" s="140"/>
      <c r="H205" s="140"/>
      <c r="I205" s="140"/>
      <c r="J205" s="140"/>
      <c r="K205" s="140"/>
      <c r="L205" s="140"/>
    </row>
    <row r="206" spans="2:12" x14ac:dyDescent="0.35">
      <c r="B206" s="2077"/>
      <c r="C206" s="2077"/>
      <c r="D206" s="140"/>
      <c r="E206" s="140"/>
      <c r="F206" s="140"/>
      <c r="G206" s="140"/>
      <c r="H206" s="140"/>
      <c r="I206" s="140"/>
      <c r="J206" s="140"/>
      <c r="K206" s="140"/>
      <c r="L206" s="140"/>
    </row>
    <row r="207" spans="2:12" x14ac:dyDescent="0.35">
      <c r="B207" s="2077"/>
      <c r="C207" s="2077"/>
      <c r="D207" s="140"/>
      <c r="E207" s="140"/>
      <c r="F207" s="140"/>
      <c r="G207" s="140"/>
      <c r="H207" s="140"/>
      <c r="I207" s="140"/>
      <c r="J207" s="140"/>
      <c r="K207" s="140"/>
      <c r="L207" s="140"/>
    </row>
    <row r="208" spans="2:12" x14ac:dyDescent="0.35">
      <c r="B208" s="2077"/>
      <c r="C208" s="2077"/>
      <c r="D208" s="140"/>
      <c r="E208" s="140"/>
      <c r="F208" s="140"/>
      <c r="G208" s="140"/>
      <c r="H208" s="140"/>
      <c r="I208" s="140"/>
      <c r="J208" s="140"/>
      <c r="K208" s="140"/>
      <c r="L208" s="140"/>
    </row>
    <row r="209" spans="2:12" x14ac:dyDescent="0.35">
      <c r="B209" s="2077"/>
      <c r="C209" s="2077"/>
      <c r="D209" s="140"/>
      <c r="E209" s="140"/>
      <c r="F209" s="140"/>
      <c r="G209" s="140"/>
      <c r="H209" s="140"/>
      <c r="I209" s="140"/>
      <c r="J209" s="140"/>
      <c r="K209" s="140"/>
      <c r="L209" s="140"/>
    </row>
    <row r="210" spans="2:12" x14ac:dyDescent="0.35">
      <c r="B210" s="2077"/>
      <c r="C210" s="2077"/>
      <c r="D210" s="140"/>
      <c r="E210" s="140"/>
      <c r="F210" s="140"/>
      <c r="G210" s="140"/>
      <c r="H210" s="140"/>
      <c r="I210" s="140"/>
      <c r="J210" s="140"/>
      <c r="K210" s="140"/>
      <c r="L210" s="140"/>
    </row>
    <row r="211" spans="2:12" x14ac:dyDescent="0.35">
      <c r="B211" s="2077"/>
      <c r="C211" s="2077"/>
      <c r="D211" s="140"/>
      <c r="E211" s="140"/>
      <c r="F211" s="140"/>
      <c r="G211" s="140"/>
      <c r="H211" s="140"/>
      <c r="I211" s="140"/>
      <c r="J211" s="140"/>
      <c r="K211" s="140"/>
      <c r="L211" s="140"/>
    </row>
    <row r="212" spans="2:12" x14ac:dyDescent="0.35">
      <c r="B212" s="2077"/>
      <c r="C212" s="2077"/>
      <c r="D212" s="140"/>
      <c r="E212" s="140"/>
      <c r="F212" s="140"/>
      <c r="G212" s="140"/>
      <c r="H212" s="140"/>
      <c r="I212" s="140"/>
      <c r="J212" s="140"/>
      <c r="K212" s="140"/>
      <c r="L212" s="140"/>
    </row>
    <row r="213" spans="2:12" x14ac:dyDescent="0.35">
      <c r="B213" s="2077"/>
      <c r="C213" s="2077"/>
      <c r="D213" s="140"/>
      <c r="E213" s="140"/>
      <c r="F213" s="140"/>
      <c r="G213" s="140"/>
      <c r="H213" s="140"/>
      <c r="I213" s="140"/>
      <c r="J213" s="140"/>
      <c r="K213" s="140"/>
      <c r="L213" s="140"/>
    </row>
    <row r="214" spans="2:12" x14ac:dyDescent="0.35">
      <c r="B214" s="2077"/>
      <c r="C214" s="2077"/>
      <c r="D214" s="140"/>
      <c r="E214" s="140"/>
      <c r="F214" s="140"/>
      <c r="G214" s="140"/>
      <c r="H214" s="140"/>
      <c r="I214" s="140"/>
      <c r="J214" s="140"/>
      <c r="K214" s="140"/>
      <c r="L214" s="140"/>
    </row>
    <row r="215" spans="2:12" x14ac:dyDescent="0.35">
      <c r="B215" s="2077"/>
      <c r="C215" s="2077"/>
      <c r="D215" s="140"/>
      <c r="E215" s="140"/>
      <c r="F215" s="140"/>
      <c r="G215" s="140"/>
      <c r="H215" s="140"/>
      <c r="I215" s="140"/>
      <c r="J215" s="140"/>
      <c r="K215" s="140"/>
      <c r="L215" s="140"/>
    </row>
    <row r="216" spans="2:12" x14ac:dyDescent="0.35">
      <c r="B216" s="2077"/>
      <c r="C216" s="2077"/>
      <c r="D216" s="140"/>
      <c r="E216" s="140"/>
      <c r="F216" s="140"/>
      <c r="G216" s="140"/>
      <c r="H216" s="140"/>
      <c r="I216" s="140"/>
      <c r="J216" s="140"/>
      <c r="K216" s="140"/>
      <c r="L216" s="140"/>
    </row>
    <row r="217" spans="2:12" x14ac:dyDescent="0.35">
      <c r="B217" s="2077"/>
      <c r="C217" s="2077"/>
      <c r="D217" s="140"/>
      <c r="E217" s="140"/>
      <c r="F217" s="140"/>
      <c r="G217" s="140"/>
      <c r="H217" s="140"/>
      <c r="I217" s="140"/>
      <c r="J217" s="140"/>
      <c r="K217" s="140"/>
      <c r="L217" s="140"/>
    </row>
    <row r="218" spans="2:12" x14ac:dyDescent="0.35">
      <c r="B218" s="2077"/>
      <c r="C218" s="2077"/>
      <c r="D218" s="140"/>
      <c r="E218" s="140"/>
      <c r="F218" s="140"/>
      <c r="G218" s="140"/>
      <c r="H218" s="140"/>
      <c r="I218" s="140"/>
      <c r="J218" s="140"/>
      <c r="K218" s="140"/>
      <c r="L218" s="140"/>
    </row>
    <row r="219" spans="2:12" x14ac:dyDescent="0.35">
      <c r="B219" s="2077"/>
      <c r="C219" s="2077"/>
      <c r="D219" s="140"/>
      <c r="E219" s="140"/>
      <c r="F219" s="140"/>
      <c r="G219" s="140"/>
      <c r="H219" s="140"/>
      <c r="I219" s="140"/>
      <c r="J219" s="140"/>
      <c r="K219" s="140"/>
      <c r="L219" s="140"/>
    </row>
    <row r="220" spans="2:12" x14ac:dyDescent="0.35">
      <c r="B220" s="2077"/>
      <c r="C220" s="2077"/>
      <c r="D220" s="140"/>
      <c r="E220" s="140"/>
      <c r="F220" s="140"/>
      <c r="G220" s="140"/>
      <c r="H220" s="140"/>
      <c r="I220" s="140"/>
      <c r="J220" s="140"/>
      <c r="K220" s="140"/>
      <c r="L220" s="140"/>
    </row>
    <row r="221" spans="2:12" x14ac:dyDescent="0.35">
      <c r="B221" s="2077"/>
      <c r="C221" s="2077"/>
      <c r="D221" s="140"/>
      <c r="E221" s="140"/>
      <c r="F221" s="140"/>
      <c r="G221" s="140"/>
      <c r="H221" s="140"/>
      <c r="I221" s="140"/>
      <c r="J221" s="140"/>
      <c r="K221" s="140"/>
      <c r="L221" s="140"/>
    </row>
    <row r="222" spans="2:12" x14ac:dyDescent="0.35">
      <c r="B222" s="2077"/>
      <c r="C222" s="2077"/>
      <c r="D222" s="140"/>
      <c r="E222" s="140"/>
      <c r="F222" s="140"/>
      <c r="G222" s="140"/>
      <c r="H222" s="140"/>
      <c r="I222" s="140"/>
      <c r="J222" s="140"/>
      <c r="K222" s="140"/>
      <c r="L222" s="140"/>
    </row>
    <row r="223" spans="2:12" x14ac:dyDescent="0.35">
      <c r="B223" s="2077"/>
      <c r="C223" s="2077"/>
      <c r="D223" s="140"/>
      <c r="E223" s="140"/>
      <c r="F223" s="140"/>
      <c r="G223" s="140"/>
      <c r="H223" s="140"/>
      <c r="I223" s="140"/>
      <c r="J223" s="140"/>
      <c r="K223" s="140"/>
      <c r="L223" s="140"/>
    </row>
    <row r="224" spans="2:12" x14ac:dyDescent="0.35">
      <c r="B224" s="2077"/>
      <c r="C224" s="2077"/>
      <c r="D224" s="140"/>
      <c r="E224" s="140"/>
      <c r="F224" s="140"/>
      <c r="G224" s="140"/>
      <c r="H224" s="140"/>
      <c r="I224" s="140"/>
      <c r="J224" s="140"/>
      <c r="K224" s="140"/>
      <c r="L224" s="140"/>
    </row>
    <row r="225" spans="1:12" x14ac:dyDescent="0.35">
      <c r="B225" s="2077"/>
      <c r="C225" s="2077"/>
      <c r="D225" s="140"/>
      <c r="E225" s="140"/>
      <c r="F225" s="140"/>
      <c r="G225" s="140"/>
      <c r="H225" s="140"/>
      <c r="I225" s="140"/>
      <c r="J225" s="140"/>
      <c r="K225" s="140"/>
      <c r="L225" s="140"/>
    </row>
    <row r="226" spans="1:12" x14ac:dyDescent="0.35">
      <c r="B226" s="2077"/>
      <c r="C226" s="2077"/>
      <c r="D226" s="140"/>
      <c r="E226" s="140"/>
      <c r="F226" s="140"/>
      <c r="G226" s="140"/>
      <c r="H226" s="140"/>
      <c r="I226" s="140"/>
      <c r="J226" s="140"/>
      <c r="K226" s="140"/>
      <c r="L226" s="140"/>
    </row>
    <row r="227" spans="1:12" x14ac:dyDescent="0.35">
      <c r="B227" s="2077"/>
      <c r="C227" s="2077"/>
      <c r="D227" s="140"/>
      <c r="E227" s="140"/>
      <c r="F227" s="140"/>
      <c r="G227" s="140"/>
      <c r="H227" s="140"/>
      <c r="I227" s="140"/>
      <c r="J227" s="140"/>
      <c r="K227" s="140"/>
      <c r="L227" s="140"/>
    </row>
    <row r="228" spans="1:12" x14ac:dyDescent="0.35">
      <c r="B228" s="2077"/>
      <c r="C228" s="2077"/>
      <c r="D228" s="140"/>
      <c r="E228" s="140"/>
      <c r="F228" s="140"/>
      <c r="G228" s="140"/>
      <c r="H228" s="140"/>
      <c r="I228" s="140"/>
      <c r="J228" s="140"/>
      <c r="K228" s="140"/>
    </row>
    <row r="229" spans="1:12" x14ac:dyDescent="0.35">
      <c r="B229" s="2077"/>
      <c r="C229" s="2077"/>
      <c r="D229" s="140"/>
      <c r="E229" s="140"/>
      <c r="F229" s="140"/>
      <c r="G229" s="140"/>
      <c r="H229" s="140"/>
      <c r="I229" s="140"/>
      <c r="J229" s="140"/>
      <c r="K229" s="140"/>
    </row>
    <row r="230" spans="1:12" x14ac:dyDescent="0.35">
      <c r="B230" s="2077"/>
      <c r="C230" s="2077"/>
      <c r="D230" s="140"/>
      <c r="E230" s="140"/>
      <c r="F230" s="140"/>
      <c r="G230" s="140"/>
      <c r="H230" s="140"/>
      <c r="I230" s="140"/>
      <c r="J230" s="140"/>
      <c r="K230" s="140"/>
    </row>
    <row r="231" spans="1:12" x14ac:dyDescent="0.35">
      <c r="B231" s="2077"/>
      <c r="C231" s="2077"/>
      <c r="D231" s="140"/>
      <c r="E231" s="140"/>
      <c r="F231" s="140"/>
      <c r="G231" s="140"/>
      <c r="H231" s="140"/>
      <c r="I231" s="140"/>
      <c r="J231" s="140"/>
      <c r="K231" s="140"/>
    </row>
    <row r="232" spans="1:12" x14ac:dyDescent="0.35">
      <c r="B232" s="2077"/>
      <c r="C232" s="2077"/>
      <c r="D232" s="140"/>
      <c r="E232" s="140"/>
      <c r="F232" s="140"/>
      <c r="G232" s="140"/>
      <c r="H232" s="140"/>
      <c r="I232" s="140"/>
      <c r="J232" s="140"/>
      <c r="K232" s="140"/>
    </row>
    <row r="233" spans="1:12" x14ac:dyDescent="0.35">
      <c r="B233" s="2077"/>
      <c r="C233" s="2077"/>
      <c r="D233" s="140"/>
      <c r="E233" s="140"/>
      <c r="F233" s="140"/>
      <c r="G233" s="140"/>
      <c r="H233" s="140"/>
      <c r="I233" s="140"/>
      <c r="J233" s="140"/>
      <c r="K233" s="140"/>
      <c r="L233" s="140"/>
    </row>
    <row r="234" spans="1:12" s="2040" customFormat="1" x14ac:dyDescent="0.25">
      <c r="A234" s="3420"/>
      <c r="B234" s="1980"/>
      <c r="C234" s="1980"/>
      <c r="L234" s="3500"/>
    </row>
    <row r="235" spans="1:12" s="2040" customFormat="1" x14ac:dyDescent="0.25">
      <c r="A235" s="3420"/>
      <c r="B235" s="1980"/>
      <c r="C235" s="1980"/>
      <c r="L235" s="3500"/>
    </row>
    <row r="236" spans="1:12" s="2040" customFormat="1" x14ac:dyDescent="0.25">
      <c r="A236" s="3420"/>
      <c r="B236" s="1980"/>
      <c r="C236" s="1980"/>
      <c r="L236" s="3500"/>
    </row>
    <row r="237" spans="1:12" s="2040" customFormat="1" x14ac:dyDescent="0.25">
      <c r="A237" s="3420"/>
      <c r="B237" s="1980"/>
      <c r="C237" s="1980"/>
      <c r="L237" s="3500"/>
    </row>
    <row r="238" spans="1:12" s="2040" customFormat="1" x14ac:dyDescent="0.25">
      <c r="A238" s="3420"/>
      <c r="B238" s="1980"/>
      <c r="C238" s="1980"/>
      <c r="L238" s="3500"/>
    </row>
    <row r="239" spans="1:12" s="2040" customFormat="1" x14ac:dyDescent="0.35">
      <c r="A239" s="3420"/>
      <c r="B239" s="1980"/>
      <c r="C239" s="1980"/>
      <c r="L239" s="3501"/>
    </row>
    <row r="240" spans="1:12" s="2040" customFormat="1" x14ac:dyDescent="0.35">
      <c r="A240" s="3420"/>
      <c r="B240" s="1980"/>
      <c r="C240" s="1980"/>
      <c r="L240" s="3501"/>
    </row>
    <row r="241" spans="1:21" s="2040" customFormat="1" x14ac:dyDescent="0.3">
      <c r="A241" s="3420"/>
      <c r="B241" s="763"/>
      <c r="C241" s="763"/>
      <c r="D241" s="3502"/>
      <c r="E241" s="3503"/>
      <c r="F241" s="3503"/>
      <c r="G241" s="3503"/>
      <c r="H241" s="3504"/>
      <c r="I241" s="3504"/>
      <c r="J241" s="3502"/>
      <c r="K241" s="3502"/>
      <c r="L241" s="3505"/>
    </row>
    <row r="242" spans="1:21" s="2040" customFormat="1" x14ac:dyDescent="0.25">
      <c r="A242" s="3420"/>
      <c r="B242" s="3506"/>
      <c r="C242" s="3506"/>
      <c r="D242" s="3506"/>
      <c r="E242" s="3506"/>
      <c r="F242" s="3506"/>
      <c r="G242" s="3506"/>
      <c r="H242" s="3506"/>
      <c r="I242" s="3506"/>
      <c r="J242" s="3506"/>
      <c r="K242" s="3506"/>
      <c r="L242" s="3506"/>
    </row>
    <row r="243" spans="1:21" s="2040" customFormat="1" x14ac:dyDescent="0.25">
      <c r="A243" s="3420"/>
      <c r="B243" s="3506"/>
      <c r="C243" s="3506"/>
      <c r="D243" s="3506"/>
      <c r="E243" s="3506"/>
      <c r="F243" s="3506"/>
      <c r="G243" s="3506"/>
      <c r="H243" s="3506"/>
      <c r="I243" s="3506"/>
      <c r="J243" s="3506"/>
      <c r="K243" s="3506"/>
      <c r="L243" s="3506"/>
    </row>
    <row r="244" spans="1:21" s="2040" customFormat="1" x14ac:dyDescent="0.25">
      <c r="A244" s="3420"/>
      <c r="B244" s="3506"/>
      <c r="C244" s="3506"/>
      <c r="D244" s="3506"/>
      <c r="E244" s="3506"/>
      <c r="F244" s="3506"/>
      <c r="G244" s="3506"/>
      <c r="H244" s="3506"/>
      <c r="I244" s="3506"/>
      <c r="J244" s="3506"/>
      <c r="K244" s="3506"/>
      <c r="L244" s="3506"/>
    </row>
    <row r="245" spans="1:21" s="2040" customFormat="1" x14ac:dyDescent="0.25">
      <c r="A245" s="3420"/>
      <c r="B245" s="3506"/>
      <c r="C245" s="3506"/>
      <c r="D245" s="3506"/>
      <c r="E245" s="3506"/>
      <c r="F245" s="3506"/>
      <c r="G245" s="3506"/>
      <c r="H245" s="3506"/>
      <c r="I245" s="3506"/>
      <c r="J245" s="3506"/>
      <c r="K245" s="3506"/>
      <c r="L245" s="3506"/>
    </row>
    <row r="246" spans="1:21" s="2040" customFormat="1" x14ac:dyDescent="0.35">
      <c r="A246" s="3420"/>
      <c r="B246" s="3506"/>
      <c r="C246" s="3506"/>
      <c r="D246" s="3506"/>
      <c r="E246" s="3506"/>
      <c r="F246" s="3506"/>
      <c r="G246" s="3506"/>
      <c r="H246" s="3506"/>
      <c r="I246" s="3506"/>
      <c r="J246" s="3506"/>
      <c r="K246" s="3506"/>
      <c r="L246" s="3506"/>
      <c r="N246" s="3507"/>
      <c r="O246" s="3507"/>
      <c r="Q246" s="3508"/>
      <c r="R246" s="3507"/>
      <c r="S246" s="3507"/>
      <c r="U246" s="3507"/>
    </row>
    <row r="247" spans="1:21" s="2040" customFormat="1" x14ac:dyDescent="0.25">
      <c r="A247" s="3420"/>
      <c r="B247" s="3506"/>
      <c r="C247" s="3506"/>
      <c r="D247" s="3506"/>
      <c r="E247" s="3506"/>
      <c r="F247" s="3506"/>
      <c r="G247" s="3506"/>
      <c r="H247" s="3506"/>
      <c r="I247" s="3506"/>
      <c r="J247" s="3506"/>
      <c r="K247" s="3506"/>
      <c r="L247" s="3506"/>
    </row>
    <row r="248" spans="1:21" x14ac:dyDescent="0.35">
      <c r="B248" s="2077"/>
      <c r="C248" s="2077"/>
      <c r="D248" s="140"/>
      <c r="E248" s="140"/>
      <c r="F248" s="140"/>
      <c r="G248" s="140"/>
      <c r="H248" s="140"/>
      <c r="I248" s="140"/>
      <c r="J248" s="140"/>
      <c r="K248" s="140"/>
      <c r="L248" s="140"/>
    </row>
    <row r="249" spans="1:21" x14ac:dyDescent="0.35">
      <c r="B249" s="2077"/>
      <c r="C249" s="2077"/>
      <c r="D249" s="140"/>
      <c r="E249" s="140"/>
      <c r="F249" s="140"/>
      <c r="G249" s="140"/>
      <c r="H249" s="140"/>
      <c r="I249" s="140"/>
      <c r="J249" s="140"/>
      <c r="K249" s="140"/>
      <c r="L249" s="140"/>
    </row>
    <row r="250" spans="1:21" x14ac:dyDescent="0.35">
      <c r="B250" s="2077"/>
      <c r="C250" s="2077"/>
      <c r="D250" s="140"/>
      <c r="E250" s="140"/>
      <c r="F250" s="140"/>
      <c r="G250" s="140"/>
      <c r="H250" s="140"/>
      <c r="I250" s="140"/>
      <c r="J250" s="140"/>
      <c r="K250" s="140"/>
      <c r="L250" s="140"/>
    </row>
    <row r="251" spans="1:21" x14ac:dyDescent="0.35">
      <c r="B251" s="2077"/>
      <c r="C251" s="2077"/>
      <c r="D251" s="140"/>
      <c r="E251" s="140"/>
      <c r="F251" s="140"/>
      <c r="G251" s="140"/>
      <c r="H251" s="140"/>
      <c r="I251" s="140"/>
      <c r="J251" s="140"/>
      <c r="K251" s="140"/>
      <c r="L251" s="140"/>
    </row>
    <row r="252" spans="1:21" x14ac:dyDescent="0.35">
      <c r="C252" s="2077"/>
      <c r="E252" s="140"/>
      <c r="F252" s="140"/>
      <c r="G252" s="140"/>
      <c r="H252" s="140"/>
      <c r="I252" s="140"/>
      <c r="J252" s="140"/>
      <c r="K252" s="140"/>
      <c r="L252" s="140"/>
    </row>
    <row r="253" spans="1:21" x14ac:dyDescent="0.35">
      <c r="C253" s="2077"/>
      <c r="D253" s="2556"/>
      <c r="E253" s="140"/>
      <c r="F253" s="140"/>
      <c r="G253" s="140"/>
      <c r="H253" s="140"/>
      <c r="I253" s="140"/>
      <c r="J253" s="140"/>
      <c r="K253" s="140"/>
      <c r="L253" s="140"/>
    </row>
    <row r="254" spans="1:21" x14ac:dyDescent="0.35">
      <c r="C254" s="2077"/>
      <c r="D254" s="2077"/>
      <c r="E254" s="140"/>
      <c r="F254" s="140"/>
      <c r="G254" s="140"/>
      <c r="H254" s="140"/>
      <c r="I254" s="140"/>
      <c r="J254" s="140"/>
      <c r="K254" s="140"/>
      <c r="L254" s="140"/>
    </row>
    <row r="255" spans="1:21" x14ac:dyDescent="0.35">
      <c r="B255" s="2077"/>
      <c r="C255" s="2077"/>
      <c r="D255" s="140"/>
      <c r="E255" s="140"/>
      <c r="F255" s="140"/>
      <c r="G255" s="140"/>
      <c r="H255" s="140"/>
      <c r="I255" s="140"/>
      <c r="J255" s="140"/>
      <c r="K255" s="140"/>
      <c r="L255" s="140"/>
    </row>
    <row r="256" spans="1:21" x14ac:dyDescent="0.35">
      <c r="B256" s="2077"/>
      <c r="C256" s="2077"/>
      <c r="D256" s="140"/>
      <c r="E256" s="140"/>
      <c r="F256" s="140"/>
      <c r="G256" s="140"/>
      <c r="H256" s="140"/>
      <c r="I256" s="140"/>
      <c r="J256" s="140"/>
      <c r="K256" s="140"/>
      <c r="L256" s="140"/>
    </row>
    <row r="257" spans="2:12" x14ac:dyDescent="0.35">
      <c r="B257" s="2077"/>
      <c r="C257" s="2077"/>
      <c r="D257" s="140"/>
      <c r="E257" s="140"/>
      <c r="F257" s="140"/>
      <c r="G257" s="140"/>
      <c r="H257" s="140"/>
      <c r="I257" s="140"/>
      <c r="J257" s="140"/>
      <c r="K257" s="140"/>
      <c r="L257" s="140"/>
    </row>
    <row r="258" spans="2:12" x14ac:dyDescent="0.35">
      <c r="B258" s="2077"/>
      <c r="C258" s="2077"/>
      <c r="D258" s="140"/>
      <c r="E258" s="140"/>
      <c r="F258" s="140"/>
      <c r="G258" s="140"/>
      <c r="H258" s="140"/>
      <c r="I258" s="140"/>
      <c r="J258" s="140"/>
      <c r="K258" s="140"/>
      <c r="L258" s="140"/>
    </row>
    <row r="259" spans="2:12" x14ac:dyDescent="0.35">
      <c r="B259" s="2077"/>
      <c r="C259" s="2077"/>
      <c r="D259" s="140"/>
      <c r="E259" s="140"/>
      <c r="F259" s="140"/>
      <c r="G259" s="140"/>
      <c r="H259" s="140"/>
      <c r="I259" s="140"/>
      <c r="J259" s="140"/>
      <c r="K259" s="140"/>
      <c r="L259" s="140"/>
    </row>
    <row r="260" spans="2:12" x14ac:dyDescent="0.35">
      <c r="B260" s="1420"/>
      <c r="C260" s="1420"/>
      <c r="D260" s="1427"/>
      <c r="E260" s="140"/>
      <c r="F260" s="140"/>
      <c r="G260" s="140"/>
      <c r="H260" s="140"/>
      <c r="I260" s="140"/>
      <c r="J260" s="140"/>
      <c r="K260" s="140"/>
      <c r="L260" s="140"/>
    </row>
    <row r="261" spans="2:12" x14ac:dyDescent="0.35">
      <c r="B261" s="1420"/>
      <c r="C261" s="1420"/>
      <c r="D261" s="1427"/>
      <c r="E261" s="140"/>
      <c r="F261" s="140"/>
      <c r="G261" s="140"/>
      <c r="H261" s="140"/>
      <c r="I261" s="140"/>
      <c r="J261" s="140"/>
      <c r="K261" s="140"/>
      <c r="L261" s="140"/>
    </row>
    <row r="262" spans="2:12" x14ac:dyDescent="0.35">
      <c r="B262" s="1420"/>
      <c r="C262" s="1420"/>
      <c r="D262" s="1427"/>
      <c r="E262" s="140"/>
      <c r="F262" s="140"/>
      <c r="G262" s="140"/>
      <c r="H262" s="140"/>
      <c r="I262" s="140"/>
      <c r="J262" s="140"/>
      <c r="K262" s="140"/>
      <c r="L262" s="140"/>
    </row>
    <row r="263" spans="2:12" x14ac:dyDescent="0.35">
      <c r="B263" s="1420"/>
      <c r="C263" s="1420"/>
      <c r="D263" s="3509"/>
      <c r="E263" s="140"/>
      <c r="F263" s="140"/>
      <c r="G263" s="140"/>
      <c r="H263" s="140"/>
      <c r="I263" s="140"/>
      <c r="J263" s="140"/>
      <c r="K263" s="140"/>
      <c r="L263" s="140"/>
    </row>
    <row r="264" spans="2:12" x14ac:dyDescent="0.35">
      <c r="B264" s="1420"/>
      <c r="C264" s="1420"/>
      <c r="D264" s="1270"/>
      <c r="E264" s="140"/>
      <c r="F264" s="140"/>
      <c r="G264" s="140"/>
      <c r="H264" s="140"/>
      <c r="I264" s="140"/>
      <c r="J264" s="140"/>
      <c r="K264" s="140"/>
      <c r="L264" s="140"/>
    </row>
    <row r="265" spans="2:12" x14ac:dyDescent="0.35">
      <c r="B265" s="1420"/>
      <c r="C265" s="1420"/>
      <c r="D265" s="1270"/>
      <c r="E265" s="140"/>
      <c r="F265" s="140"/>
      <c r="G265" s="140"/>
      <c r="H265" s="140"/>
      <c r="I265" s="140"/>
      <c r="J265" s="140"/>
      <c r="K265" s="140"/>
      <c r="L265" s="140"/>
    </row>
    <row r="266" spans="2:12" x14ac:dyDescent="0.35">
      <c r="B266" s="1420"/>
      <c r="C266" s="1420"/>
      <c r="D266" s="1270"/>
      <c r="E266" s="140"/>
      <c r="F266" s="140"/>
      <c r="G266" s="140"/>
      <c r="H266" s="140"/>
      <c r="I266" s="140"/>
      <c r="J266" s="140"/>
      <c r="K266" s="140"/>
      <c r="L266" s="140"/>
    </row>
    <row r="267" spans="2:12" x14ac:dyDescent="0.35">
      <c r="B267" s="1420"/>
      <c r="C267" s="1420"/>
      <c r="D267" s="1270"/>
      <c r="E267" s="140"/>
      <c r="F267" s="140"/>
      <c r="G267" s="140"/>
      <c r="H267" s="140"/>
      <c r="I267" s="140"/>
      <c r="J267" s="140"/>
      <c r="K267" s="140"/>
      <c r="L267" s="140"/>
    </row>
    <row r="268" spans="2:12" x14ac:dyDescent="0.35">
      <c r="B268" s="1420"/>
      <c r="C268" s="1420"/>
      <c r="D268" s="1270"/>
      <c r="E268" s="140"/>
      <c r="F268" s="140"/>
      <c r="G268" s="140"/>
      <c r="H268" s="140"/>
      <c r="I268" s="140"/>
      <c r="J268" s="140"/>
      <c r="K268" s="140"/>
      <c r="L268" s="140"/>
    </row>
    <row r="269" spans="2:12" x14ac:dyDescent="0.35">
      <c r="B269" s="1420"/>
      <c r="C269" s="1420"/>
      <c r="D269" s="1427"/>
      <c r="E269" s="140"/>
      <c r="F269" s="140"/>
      <c r="G269" s="140"/>
      <c r="H269" s="140"/>
      <c r="I269" s="140"/>
      <c r="J269" s="140"/>
      <c r="K269" s="140"/>
      <c r="L269" s="140"/>
    </row>
    <row r="270" spans="2:12" x14ac:dyDescent="0.35">
      <c r="B270" s="1420"/>
      <c r="C270" s="1420"/>
      <c r="D270" s="3509"/>
      <c r="E270" s="140"/>
      <c r="F270" s="140"/>
      <c r="G270" s="140"/>
      <c r="H270" s="140"/>
      <c r="I270" s="140"/>
      <c r="J270" s="140"/>
      <c r="K270" s="140"/>
      <c r="L270" s="140"/>
    </row>
    <row r="271" spans="2:12" x14ac:dyDescent="0.35">
      <c r="B271" s="1420"/>
      <c r="C271" s="1420"/>
      <c r="D271" s="1427"/>
      <c r="E271" s="140"/>
      <c r="F271" s="140"/>
      <c r="G271" s="140"/>
      <c r="H271" s="140"/>
      <c r="I271" s="140"/>
      <c r="J271" s="140"/>
      <c r="K271" s="140"/>
      <c r="L271" s="140"/>
    </row>
    <row r="272" spans="2:12" x14ac:dyDescent="0.35">
      <c r="B272" s="1420"/>
      <c r="C272" s="1420"/>
      <c r="D272" s="1427"/>
      <c r="E272" s="140"/>
      <c r="F272" s="140"/>
      <c r="G272" s="140"/>
      <c r="H272" s="140"/>
      <c r="I272" s="140"/>
      <c r="J272" s="140"/>
      <c r="K272" s="140"/>
      <c r="L272" s="140"/>
    </row>
    <row r="273" spans="2:12" x14ac:dyDescent="0.35">
      <c r="B273" s="1420"/>
      <c r="C273" s="1420"/>
      <c r="D273" s="1427"/>
      <c r="E273" s="140"/>
      <c r="F273" s="140"/>
      <c r="G273" s="140"/>
      <c r="H273" s="140"/>
      <c r="I273" s="140"/>
      <c r="J273" s="140"/>
      <c r="K273" s="140"/>
      <c r="L273" s="140"/>
    </row>
    <row r="274" spans="2:12" x14ac:dyDescent="0.35">
      <c r="D274" s="3510"/>
    </row>
    <row r="279" spans="2:12" x14ac:dyDescent="0.35">
      <c r="D279" s="800"/>
    </row>
  </sheetData>
  <mergeCells count="15">
    <mergeCell ref="D60:W60"/>
    <mergeCell ref="D2:W2"/>
    <mergeCell ref="D3:W3"/>
    <mergeCell ref="D4:W4"/>
    <mergeCell ref="F15:H15"/>
    <mergeCell ref="I15:K15"/>
    <mergeCell ref="L15:N15"/>
    <mergeCell ref="O15:Q15"/>
    <mergeCell ref="R15:T15"/>
    <mergeCell ref="U15:W15"/>
    <mergeCell ref="U17:W24"/>
    <mergeCell ref="J31:J40"/>
    <mergeCell ref="D57:W57"/>
    <mergeCell ref="D58:W58"/>
    <mergeCell ref="D59:W59"/>
  </mergeCells>
  <pageMargins left="0.74803149606299213" right="0.74803149606299213" top="0.98425196850393704" bottom="0.98425196850393704" header="0.51181102362204722" footer="0.51181102362204722"/>
  <pageSetup paperSize="9" scale="61"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1" max="24" man="1"/>
    <brk id="60" max="15"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tint="-0.249977111117893"/>
    <pageSetUpPr fitToPage="1"/>
  </sheetPr>
  <dimension ref="A1:AE481"/>
  <sheetViews>
    <sheetView showGridLines="0" view="pageBreakPreview" zoomScaleNormal="100" zoomScaleSheetLayoutView="100" workbookViewId="0">
      <selection activeCell="Y27" sqref="Y27"/>
    </sheetView>
  </sheetViews>
  <sheetFormatPr defaultColWidth="9.1796875" defaultRowHeight="14.5" x14ac:dyDescent="0.35"/>
  <cols>
    <col min="1" max="1" width="3.7265625" style="3420" customWidth="1"/>
    <col min="2" max="2" width="13.7265625" style="3420" customWidth="1"/>
    <col min="3" max="3" width="5.26953125" style="3420" customWidth="1"/>
    <col min="4" max="4" width="24.1796875" style="3422" customWidth="1"/>
    <col min="5" max="5" width="8.7265625" style="3422" customWidth="1"/>
    <col min="6" max="24" width="6.81640625" style="3422" bestFit="1" customWidth="1"/>
    <col min="25" max="25" width="7.26953125" style="3422" bestFit="1" customWidth="1"/>
    <col min="26" max="26" width="7.1796875" style="3422" bestFit="1" customWidth="1"/>
    <col min="27" max="27" width="6.81640625" style="3422" bestFit="1" customWidth="1"/>
    <col min="28" max="29" width="7.1796875" style="3422" bestFit="1" customWidth="1"/>
    <col min="30" max="30" width="6.453125" style="3422" customWidth="1"/>
    <col min="31" max="257" width="9.1796875" style="3422"/>
    <col min="258" max="258" width="3.7265625" style="3422" customWidth="1"/>
    <col min="259" max="259" width="13.7265625" style="3422" customWidth="1"/>
    <col min="260" max="260" width="3.453125" style="3422" customWidth="1"/>
    <col min="261" max="261" width="18" style="3422" customWidth="1"/>
    <col min="262" max="262" width="8.7265625" style="3422" customWidth="1"/>
    <col min="263" max="263" width="10.1796875" style="3422" customWidth="1"/>
    <col min="264" max="275" width="8.7265625" style="3422" customWidth="1"/>
    <col min="276" max="276" width="8.453125" style="3422" customWidth="1"/>
    <col min="277" max="278" width="8.81640625" style="3422" customWidth="1"/>
    <col min="279" max="513" width="9.1796875" style="3422"/>
    <col min="514" max="514" width="3.7265625" style="3422" customWidth="1"/>
    <col min="515" max="515" width="13.7265625" style="3422" customWidth="1"/>
    <col min="516" max="516" width="3.453125" style="3422" customWidth="1"/>
    <col min="517" max="517" width="18" style="3422" customWidth="1"/>
    <col min="518" max="518" width="8.7265625" style="3422" customWidth="1"/>
    <col min="519" max="519" width="10.1796875" style="3422" customWidth="1"/>
    <col min="520" max="531" width="8.7265625" style="3422" customWidth="1"/>
    <col min="532" max="532" width="8.453125" style="3422" customWidth="1"/>
    <col min="533" max="534" width="8.81640625" style="3422" customWidth="1"/>
    <col min="535" max="769" width="9.1796875" style="3422"/>
    <col min="770" max="770" width="3.7265625" style="3422" customWidth="1"/>
    <col min="771" max="771" width="13.7265625" style="3422" customWidth="1"/>
    <col min="772" max="772" width="3.453125" style="3422" customWidth="1"/>
    <col min="773" max="773" width="18" style="3422" customWidth="1"/>
    <col min="774" max="774" width="8.7265625" style="3422" customWidth="1"/>
    <col min="775" max="775" width="10.1796875" style="3422" customWidth="1"/>
    <col min="776" max="787" width="8.7265625" style="3422" customWidth="1"/>
    <col min="788" max="788" width="8.453125" style="3422" customWidth="1"/>
    <col min="789" max="790" width="8.81640625" style="3422" customWidth="1"/>
    <col min="791" max="1025" width="9.1796875" style="3422"/>
    <col min="1026" max="1026" width="3.7265625" style="3422" customWidth="1"/>
    <col min="1027" max="1027" width="13.7265625" style="3422" customWidth="1"/>
    <col min="1028" max="1028" width="3.453125" style="3422" customWidth="1"/>
    <col min="1029" max="1029" width="18" style="3422" customWidth="1"/>
    <col min="1030" max="1030" width="8.7265625" style="3422" customWidth="1"/>
    <col min="1031" max="1031" width="10.1796875" style="3422" customWidth="1"/>
    <col min="1032" max="1043" width="8.7265625" style="3422" customWidth="1"/>
    <col min="1044" max="1044" width="8.453125" style="3422" customWidth="1"/>
    <col min="1045" max="1046" width="8.81640625" style="3422" customWidth="1"/>
    <col min="1047" max="1281" width="9.1796875" style="3422"/>
    <col min="1282" max="1282" width="3.7265625" style="3422" customWidth="1"/>
    <col min="1283" max="1283" width="13.7265625" style="3422" customWidth="1"/>
    <col min="1284" max="1284" width="3.453125" style="3422" customWidth="1"/>
    <col min="1285" max="1285" width="18" style="3422" customWidth="1"/>
    <col min="1286" max="1286" width="8.7265625" style="3422" customWidth="1"/>
    <col min="1287" max="1287" width="10.1796875" style="3422" customWidth="1"/>
    <col min="1288" max="1299" width="8.7265625" style="3422" customWidth="1"/>
    <col min="1300" max="1300" width="8.453125" style="3422" customWidth="1"/>
    <col min="1301" max="1302" width="8.81640625" style="3422" customWidth="1"/>
    <col min="1303" max="1537" width="9.1796875" style="3422"/>
    <col min="1538" max="1538" width="3.7265625" style="3422" customWidth="1"/>
    <col min="1539" max="1539" width="13.7265625" style="3422" customWidth="1"/>
    <col min="1540" max="1540" width="3.453125" style="3422" customWidth="1"/>
    <col min="1541" max="1541" width="18" style="3422" customWidth="1"/>
    <col min="1542" max="1542" width="8.7265625" style="3422" customWidth="1"/>
    <col min="1543" max="1543" width="10.1796875" style="3422" customWidth="1"/>
    <col min="1544" max="1555" width="8.7265625" style="3422" customWidth="1"/>
    <col min="1556" max="1556" width="8.453125" style="3422" customWidth="1"/>
    <col min="1557" max="1558" width="8.81640625" style="3422" customWidth="1"/>
    <col min="1559" max="1793" width="9.1796875" style="3422"/>
    <col min="1794" max="1794" width="3.7265625" style="3422" customWidth="1"/>
    <col min="1795" max="1795" width="13.7265625" style="3422" customWidth="1"/>
    <col min="1796" max="1796" width="3.453125" style="3422" customWidth="1"/>
    <col min="1797" max="1797" width="18" style="3422" customWidth="1"/>
    <col min="1798" max="1798" width="8.7265625" style="3422" customWidth="1"/>
    <col min="1799" max="1799" width="10.1796875" style="3422" customWidth="1"/>
    <col min="1800" max="1811" width="8.7265625" style="3422" customWidth="1"/>
    <col min="1812" max="1812" width="8.453125" style="3422" customWidth="1"/>
    <col min="1813" max="1814" width="8.81640625" style="3422" customWidth="1"/>
    <col min="1815" max="2049" width="9.1796875" style="3422"/>
    <col min="2050" max="2050" width="3.7265625" style="3422" customWidth="1"/>
    <col min="2051" max="2051" width="13.7265625" style="3422" customWidth="1"/>
    <col min="2052" max="2052" width="3.453125" style="3422" customWidth="1"/>
    <col min="2053" max="2053" width="18" style="3422" customWidth="1"/>
    <col min="2054" max="2054" width="8.7265625" style="3422" customWidth="1"/>
    <col min="2055" max="2055" width="10.1796875" style="3422" customWidth="1"/>
    <col min="2056" max="2067" width="8.7265625" style="3422" customWidth="1"/>
    <col min="2068" max="2068" width="8.453125" style="3422" customWidth="1"/>
    <col min="2069" max="2070" width="8.81640625" style="3422" customWidth="1"/>
    <col min="2071" max="2305" width="9.1796875" style="3422"/>
    <col min="2306" max="2306" width="3.7265625" style="3422" customWidth="1"/>
    <col min="2307" max="2307" width="13.7265625" style="3422" customWidth="1"/>
    <col min="2308" max="2308" width="3.453125" style="3422" customWidth="1"/>
    <col min="2309" max="2309" width="18" style="3422" customWidth="1"/>
    <col min="2310" max="2310" width="8.7265625" style="3422" customWidth="1"/>
    <col min="2311" max="2311" width="10.1796875" style="3422" customWidth="1"/>
    <col min="2312" max="2323" width="8.7265625" style="3422" customWidth="1"/>
    <col min="2324" max="2324" width="8.453125" style="3422" customWidth="1"/>
    <col min="2325" max="2326" width="8.81640625" style="3422" customWidth="1"/>
    <col min="2327" max="2561" width="9.1796875" style="3422"/>
    <col min="2562" max="2562" width="3.7265625" style="3422" customWidth="1"/>
    <col min="2563" max="2563" width="13.7265625" style="3422" customWidth="1"/>
    <col min="2564" max="2564" width="3.453125" style="3422" customWidth="1"/>
    <col min="2565" max="2565" width="18" style="3422" customWidth="1"/>
    <col min="2566" max="2566" width="8.7265625" style="3422" customWidth="1"/>
    <col min="2567" max="2567" width="10.1796875" style="3422" customWidth="1"/>
    <col min="2568" max="2579" width="8.7265625" style="3422" customWidth="1"/>
    <col min="2580" max="2580" width="8.453125" style="3422" customWidth="1"/>
    <col min="2581" max="2582" width="8.81640625" style="3422" customWidth="1"/>
    <col min="2583" max="2817" width="9.1796875" style="3422"/>
    <col min="2818" max="2818" width="3.7265625" style="3422" customWidth="1"/>
    <col min="2819" max="2819" width="13.7265625" style="3422" customWidth="1"/>
    <col min="2820" max="2820" width="3.453125" style="3422" customWidth="1"/>
    <col min="2821" max="2821" width="18" style="3422" customWidth="1"/>
    <col min="2822" max="2822" width="8.7265625" style="3422" customWidth="1"/>
    <col min="2823" max="2823" width="10.1796875" style="3422" customWidth="1"/>
    <col min="2824" max="2835" width="8.7265625" style="3422" customWidth="1"/>
    <col min="2836" max="2836" width="8.453125" style="3422" customWidth="1"/>
    <col min="2837" max="2838" width="8.81640625" style="3422" customWidth="1"/>
    <col min="2839" max="3073" width="9.1796875" style="3422"/>
    <col min="3074" max="3074" width="3.7265625" style="3422" customWidth="1"/>
    <col min="3075" max="3075" width="13.7265625" style="3422" customWidth="1"/>
    <col min="3076" max="3076" width="3.453125" style="3422" customWidth="1"/>
    <col min="3077" max="3077" width="18" style="3422" customWidth="1"/>
    <col min="3078" max="3078" width="8.7265625" style="3422" customWidth="1"/>
    <col min="3079" max="3079" width="10.1796875" style="3422" customWidth="1"/>
    <col min="3080" max="3091" width="8.7265625" style="3422" customWidth="1"/>
    <col min="3092" max="3092" width="8.453125" style="3422" customWidth="1"/>
    <col min="3093" max="3094" width="8.81640625" style="3422" customWidth="1"/>
    <col min="3095" max="3329" width="9.1796875" style="3422"/>
    <col min="3330" max="3330" width="3.7265625" style="3422" customWidth="1"/>
    <col min="3331" max="3331" width="13.7265625" style="3422" customWidth="1"/>
    <col min="3332" max="3332" width="3.453125" style="3422" customWidth="1"/>
    <col min="3333" max="3333" width="18" style="3422" customWidth="1"/>
    <col min="3334" max="3334" width="8.7265625" style="3422" customWidth="1"/>
    <col min="3335" max="3335" width="10.1796875" style="3422" customWidth="1"/>
    <col min="3336" max="3347" width="8.7265625" style="3422" customWidth="1"/>
    <col min="3348" max="3348" width="8.453125" style="3422" customWidth="1"/>
    <col min="3349" max="3350" width="8.81640625" style="3422" customWidth="1"/>
    <col min="3351" max="3585" width="9.1796875" style="3422"/>
    <col min="3586" max="3586" width="3.7265625" style="3422" customWidth="1"/>
    <col min="3587" max="3587" width="13.7265625" style="3422" customWidth="1"/>
    <col min="3588" max="3588" width="3.453125" style="3422" customWidth="1"/>
    <col min="3589" max="3589" width="18" style="3422" customWidth="1"/>
    <col min="3590" max="3590" width="8.7265625" style="3422" customWidth="1"/>
    <col min="3591" max="3591" width="10.1796875" style="3422" customWidth="1"/>
    <col min="3592" max="3603" width="8.7265625" style="3422" customWidth="1"/>
    <col min="3604" max="3604" width="8.453125" style="3422" customWidth="1"/>
    <col min="3605" max="3606" width="8.81640625" style="3422" customWidth="1"/>
    <col min="3607" max="3841" width="9.1796875" style="3422"/>
    <col min="3842" max="3842" width="3.7265625" style="3422" customWidth="1"/>
    <col min="3843" max="3843" width="13.7265625" style="3422" customWidth="1"/>
    <col min="3844" max="3844" width="3.453125" style="3422" customWidth="1"/>
    <col min="3845" max="3845" width="18" style="3422" customWidth="1"/>
    <col min="3846" max="3846" width="8.7265625" style="3422" customWidth="1"/>
    <col min="3847" max="3847" width="10.1796875" style="3422" customWidth="1"/>
    <col min="3848" max="3859" width="8.7265625" style="3422" customWidth="1"/>
    <col min="3860" max="3860" width="8.453125" style="3422" customWidth="1"/>
    <col min="3861" max="3862" width="8.81640625" style="3422" customWidth="1"/>
    <col min="3863" max="4097" width="9.1796875" style="3422"/>
    <col min="4098" max="4098" width="3.7265625" style="3422" customWidth="1"/>
    <col min="4099" max="4099" width="13.7265625" style="3422" customWidth="1"/>
    <col min="4100" max="4100" width="3.453125" style="3422" customWidth="1"/>
    <col min="4101" max="4101" width="18" style="3422" customWidth="1"/>
    <col min="4102" max="4102" width="8.7265625" style="3422" customWidth="1"/>
    <col min="4103" max="4103" width="10.1796875" style="3422" customWidth="1"/>
    <col min="4104" max="4115" width="8.7265625" style="3422" customWidth="1"/>
    <col min="4116" max="4116" width="8.453125" style="3422" customWidth="1"/>
    <col min="4117" max="4118" width="8.81640625" style="3422" customWidth="1"/>
    <col min="4119" max="4353" width="9.1796875" style="3422"/>
    <col min="4354" max="4354" width="3.7265625" style="3422" customWidth="1"/>
    <col min="4355" max="4355" width="13.7265625" style="3422" customWidth="1"/>
    <col min="4356" max="4356" width="3.453125" style="3422" customWidth="1"/>
    <col min="4357" max="4357" width="18" style="3422" customWidth="1"/>
    <col min="4358" max="4358" width="8.7265625" style="3422" customWidth="1"/>
    <col min="4359" max="4359" width="10.1796875" style="3422" customWidth="1"/>
    <col min="4360" max="4371" width="8.7265625" style="3422" customWidth="1"/>
    <col min="4372" max="4372" width="8.453125" style="3422" customWidth="1"/>
    <col min="4373" max="4374" width="8.81640625" style="3422" customWidth="1"/>
    <col min="4375" max="4609" width="9.1796875" style="3422"/>
    <col min="4610" max="4610" width="3.7265625" style="3422" customWidth="1"/>
    <col min="4611" max="4611" width="13.7265625" style="3422" customWidth="1"/>
    <col min="4612" max="4612" width="3.453125" style="3422" customWidth="1"/>
    <col min="4613" max="4613" width="18" style="3422" customWidth="1"/>
    <col min="4614" max="4614" width="8.7265625" style="3422" customWidth="1"/>
    <col min="4615" max="4615" width="10.1796875" style="3422" customWidth="1"/>
    <col min="4616" max="4627" width="8.7265625" style="3422" customWidth="1"/>
    <col min="4628" max="4628" width="8.453125" style="3422" customWidth="1"/>
    <col min="4629" max="4630" width="8.81640625" style="3422" customWidth="1"/>
    <col min="4631" max="4865" width="9.1796875" style="3422"/>
    <col min="4866" max="4866" width="3.7265625" style="3422" customWidth="1"/>
    <col min="4867" max="4867" width="13.7265625" style="3422" customWidth="1"/>
    <col min="4868" max="4868" width="3.453125" style="3422" customWidth="1"/>
    <col min="4869" max="4869" width="18" style="3422" customWidth="1"/>
    <col min="4870" max="4870" width="8.7265625" style="3422" customWidth="1"/>
    <col min="4871" max="4871" width="10.1796875" style="3422" customWidth="1"/>
    <col min="4872" max="4883" width="8.7265625" style="3422" customWidth="1"/>
    <col min="4884" max="4884" width="8.453125" style="3422" customWidth="1"/>
    <col min="4885" max="4886" width="8.81640625" style="3422" customWidth="1"/>
    <col min="4887" max="5121" width="9.1796875" style="3422"/>
    <col min="5122" max="5122" width="3.7265625" style="3422" customWidth="1"/>
    <col min="5123" max="5123" width="13.7265625" style="3422" customWidth="1"/>
    <col min="5124" max="5124" width="3.453125" style="3422" customWidth="1"/>
    <col min="5125" max="5125" width="18" style="3422" customWidth="1"/>
    <col min="5126" max="5126" width="8.7265625" style="3422" customWidth="1"/>
    <col min="5127" max="5127" width="10.1796875" style="3422" customWidth="1"/>
    <col min="5128" max="5139" width="8.7265625" style="3422" customWidth="1"/>
    <col min="5140" max="5140" width="8.453125" style="3422" customWidth="1"/>
    <col min="5141" max="5142" width="8.81640625" style="3422" customWidth="1"/>
    <col min="5143" max="5377" width="9.1796875" style="3422"/>
    <col min="5378" max="5378" width="3.7265625" style="3422" customWidth="1"/>
    <col min="5379" max="5379" width="13.7265625" style="3422" customWidth="1"/>
    <col min="5380" max="5380" width="3.453125" style="3422" customWidth="1"/>
    <col min="5381" max="5381" width="18" style="3422" customWidth="1"/>
    <col min="5382" max="5382" width="8.7265625" style="3422" customWidth="1"/>
    <col min="5383" max="5383" width="10.1796875" style="3422" customWidth="1"/>
    <col min="5384" max="5395" width="8.7265625" style="3422" customWidth="1"/>
    <col min="5396" max="5396" width="8.453125" style="3422" customWidth="1"/>
    <col min="5397" max="5398" width="8.81640625" style="3422" customWidth="1"/>
    <col min="5399" max="5633" width="9.1796875" style="3422"/>
    <col min="5634" max="5634" width="3.7265625" style="3422" customWidth="1"/>
    <col min="5635" max="5635" width="13.7265625" style="3422" customWidth="1"/>
    <col min="5636" max="5636" width="3.453125" style="3422" customWidth="1"/>
    <col min="5637" max="5637" width="18" style="3422" customWidth="1"/>
    <col min="5638" max="5638" width="8.7265625" style="3422" customWidth="1"/>
    <col min="5639" max="5639" width="10.1796875" style="3422" customWidth="1"/>
    <col min="5640" max="5651" width="8.7265625" style="3422" customWidth="1"/>
    <col min="5652" max="5652" width="8.453125" style="3422" customWidth="1"/>
    <col min="5653" max="5654" width="8.81640625" style="3422" customWidth="1"/>
    <col min="5655" max="5889" width="9.1796875" style="3422"/>
    <col min="5890" max="5890" width="3.7265625" style="3422" customWidth="1"/>
    <col min="5891" max="5891" width="13.7265625" style="3422" customWidth="1"/>
    <col min="5892" max="5892" width="3.453125" style="3422" customWidth="1"/>
    <col min="5893" max="5893" width="18" style="3422" customWidth="1"/>
    <col min="5894" max="5894" width="8.7265625" style="3422" customWidth="1"/>
    <col min="5895" max="5895" width="10.1796875" style="3422" customWidth="1"/>
    <col min="5896" max="5907" width="8.7265625" style="3422" customWidth="1"/>
    <col min="5908" max="5908" width="8.453125" style="3422" customWidth="1"/>
    <col min="5909" max="5910" width="8.81640625" style="3422" customWidth="1"/>
    <col min="5911" max="6145" width="9.1796875" style="3422"/>
    <col min="6146" max="6146" width="3.7265625" style="3422" customWidth="1"/>
    <col min="6147" max="6147" width="13.7265625" style="3422" customWidth="1"/>
    <col min="6148" max="6148" width="3.453125" style="3422" customWidth="1"/>
    <col min="6149" max="6149" width="18" style="3422" customWidth="1"/>
    <col min="6150" max="6150" width="8.7265625" style="3422" customWidth="1"/>
    <col min="6151" max="6151" width="10.1796875" style="3422" customWidth="1"/>
    <col min="6152" max="6163" width="8.7265625" style="3422" customWidth="1"/>
    <col min="6164" max="6164" width="8.453125" style="3422" customWidth="1"/>
    <col min="6165" max="6166" width="8.81640625" style="3422" customWidth="1"/>
    <col min="6167" max="6401" width="9.1796875" style="3422"/>
    <col min="6402" max="6402" width="3.7265625" style="3422" customWidth="1"/>
    <col min="6403" max="6403" width="13.7265625" style="3422" customWidth="1"/>
    <col min="6404" max="6404" width="3.453125" style="3422" customWidth="1"/>
    <col min="6405" max="6405" width="18" style="3422" customWidth="1"/>
    <col min="6406" max="6406" width="8.7265625" style="3422" customWidth="1"/>
    <col min="6407" max="6407" width="10.1796875" style="3422" customWidth="1"/>
    <col min="6408" max="6419" width="8.7265625" style="3422" customWidth="1"/>
    <col min="6420" max="6420" width="8.453125" style="3422" customWidth="1"/>
    <col min="6421" max="6422" width="8.81640625" style="3422" customWidth="1"/>
    <col min="6423" max="6657" width="9.1796875" style="3422"/>
    <col min="6658" max="6658" width="3.7265625" style="3422" customWidth="1"/>
    <col min="6659" max="6659" width="13.7265625" style="3422" customWidth="1"/>
    <col min="6660" max="6660" width="3.453125" style="3422" customWidth="1"/>
    <col min="6661" max="6661" width="18" style="3422" customWidth="1"/>
    <col min="6662" max="6662" width="8.7265625" style="3422" customWidth="1"/>
    <col min="6663" max="6663" width="10.1796875" style="3422" customWidth="1"/>
    <col min="6664" max="6675" width="8.7265625" style="3422" customWidth="1"/>
    <col min="6676" max="6676" width="8.453125" style="3422" customWidth="1"/>
    <col min="6677" max="6678" width="8.81640625" style="3422" customWidth="1"/>
    <col min="6679" max="6913" width="9.1796875" style="3422"/>
    <col min="6914" max="6914" width="3.7265625" style="3422" customWidth="1"/>
    <col min="6915" max="6915" width="13.7265625" style="3422" customWidth="1"/>
    <col min="6916" max="6916" width="3.453125" style="3422" customWidth="1"/>
    <col min="6917" max="6917" width="18" style="3422" customWidth="1"/>
    <col min="6918" max="6918" width="8.7265625" style="3422" customWidth="1"/>
    <col min="6919" max="6919" width="10.1796875" style="3422" customWidth="1"/>
    <col min="6920" max="6931" width="8.7265625" style="3422" customWidth="1"/>
    <col min="6932" max="6932" width="8.453125" style="3422" customWidth="1"/>
    <col min="6933" max="6934" width="8.81640625" style="3422" customWidth="1"/>
    <col min="6935" max="7169" width="9.1796875" style="3422"/>
    <col min="7170" max="7170" width="3.7265625" style="3422" customWidth="1"/>
    <col min="7171" max="7171" width="13.7265625" style="3422" customWidth="1"/>
    <col min="7172" max="7172" width="3.453125" style="3422" customWidth="1"/>
    <col min="7173" max="7173" width="18" style="3422" customWidth="1"/>
    <col min="7174" max="7174" width="8.7265625" style="3422" customWidth="1"/>
    <col min="7175" max="7175" width="10.1796875" style="3422" customWidth="1"/>
    <col min="7176" max="7187" width="8.7265625" style="3422" customWidth="1"/>
    <col min="7188" max="7188" width="8.453125" style="3422" customWidth="1"/>
    <col min="7189" max="7190" width="8.81640625" style="3422" customWidth="1"/>
    <col min="7191" max="7425" width="9.1796875" style="3422"/>
    <col min="7426" max="7426" width="3.7265625" style="3422" customWidth="1"/>
    <col min="7427" max="7427" width="13.7265625" style="3422" customWidth="1"/>
    <col min="7428" max="7428" width="3.453125" style="3422" customWidth="1"/>
    <col min="7429" max="7429" width="18" style="3422" customWidth="1"/>
    <col min="7430" max="7430" width="8.7265625" style="3422" customWidth="1"/>
    <col min="7431" max="7431" width="10.1796875" style="3422" customWidth="1"/>
    <col min="7432" max="7443" width="8.7265625" style="3422" customWidth="1"/>
    <col min="7444" max="7444" width="8.453125" style="3422" customWidth="1"/>
    <col min="7445" max="7446" width="8.81640625" style="3422" customWidth="1"/>
    <col min="7447" max="7681" width="9.1796875" style="3422"/>
    <col min="7682" max="7682" width="3.7265625" style="3422" customWidth="1"/>
    <col min="7683" max="7683" width="13.7265625" style="3422" customWidth="1"/>
    <col min="7684" max="7684" width="3.453125" style="3422" customWidth="1"/>
    <col min="7685" max="7685" width="18" style="3422" customWidth="1"/>
    <col min="7686" max="7686" width="8.7265625" style="3422" customWidth="1"/>
    <col min="7687" max="7687" width="10.1796875" style="3422" customWidth="1"/>
    <col min="7688" max="7699" width="8.7265625" style="3422" customWidth="1"/>
    <col min="7700" max="7700" width="8.453125" style="3422" customWidth="1"/>
    <col min="7701" max="7702" width="8.81640625" style="3422" customWidth="1"/>
    <col min="7703" max="7937" width="9.1796875" style="3422"/>
    <col min="7938" max="7938" width="3.7265625" style="3422" customWidth="1"/>
    <col min="7939" max="7939" width="13.7265625" style="3422" customWidth="1"/>
    <col min="7940" max="7940" width="3.453125" style="3422" customWidth="1"/>
    <col min="7941" max="7941" width="18" style="3422" customWidth="1"/>
    <col min="7942" max="7942" width="8.7265625" style="3422" customWidth="1"/>
    <col min="7943" max="7943" width="10.1796875" style="3422" customWidth="1"/>
    <col min="7944" max="7955" width="8.7265625" style="3422" customWidth="1"/>
    <col min="7956" max="7956" width="8.453125" style="3422" customWidth="1"/>
    <col min="7957" max="7958" width="8.81640625" style="3422" customWidth="1"/>
    <col min="7959" max="8193" width="9.1796875" style="3422"/>
    <col min="8194" max="8194" width="3.7265625" style="3422" customWidth="1"/>
    <col min="8195" max="8195" width="13.7265625" style="3422" customWidth="1"/>
    <col min="8196" max="8196" width="3.453125" style="3422" customWidth="1"/>
    <col min="8197" max="8197" width="18" style="3422" customWidth="1"/>
    <col min="8198" max="8198" width="8.7265625" style="3422" customWidth="1"/>
    <col min="8199" max="8199" width="10.1796875" style="3422" customWidth="1"/>
    <col min="8200" max="8211" width="8.7265625" style="3422" customWidth="1"/>
    <col min="8212" max="8212" width="8.453125" style="3422" customWidth="1"/>
    <col min="8213" max="8214" width="8.81640625" style="3422" customWidth="1"/>
    <col min="8215" max="8449" width="9.1796875" style="3422"/>
    <col min="8450" max="8450" width="3.7265625" style="3422" customWidth="1"/>
    <col min="8451" max="8451" width="13.7265625" style="3422" customWidth="1"/>
    <col min="8452" max="8452" width="3.453125" style="3422" customWidth="1"/>
    <col min="8453" max="8453" width="18" style="3422" customWidth="1"/>
    <col min="8454" max="8454" width="8.7265625" style="3422" customWidth="1"/>
    <col min="8455" max="8455" width="10.1796875" style="3422" customWidth="1"/>
    <col min="8456" max="8467" width="8.7265625" style="3422" customWidth="1"/>
    <col min="8468" max="8468" width="8.453125" style="3422" customWidth="1"/>
    <col min="8469" max="8470" width="8.81640625" style="3422" customWidth="1"/>
    <col min="8471" max="8705" width="9.1796875" style="3422"/>
    <col min="8706" max="8706" width="3.7265625" style="3422" customWidth="1"/>
    <col min="8707" max="8707" width="13.7265625" style="3422" customWidth="1"/>
    <col min="8708" max="8708" width="3.453125" style="3422" customWidth="1"/>
    <col min="8709" max="8709" width="18" style="3422" customWidth="1"/>
    <col min="8710" max="8710" width="8.7265625" style="3422" customWidth="1"/>
    <col min="8711" max="8711" width="10.1796875" style="3422" customWidth="1"/>
    <col min="8712" max="8723" width="8.7265625" style="3422" customWidth="1"/>
    <col min="8724" max="8724" width="8.453125" style="3422" customWidth="1"/>
    <col min="8725" max="8726" width="8.81640625" style="3422" customWidth="1"/>
    <col min="8727" max="8961" width="9.1796875" style="3422"/>
    <col min="8962" max="8962" width="3.7265625" style="3422" customWidth="1"/>
    <col min="8963" max="8963" width="13.7265625" style="3422" customWidth="1"/>
    <col min="8964" max="8964" width="3.453125" style="3422" customWidth="1"/>
    <col min="8965" max="8965" width="18" style="3422" customWidth="1"/>
    <col min="8966" max="8966" width="8.7265625" style="3422" customWidth="1"/>
    <col min="8967" max="8967" width="10.1796875" style="3422" customWidth="1"/>
    <col min="8968" max="8979" width="8.7265625" style="3422" customWidth="1"/>
    <col min="8980" max="8980" width="8.453125" style="3422" customWidth="1"/>
    <col min="8981" max="8982" width="8.81640625" style="3422" customWidth="1"/>
    <col min="8983" max="9217" width="9.1796875" style="3422"/>
    <col min="9218" max="9218" width="3.7265625" style="3422" customWidth="1"/>
    <col min="9219" max="9219" width="13.7265625" style="3422" customWidth="1"/>
    <col min="9220" max="9220" width="3.453125" style="3422" customWidth="1"/>
    <col min="9221" max="9221" width="18" style="3422" customWidth="1"/>
    <col min="9222" max="9222" width="8.7265625" style="3422" customWidth="1"/>
    <col min="9223" max="9223" width="10.1796875" style="3422" customWidth="1"/>
    <col min="9224" max="9235" width="8.7265625" style="3422" customWidth="1"/>
    <col min="9236" max="9236" width="8.453125" style="3422" customWidth="1"/>
    <col min="9237" max="9238" width="8.81640625" style="3422" customWidth="1"/>
    <col min="9239" max="9473" width="9.1796875" style="3422"/>
    <col min="9474" max="9474" width="3.7265625" style="3422" customWidth="1"/>
    <col min="9475" max="9475" width="13.7265625" style="3422" customWidth="1"/>
    <col min="9476" max="9476" width="3.453125" style="3422" customWidth="1"/>
    <col min="9477" max="9477" width="18" style="3422" customWidth="1"/>
    <col min="9478" max="9478" width="8.7265625" style="3422" customWidth="1"/>
    <col min="9479" max="9479" width="10.1796875" style="3422" customWidth="1"/>
    <col min="9480" max="9491" width="8.7265625" style="3422" customWidth="1"/>
    <col min="9492" max="9492" width="8.453125" style="3422" customWidth="1"/>
    <col min="9493" max="9494" width="8.81640625" style="3422" customWidth="1"/>
    <col min="9495" max="9729" width="9.1796875" style="3422"/>
    <col min="9730" max="9730" width="3.7265625" style="3422" customWidth="1"/>
    <col min="9731" max="9731" width="13.7265625" style="3422" customWidth="1"/>
    <col min="9732" max="9732" width="3.453125" style="3422" customWidth="1"/>
    <col min="9733" max="9733" width="18" style="3422" customWidth="1"/>
    <col min="9734" max="9734" width="8.7265625" style="3422" customWidth="1"/>
    <col min="9735" max="9735" width="10.1796875" style="3422" customWidth="1"/>
    <col min="9736" max="9747" width="8.7265625" style="3422" customWidth="1"/>
    <col min="9748" max="9748" width="8.453125" style="3422" customWidth="1"/>
    <col min="9749" max="9750" width="8.81640625" style="3422" customWidth="1"/>
    <col min="9751" max="9985" width="9.1796875" style="3422"/>
    <col min="9986" max="9986" width="3.7265625" style="3422" customWidth="1"/>
    <col min="9987" max="9987" width="13.7265625" style="3422" customWidth="1"/>
    <col min="9988" max="9988" width="3.453125" style="3422" customWidth="1"/>
    <col min="9989" max="9989" width="18" style="3422" customWidth="1"/>
    <col min="9990" max="9990" width="8.7265625" style="3422" customWidth="1"/>
    <col min="9991" max="9991" width="10.1796875" style="3422" customWidth="1"/>
    <col min="9992" max="10003" width="8.7265625" style="3422" customWidth="1"/>
    <col min="10004" max="10004" width="8.453125" style="3422" customWidth="1"/>
    <col min="10005" max="10006" width="8.81640625" style="3422" customWidth="1"/>
    <col min="10007" max="10241" width="9.1796875" style="3422"/>
    <col min="10242" max="10242" width="3.7265625" style="3422" customWidth="1"/>
    <col min="10243" max="10243" width="13.7265625" style="3422" customWidth="1"/>
    <col min="10244" max="10244" width="3.453125" style="3422" customWidth="1"/>
    <col min="10245" max="10245" width="18" style="3422" customWidth="1"/>
    <col min="10246" max="10246" width="8.7265625" style="3422" customWidth="1"/>
    <col min="10247" max="10247" width="10.1796875" style="3422" customWidth="1"/>
    <col min="10248" max="10259" width="8.7265625" style="3422" customWidth="1"/>
    <col min="10260" max="10260" width="8.453125" style="3422" customWidth="1"/>
    <col min="10261" max="10262" width="8.81640625" style="3422" customWidth="1"/>
    <col min="10263" max="10497" width="9.1796875" style="3422"/>
    <col min="10498" max="10498" width="3.7265625" style="3422" customWidth="1"/>
    <col min="10499" max="10499" width="13.7265625" style="3422" customWidth="1"/>
    <col min="10500" max="10500" width="3.453125" style="3422" customWidth="1"/>
    <col min="10501" max="10501" width="18" style="3422" customWidth="1"/>
    <col min="10502" max="10502" width="8.7265625" style="3422" customWidth="1"/>
    <col min="10503" max="10503" width="10.1796875" style="3422" customWidth="1"/>
    <col min="10504" max="10515" width="8.7265625" style="3422" customWidth="1"/>
    <col min="10516" max="10516" width="8.453125" style="3422" customWidth="1"/>
    <col min="10517" max="10518" width="8.81640625" style="3422" customWidth="1"/>
    <col min="10519" max="10753" width="9.1796875" style="3422"/>
    <col min="10754" max="10754" width="3.7265625" style="3422" customWidth="1"/>
    <col min="10755" max="10755" width="13.7265625" style="3422" customWidth="1"/>
    <col min="10756" max="10756" width="3.453125" style="3422" customWidth="1"/>
    <col min="10757" max="10757" width="18" style="3422" customWidth="1"/>
    <col min="10758" max="10758" width="8.7265625" style="3422" customWidth="1"/>
    <col min="10759" max="10759" width="10.1796875" style="3422" customWidth="1"/>
    <col min="10760" max="10771" width="8.7265625" style="3422" customWidth="1"/>
    <col min="10772" max="10772" width="8.453125" style="3422" customWidth="1"/>
    <col min="10773" max="10774" width="8.81640625" style="3422" customWidth="1"/>
    <col min="10775" max="11009" width="9.1796875" style="3422"/>
    <col min="11010" max="11010" width="3.7265625" style="3422" customWidth="1"/>
    <col min="11011" max="11011" width="13.7265625" style="3422" customWidth="1"/>
    <col min="11012" max="11012" width="3.453125" style="3422" customWidth="1"/>
    <col min="11013" max="11013" width="18" style="3422" customWidth="1"/>
    <col min="11014" max="11014" width="8.7265625" style="3422" customWidth="1"/>
    <col min="11015" max="11015" width="10.1796875" style="3422" customWidth="1"/>
    <col min="11016" max="11027" width="8.7265625" style="3422" customWidth="1"/>
    <col min="11028" max="11028" width="8.453125" style="3422" customWidth="1"/>
    <col min="11029" max="11030" width="8.81640625" style="3422" customWidth="1"/>
    <col min="11031" max="11265" width="9.1796875" style="3422"/>
    <col min="11266" max="11266" width="3.7265625" style="3422" customWidth="1"/>
    <col min="11267" max="11267" width="13.7265625" style="3422" customWidth="1"/>
    <col min="11268" max="11268" width="3.453125" style="3422" customWidth="1"/>
    <col min="11269" max="11269" width="18" style="3422" customWidth="1"/>
    <col min="11270" max="11270" width="8.7265625" style="3422" customWidth="1"/>
    <col min="11271" max="11271" width="10.1796875" style="3422" customWidth="1"/>
    <col min="11272" max="11283" width="8.7265625" style="3422" customWidth="1"/>
    <col min="11284" max="11284" width="8.453125" style="3422" customWidth="1"/>
    <col min="11285" max="11286" width="8.81640625" style="3422" customWidth="1"/>
    <col min="11287" max="11521" width="9.1796875" style="3422"/>
    <col min="11522" max="11522" width="3.7265625" style="3422" customWidth="1"/>
    <col min="11523" max="11523" width="13.7265625" style="3422" customWidth="1"/>
    <col min="11524" max="11524" width="3.453125" style="3422" customWidth="1"/>
    <col min="11525" max="11525" width="18" style="3422" customWidth="1"/>
    <col min="11526" max="11526" width="8.7265625" style="3422" customWidth="1"/>
    <col min="11527" max="11527" width="10.1796875" style="3422" customWidth="1"/>
    <col min="11528" max="11539" width="8.7265625" style="3422" customWidth="1"/>
    <col min="11540" max="11540" width="8.453125" style="3422" customWidth="1"/>
    <col min="11541" max="11542" width="8.81640625" style="3422" customWidth="1"/>
    <col min="11543" max="11777" width="9.1796875" style="3422"/>
    <col min="11778" max="11778" width="3.7265625" style="3422" customWidth="1"/>
    <col min="11779" max="11779" width="13.7265625" style="3422" customWidth="1"/>
    <col min="11780" max="11780" width="3.453125" style="3422" customWidth="1"/>
    <col min="11781" max="11781" width="18" style="3422" customWidth="1"/>
    <col min="11782" max="11782" width="8.7265625" style="3422" customWidth="1"/>
    <col min="11783" max="11783" width="10.1796875" style="3422" customWidth="1"/>
    <col min="11784" max="11795" width="8.7265625" style="3422" customWidth="1"/>
    <col min="11796" max="11796" width="8.453125" style="3422" customWidth="1"/>
    <col min="11797" max="11798" width="8.81640625" style="3422" customWidth="1"/>
    <col min="11799" max="12033" width="9.1796875" style="3422"/>
    <col min="12034" max="12034" width="3.7265625" style="3422" customWidth="1"/>
    <col min="12035" max="12035" width="13.7265625" style="3422" customWidth="1"/>
    <col min="12036" max="12036" width="3.453125" style="3422" customWidth="1"/>
    <col min="12037" max="12037" width="18" style="3422" customWidth="1"/>
    <col min="12038" max="12038" width="8.7265625" style="3422" customWidth="1"/>
    <col min="12039" max="12039" width="10.1796875" style="3422" customWidth="1"/>
    <col min="12040" max="12051" width="8.7265625" style="3422" customWidth="1"/>
    <col min="12052" max="12052" width="8.453125" style="3422" customWidth="1"/>
    <col min="12053" max="12054" width="8.81640625" style="3422" customWidth="1"/>
    <col min="12055" max="12289" width="9.1796875" style="3422"/>
    <col min="12290" max="12290" width="3.7265625" style="3422" customWidth="1"/>
    <col min="12291" max="12291" width="13.7265625" style="3422" customWidth="1"/>
    <col min="12292" max="12292" width="3.453125" style="3422" customWidth="1"/>
    <col min="12293" max="12293" width="18" style="3422" customWidth="1"/>
    <col min="12294" max="12294" width="8.7265625" style="3422" customWidth="1"/>
    <col min="12295" max="12295" width="10.1796875" style="3422" customWidth="1"/>
    <col min="12296" max="12307" width="8.7265625" style="3422" customWidth="1"/>
    <col min="12308" max="12308" width="8.453125" style="3422" customWidth="1"/>
    <col min="12309" max="12310" width="8.81640625" style="3422" customWidth="1"/>
    <col min="12311" max="12545" width="9.1796875" style="3422"/>
    <col min="12546" max="12546" width="3.7265625" style="3422" customWidth="1"/>
    <col min="12547" max="12547" width="13.7265625" style="3422" customWidth="1"/>
    <col min="12548" max="12548" width="3.453125" style="3422" customWidth="1"/>
    <col min="12549" max="12549" width="18" style="3422" customWidth="1"/>
    <col min="12550" max="12550" width="8.7265625" style="3422" customWidth="1"/>
    <col min="12551" max="12551" width="10.1796875" style="3422" customWidth="1"/>
    <col min="12552" max="12563" width="8.7265625" style="3422" customWidth="1"/>
    <col min="12564" max="12564" width="8.453125" style="3422" customWidth="1"/>
    <col min="12565" max="12566" width="8.81640625" style="3422" customWidth="1"/>
    <col min="12567" max="12801" width="9.1796875" style="3422"/>
    <col min="12802" max="12802" width="3.7265625" style="3422" customWidth="1"/>
    <col min="12803" max="12803" width="13.7265625" style="3422" customWidth="1"/>
    <col min="12804" max="12804" width="3.453125" style="3422" customWidth="1"/>
    <col min="12805" max="12805" width="18" style="3422" customWidth="1"/>
    <col min="12806" max="12806" width="8.7265625" style="3422" customWidth="1"/>
    <col min="12807" max="12807" width="10.1796875" style="3422" customWidth="1"/>
    <col min="12808" max="12819" width="8.7265625" style="3422" customWidth="1"/>
    <col min="12820" max="12820" width="8.453125" style="3422" customWidth="1"/>
    <col min="12821" max="12822" width="8.81640625" style="3422" customWidth="1"/>
    <col min="12823" max="13057" width="9.1796875" style="3422"/>
    <col min="13058" max="13058" width="3.7265625" style="3422" customWidth="1"/>
    <col min="13059" max="13059" width="13.7265625" style="3422" customWidth="1"/>
    <col min="13060" max="13060" width="3.453125" style="3422" customWidth="1"/>
    <col min="13061" max="13061" width="18" style="3422" customWidth="1"/>
    <col min="13062" max="13062" width="8.7265625" style="3422" customWidth="1"/>
    <col min="13063" max="13063" width="10.1796875" style="3422" customWidth="1"/>
    <col min="13064" max="13075" width="8.7265625" style="3422" customWidth="1"/>
    <col min="13076" max="13076" width="8.453125" style="3422" customWidth="1"/>
    <col min="13077" max="13078" width="8.81640625" style="3422" customWidth="1"/>
    <col min="13079" max="13313" width="9.1796875" style="3422"/>
    <col min="13314" max="13314" width="3.7265625" style="3422" customWidth="1"/>
    <col min="13315" max="13315" width="13.7265625" style="3422" customWidth="1"/>
    <col min="13316" max="13316" width="3.453125" style="3422" customWidth="1"/>
    <col min="13317" max="13317" width="18" style="3422" customWidth="1"/>
    <col min="13318" max="13318" width="8.7265625" style="3422" customWidth="1"/>
    <col min="13319" max="13319" width="10.1796875" style="3422" customWidth="1"/>
    <col min="13320" max="13331" width="8.7265625" style="3422" customWidth="1"/>
    <col min="13332" max="13332" width="8.453125" style="3422" customWidth="1"/>
    <col min="13333" max="13334" width="8.81640625" style="3422" customWidth="1"/>
    <col min="13335" max="13569" width="9.1796875" style="3422"/>
    <col min="13570" max="13570" width="3.7265625" style="3422" customWidth="1"/>
    <col min="13571" max="13571" width="13.7265625" style="3422" customWidth="1"/>
    <col min="13572" max="13572" width="3.453125" style="3422" customWidth="1"/>
    <col min="13573" max="13573" width="18" style="3422" customWidth="1"/>
    <col min="13574" max="13574" width="8.7265625" style="3422" customWidth="1"/>
    <col min="13575" max="13575" width="10.1796875" style="3422" customWidth="1"/>
    <col min="13576" max="13587" width="8.7265625" style="3422" customWidth="1"/>
    <col min="13588" max="13588" width="8.453125" style="3422" customWidth="1"/>
    <col min="13589" max="13590" width="8.81640625" style="3422" customWidth="1"/>
    <col min="13591" max="13825" width="9.1796875" style="3422"/>
    <col min="13826" max="13826" width="3.7265625" style="3422" customWidth="1"/>
    <col min="13827" max="13827" width="13.7265625" style="3422" customWidth="1"/>
    <col min="13828" max="13828" width="3.453125" style="3422" customWidth="1"/>
    <col min="13829" max="13829" width="18" style="3422" customWidth="1"/>
    <col min="13830" max="13830" width="8.7265625" style="3422" customWidth="1"/>
    <col min="13831" max="13831" width="10.1796875" style="3422" customWidth="1"/>
    <col min="13832" max="13843" width="8.7265625" style="3422" customWidth="1"/>
    <col min="13844" max="13844" width="8.453125" style="3422" customWidth="1"/>
    <col min="13845" max="13846" width="8.81640625" style="3422" customWidth="1"/>
    <col min="13847" max="14081" width="9.1796875" style="3422"/>
    <col min="14082" max="14082" width="3.7265625" style="3422" customWidth="1"/>
    <col min="14083" max="14083" width="13.7265625" style="3422" customWidth="1"/>
    <col min="14084" max="14084" width="3.453125" style="3422" customWidth="1"/>
    <col min="14085" max="14085" width="18" style="3422" customWidth="1"/>
    <col min="14086" max="14086" width="8.7265625" style="3422" customWidth="1"/>
    <col min="14087" max="14087" width="10.1796875" style="3422" customWidth="1"/>
    <col min="14088" max="14099" width="8.7265625" style="3422" customWidth="1"/>
    <col min="14100" max="14100" width="8.453125" style="3422" customWidth="1"/>
    <col min="14101" max="14102" width="8.81640625" style="3422" customWidth="1"/>
    <col min="14103" max="14337" width="9.1796875" style="3422"/>
    <col min="14338" max="14338" width="3.7265625" style="3422" customWidth="1"/>
    <col min="14339" max="14339" width="13.7265625" style="3422" customWidth="1"/>
    <col min="14340" max="14340" width="3.453125" style="3422" customWidth="1"/>
    <col min="14341" max="14341" width="18" style="3422" customWidth="1"/>
    <col min="14342" max="14342" width="8.7265625" style="3422" customWidth="1"/>
    <col min="14343" max="14343" width="10.1796875" style="3422" customWidth="1"/>
    <col min="14344" max="14355" width="8.7265625" style="3422" customWidth="1"/>
    <col min="14356" max="14356" width="8.453125" style="3422" customWidth="1"/>
    <col min="14357" max="14358" width="8.81640625" style="3422" customWidth="1"/>
    <col min="14359" max="14593" width="9.1796875" style="3422"/>
    <col min="14594" max="14594" width="3.7265625" style="3422" customWidth="1"/>
    <col min="14595" max="14595" width="13.7265625" style="3422" customWidth="1"/>
    <col min="14596" max="14596" width="3.453125" style="3422" customWidth="1"/>
    <col min="14597" max="14597" width="18" style="3422" customWidth="1"/>
    <col min="14598" max="14598" width="8.7265625" style="3422" customWidth="1"/>
    <col min="14599" max="14599" width="10.1796875" style="3422" customWidth="1"/>
    <col min="14600" max="14611" width="8.7265625" style="3422" customWidth="1"/>
    <col min="14612" max="14612" width="8.453125" style="3422" customWidth="1"/>
    <col min="14613" max="14614" width="8.81640625" style="3422" customWidth="1"/>
    <col min="14615" max="14849" width="9.1796875" style="3422"/>
    <col min="14850" max="14850" width="3.7265625" style="3422" customWidth="1"/>
    <col min="14851" max="14851" width="13.7265625" style="3422" customWidth="1"/>
    <col min="14852" max="14852" width="3.453125" style="3422" customWidth="1"/>
    <col min="14853" max="14853" width="18" style="3422" customWidth="1"/>
    <col min="14854" max="14854" width="8.7265625" style="3422" customWidth="1"/>
    <col min="14855" max="14855" width="10.1796875" style="3422" customWidth="1"/>
    <col min="14856" max="14867" width="8.7265625" style="3422" customWidth="1"/>
    <col min="14868" max="14868" width="8.453125" style="3422" customWidth="1"/>
    <col min="14869" max="14870" width="8.81640625" style="3422" customWidth="1"/>
    <col min="14871" max="15105" width="9.1796875" style="3422"/>
    <col min="15106" max="15106" width="3.7265625" style="3422" customWidth="1"/>
    <col min="15107" max="15107" width="13.7265625" style="3422" customWidth="1"/>
    <col min="15108" max="15108" width="3.453125" style="3422" customWidth="1"/>
    <col min="15109" max="15109" width="18" style="3422" customWidth="1"/>
    <col min="15110" max="15110" width="8.7265625" style="3422" customWidth="1"/>
    <col min="15111" max="15111" width="10.1796875" style="3422" customWidth="1"/>
    <col min="15112" max="15123" width="8.7265625" style="3422" customWidth="1"/>
    <col min="15124" max="15124" width="8.453125" style="3422" customWidth="1"/>
    <col min="15125" max="15126" width="8.81640625" style="3422" customWidth="1"/>
    <col min="15127" max="15361" width="9.1796875" style="3422"/>
    <col min="15362" max="15362" width="3.7265625" style="3422" customWidth="1"/>
    <col min="15363" max="15363" width="13.7265625" style="3422" customWidth="1"/>
    <col min="15364" max="15364" width="3.453125" style="3422" customWidth="1"/>
    <col min="15365" max="15365" width="18" style="3422" customWidth="1"/>
    <col min="15366" max="15366" width="8.7265625" style="3422" customWidth="1"/>
    <col min="15367" max="15367" width="10.1796875" style="3422" customWidth="1"/>
    <col min="15368" max="15379" width="8.7265625" style="3422" customWidth="1"/>
    <col min="15380" max="15380" width="8.453125" style="3422" customWidth="1"/>
    <col min="15381" max="15382" width="8.81640625" style="3422" customWidth="1"/>
    <col min="15383" max="15617" width="9.1796875" style="3422"/>
    <col min="15618" max="15618" width="3.7265625" style="3422" customWidth="1"/>
    <col min="15619" max="15619" width="13.7265625" style="3422" customWidth="1"/>
    <col min="15620" max="15620" width="3.453125" style="3422" customWidth="1"/>
    <col min="15621" max="15621" width="18" style="3422" customWidth="1"/>
    <col min="15622" max="15622" width="8.7265625" style="3422" customWidth="1"/>
    <col min="15623" max="15623" width="10.1796875" style="3422" customWidth="1"/>
    <col min="15624" max="15635" width="8.7265625" style="3422" customWidth="1"/>
    <col min="15636" max="15636" width="8.453125" style="3422" customWidth="1"/>
    <col min="15637" max="15638" width="8.81640625" style="3422" customWidth="1"/>
    <col min="15639" max="15873" width="9.1796875" style="3422"/>
    <col min="15874" max="15874" width="3.7265625" style="3422" customWidth="1"/>
    <col min="15875" max="15875" width="13.7265625" style="3422" customWidth="1"/>
    <col min="15876" max="15876" width="3.453125" style="3422" customWidth="1"/>
    <col min="15877" max="15877" width="18" style="3422" customWidth="1"/>
    <col min="15878" max="15878" width="8.7265625" style="3422" customWidth="1"/>
    <col min="15879" max="15879" width="10.1796875" style="3422" customWidth="1"/>
    <col min="15880" max="15891" width="8.7265625" style="3422" customWidth="1"/>
    <col min="15892" max="15892" width="8.453125" style="3422" customWidth="1"/>
    <col min="15893" max="15894" width="8.81640625" style="3422" customWidth="1"/>
    <col min="15895" max="16129" width="9.1796875" style="3422"/>
    <col min="16130" max="16130" width="3.7265625" style="3422" customWidth="1"/>
    <col min="16131" max="16131" width="13.7265625" style="3422" customWidth="1"/>
    <col min="16132" max="16132" width="3.453125" style="3422" customWidth="1"/>
    <col min="16133" max="16133" width="18" style="3422" customWidth="1"/>
    <col min="16134" max="16134" width="8.7265625" style="3422" customWidth="1"/>
    <col min="16135" max="16135" width="10.1796875" style="3422" customWidth="1"/>
    <col min="16136" max="16147" width="8.7265625" style="3422" customWidth="1"/>
    <col min="16148" max="16148" width="8.453125" style="3422" customWidth="1"/>
    <col min="16149" max="16150" width="8.81640625" style="3422" customWidth="1"/>
    <col min="16151" max="16384" width="9.1796875" style="3422"/>
  </cols>
  <sheetData>
    <row r="1" spans="1:30" x14ac:dyDescent="0.35">
      <c r="D1" s="3421"/>
      <c r="E1" s="3421"/>
      <c r="F1" s="3421"/>
      <c r="G1" s="3421"/>
      <c r="H1" s="3421"/>
      <c r="I1" s="3421"/>
      <c r="J1" s="3421"/>
      <c r="K1" s="3421"/>
      <c r="L1" s="3421"/>
      <c r="M1" s="3421"/>
      <c r="N1" s="3421"/>
      <c r="O1" s="3421"/>
      <c r="P1" s="3421"/>
      <c r="Q1" s="3421"/>
      <c r="R1" s="3421"/>
      <c r="S1" s="3421"/>
    </row>
    <row r="2" spans="1:30" ht="15" customHeight="1" x14ac:dyDescent="0.35">
      <c r="A2" s="819">
        <v>1</v>
      </c>
      <c r="B2" s="3423" t="s">
        <v>0</v>
      </c>
      <c r="C2" s="3423">
        <v>62</v>
      </c>
      <c r="D2" s="4648" t="s">
        <v>1414</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50"/>
    </row>
    <row r="3" spans="1:30" ht="15" customHeight="1" x14ac:dyDescent="0.35">
      <c r="A3" s="819">
        <v>2</v>
      </c>
      <c r="B3" s="3423" t="s">
        <v>2</v>
      </c>
      <c r="C3" s="3423"/>
      <c r="D3" s="4648" t="s">
        <v>1391</v>
      </c>
      <c r="E3" s="4649"/>
      <c r="F3" s="4649"/>
      <c r="G3" s="4649"/>
      <c r="H3" s="4649"/>
      <c r="I3" s="4649"/>
      <c r="J3" s="4649"/>
      <c r="K3" s="4649"/>
      <c r="L3" s="4649"/>
      <c r="M3" s="4649"/>
      <c r="N3" s="4649"/>
      <c r="O3" s="4649"/>
      <c r="P3" s="4649"/>
      <c r="Q3" s="4649"/>
      <c r="R3" s="4649"/>
      <c r="S3" s="4649"/>
      <c r="T3" s="4649"/>
      <c r="U3" s="4649"/>
      <c r="V3" s="4649"/>
      <c r="W3" s="4649"/>
      <c r="X3" s="4649"/>
      <c r="Y3" s="4649"/>
      <c r="Z3" s="4649"/>
      <c r="AA3" s="4649"/>
      <c r="AB3" s="4649"/>
      <c r="AC3" s="4650"/>
    </row>
    <row r="4" spans="1:30" ht="12.75" customHeight="1" x14ac:dyDescent="0.35">
      <c r="A4" s="819">
        <v>3</v>
      </c>
      <c r="B4" s="3423" t="s">
        <v>4</v>
      </c>
      <c r="C4" s="3511"/>
      <c r="D4" s="4648" t="s">
        <v>1415</v>
      </c>
      <c r="E4" s="4649"/>
      <c r="F4" s="4649"/>
      <c r="G4" s="4649"/>
      <c r="H4" s="4649"/>
      <c r="I4" s="4649"/>
      <c r="J4" s="4649"/>
      <c r="K4" s="4649"/>
      <c r="L4" s="4649"/>
      <c r="M4" s="4649"/>
      <c r="N4" s="4649"/>
      <c r="O4" s="4649"/>
      <c r="P4" s="4649"/>
      <c r="Q4" s="4649"/>
      <c r="R4" s="4649"/>
      <c r="S4" s="4649"/>
      <c r="T4" s="4649"/>
      <c r="U4" s="4649"/>
      <c r="V4" s="4649"/>
      <c r="W4" s="4649"/>
      <c r="X4" s="4649"/>
      <c r="Y4" s="4649"/>
      <c r="Z4" s="4649"/>
      <c r="AA4" s="4649"/>
      <c r="AB4" s="4649"/>
      <c r="AC4" s="4650"/>
    </row>
    <row r="5" spans="1:30" ht="12.75" customHeight="1" x14ac:dyDescent="0.35">
      <c r="A5" s="819"/>
      <c r="B5" s="3423"/>
      <c r="C5" s="3511"/>
      <c r="D5" s="235"/>
      <c r="E5" s="235"/>
      <c r="F5" s="235"/>
      <c r="G5" s="235"/>
      <c r="H5" s="235"/>
      <c r="I5" s="235"/>
      <c r="J5" s="235"/>
      <c r="K5" s="235"/>
      <c r="L5" s="235"/>
      <c r="M5" s="235"/>
      <c r="N5" s="235"/>
      <c r="O5" s="235"/>
      <c r="P5" s="235"/>
      <c r="Q5" s="235"/>
      <c r="R5" s="235"/>
      <c r="S5" s="235"/>
      <c r="T5" s="235"/>
      <c r="U5" s="235"/>
      <c r="V5" s="235"/>
      <c r="AB5" s="3436"/>
    </row>
    <row r="6" spans="1:30" ht="12.75" customHeight="1" x14ac:dyDescent="0.35">
      <c r="A6" s="819"/>
      <c r="B6" s="2631"/>
      <c r="C6" s="2631"/>
      <c r="D6" s="3512"/>
      <c r="E6" s="3513"/>
      <c r="F6" s="3513"/>
      <c r="G6" s="3513"/>
      <c r="H6" s="3513"/>
      <c r="I6" s="3513"/>
      <c r="J6" s="3513"/>
      <c r="K6" s="3513"/>
      <c r="L6" s="3513"/>
      <c r="M6" s="3513"/>
      <c r="N6" s="3513"/>
      <c r="O6" s="3513"/>
      <c r="P6" s="3513"/>
      <c r="Q6" s="3513"/>
      <c r="R6" s="3513"/>
    </row>
    <row r="7" spans="1:30" x14ac:dyDescent="0.35">
      <c r="A7" s="819">
        <v>4</v>
      </c>
      <c r="B7" s="1192" t="s">
        <v>6</v>
      </c>
      <c r="D7" s="3514" t="s">
        <v>85</v>
      </c>
      <c r="E7" s="3514" t="s">
        <v>1416</v>
      </c>
      <c r="F7" s="3514"/>
      <c r="G7" s="3514"/>
      <c r="H7" s="3514"/>
      <c r="I7" s="3514"/>
      <c r="J7" s="3514"/>
      <c r="K7" s="3514"/>
      <c r="L7" s="3514"/>
      <c r="M7" s="3515"/>
      <c r="N7" s="3515"/>
      <c r="O7" s="3515"/>
      <c r="P7" s="3515"/>
      <c r="Q7" s="3515"/>
      <c r="R7" s="3515"/>
      <c r="S7" s="3516"/>
      <c r="T7" s="3516"/>
      <c r="U7" s="3516"/>
      <c r="V7" s="3516"/>
      <c r="W7" s="3517"/>
      <c r="X7" s="3516"/>
      <c r="Y7" s="3516"/>
      <c r="Z7" s="3516"/>
      <c r="AA7" s="3516"/>
      <c r="AB7" s="3516"/>
      <c r="AC7" s="3516"/>
    </row>
    <row r="8" spans="1:30" x14ac:dyDescent="0.35">
      <c r="A8" s="2633"/>
      <c r="D8" s="3518"/>
      <c r="E8" s="3519" t="s">
        <v>102</v>
      </c>
      <c r="F8" s="3519" t="s">
        <v>103</v>
      </c>
      <c r="G8" s="3519" t="s">
        <v>104</v>
      </c>
      <c r="H8" s="3519" t="s">
        <v>105</v>
      </c>
      <c r="I8" s="3519" t="s">
        <v>106</v>
      </c>
      <c r="J8" s="3520" t="s">
        <v>107</v>
      </c>
      <c r="K8" s="3520" t="s">
        <v>108</v>
      </c>
      <c r="L8" s="3519" t="s">
        <v>109</v>
      </c>
      <c r="M8" s="3521" t="s">
        <v>110</v>
      </c>
      <c r="N8" s="3520" t="s">
        <v>111</v>
      </c>
      <c r="O8" s="3520" t="s">
        <v>112</v>
      </c>
      <c r="P8" s="3520" t="s">
        <v>1417</v>
      </c>
      <c r="Q8" s="3520" t="s">
        <v>114</v>
      </c>
      <c r="R8" s="3520" t="s">
        <v>115</v>
      </c>
      <c r="S8" s="3520" t="s">
        <v>116</v>
      </c>
      <c r="T8" s="3522" t="s">
        <v>117</v>
      </c>
      <c r="U8" s="3522" t="s">
        <v>118</v>
      </c>
      <c r="V8" s="3522" t="s">
        <v>119</v>
      </c>
      <c r="W8" s="3522" t="s">
        <v>120</v>
      </c>
      <c r="X8" s="3522" t="s">
        <v>121</v>
      </c>
      <c r="Y8" s="3522" t="s">
        <v>122</v>
      </c>
      <c r="Z8" s="3522" t="s">
        <v>123</v>
      </c>
      <c r="AA8" s="3522" t="s">
        <v>124</v>
      </c>
      <c r="AB8" s="3522" t="s">
        <v>125</v>
      </c>
      <c r="AC8" s="3522" t="s">
        <v>126</v>
      </c>
      <c r="AD8" s="3522" t="s">
        <v>302</v>
      </c>
    </row>
    <row r="9" spans="1:30" ht="18.75" customHeight="1" x14ac:dyDescent="0.35">
      <c r="A9" s="2633"/>
      <c r="D9" s="732" t="s">
        <v>1418</v>
      </c>
      <c r="E9" s="3523">
        <v>1689.1</v>
      </c>
      <c r="F9" s="3523">
        <v>1693.4</v>
      </c>
      <c r="G9" s="3523">
        <v>1591.3</v>
      </c>
      <c r="H9" s="3523">
        <v>1615.9</v>
      </c>
      <c r="I9" s="3523">
        <v>1684.8</v>
      </c>
      <c r="J9" s="3523">
        <v>1679</v>
      </c>
      <c r="K9" s="3523">
        <v>1686.4</v>
      </c>
      <c r="L9" s="3523">
        <v>1623.3</v>
      </c>
      <c r="M9" s="3523">
        <v>1605.4</v>
      </c>
      <c r="N9" s="3523">
        <v>1434.3</v>
      </c>
      <c r="O9" s="3523">
        <v>1281.9999999999998</v>
      </c>
      <c r="P9" s="3523">
        <v>1217.1000000000001</v>
      </c>
      <c r="Q9" s="3523">
        <v>1154.6999999999998</v>
      </c>
      <c r="R9" s="3523">
        <v>1090</v>
      </c>
      <c r="S9" s="3523">
        <v>1093</v>
      </c>
      <c r="T9" s="3524">
        <v>1122</v>
      </c>
      <c r="U9" s="3524">
        <f>(528957/51029719.02)*100000</f>
        <v>1036.566554075453</v>
      </c>
      <c r="V9" s="3524">
        <f>(530624/51759547.67)*100000</f>
        <v>1025.1712464395266</v>
      </c>
      <c r="W9" s="3524">
        <f>(558334/52517864.18)*100000</f>
        <v>1063.1315814488632</v>
      </c>
      <c r="X9" s="3524">
        <f>(558228/53304520.02)*100000</f>
        <v>1047.2432727854061</v>
      </c>
      <c r="Y9" s="3524">
        <f>(553487/54120306.16)*100000</f>
        <v>1022.6974665732379</v>
      </c>
      <c r="Z9" s="3524">
        <f>(543524/54965281.74)*100000</f>
        <v>988.84965708173593</v>
      </c>
      <c r="AA9" s="3524">
        <f>(540653/55843010.66)*100000</f>
        <v>968.1659237388975</v>
      </c>
      <c r="AB9" s="3524">
        <f>(507975/56753326.89)*100000</f>
        <v>895.05766064527529</v>
      </c>
      <c r="AC9" s="3524">
        <f>(495161/57698414)*100000</f>
        <v>858.18823373550617</v>
      </c>
      <c r="AD9" s="3524">
        <f>(469224/58678234.75)*100000</f>
        <v>799.65595761211966</v>
      </c>
    </row>
    <row r="10" spans="1:30" x14ac:dyDescent="0.35">
      <c r="A10" s="2631"/>
      <c r="D10" s="732" t="s">
        <v>1419</v>
      </c>
      <c r="E10" s="3523">
        <v>1625.8</v>
      </c>
      <c r="F10" s="3523">
        <v>1656.3</v>
      </c>
      <c r="G10" s="3523">
        <v>1618.5</v>
      </c>
      <c r="H10" s="3523">
        <v>1624.4</v>
      </c>
      <c r="I10" s="3523">
        <v>1675.1</v>
      </c>
      <c r="J10" s="3523">
        <v>1790.7</v>
      </c>
      <c r="K10" s="3523">
        <v>1901.9</v>
      </c>
      <c r="L10" s="3523">
        <v>1873.9</v>
      </c>
      <c r="M10" s="3523">
        <v>1951.7</v>
      </c>
      <c r="N10" s="3523">
        <v>1910.5</v>
      </c>
      <c r="O10" s="3523">
        <v>1818.8</v>
      </c>
      <c r="P10" s="3523">
        <v>1612.6000000000001</v>
      </c>
      <c r="Q10" s="3523">
        <v>1541.1</v>
      </c>
      <c r="R10" s="3523">
        <v>1447.3999999999999</v>
      </c>
      <c r="S10" s="3523">
        <v>1405.3</v>
      </c>
      <c r="T10" s="3524">
        <v>1371.3999999999999</v>
      </c>
      <c r="U10" s="3524">
        <f>(633228/51029719.02)*100000</f>
        <v>1240.9004246169177</v>
      </c>
      <c r="V10" s="3524">
        <f>(615935/51759547.67)*100000</f>
        <v>1189.993011389854</v>
      </c>
      <c r="W10" s="3524">
        <f>(608724/52517864.18)*100000</f>
        <v>1159.0798854912612</v>
      </c>
      <c r="X10" s="3524">
        <f>(611574/53304520.02)*100000</f>
        <v>1147.3210897885128</v>
      </c>
      <c r="Y10" s="3524">
        <f>(616973/54120306.16)*100000</f>
        <v>1140.0027896664064</v>
      </c>
      <c r="Z10" s="3524">
        <f>(623223/54965281.74)*100000</f>
        <v>1133.8484590109188</v>
      </c>
      <c r="AA10" s="3524">
        <f>(608321/55843010.66)*100000</f>
        <v>1089.3413388897682</v>
      </c>
      <c r="AB10" s="3524">
        <f>(601366/56753326.89)*100000</f>
        <v>1059.6136525451186</v>
      </c>
      <c r="AC10" s="3524">
        <f>(617210/57698414.32)*100000</f>
        <v>1069.7174389869783</v>
      </c>
      <c r="AD10" s="3524">
        <f>(621282/58678234.75)*100000</f>
        <v>1058.7946325362147</v>
      </c>
    </row>
    <row r="11" spans="1:30" x14ac:dyDescent="0.35">
      <c r="A11" s="819"/>
      <c r="D11" s="3012" t="s">
        <v>1420</v>
      </c>
      <c r="E11" s="3523">
        <v>1328.9</v>
      </c>
      <c r="F11" s="3523">
        <v>1293.4000000000001</v>
      </c>
      <c r="G11" s="3523">
        <v>1229.9000000000001</v>
      </c>
      <c r="H11" s="3523">
        <v>1277.3</v>
      </c>
      <c r="I11" s="3523">
        <v>1356.1</v>
      </c>
      <c r="J11" s="3523">
        <v>1463.9</v>
      </c>
      <c r="K11" s="3523">
        <v>1588.4</v>
      </c>
      <c r="L11" s="3523">
        <v>1569.7</v>
      </c>
      <c r="M11" s="3523">
        <v>1640.1</v>
      </c>
      <c r="N11" s="3523">
        <v>1582.8</v>
      </c>
      <c r="O11" s="3523">
        <v>1409.7</v>
      </c>
      <c r="P11" s="3523">
        <v>1175.8</v>
      </c>
      <c r="Q11" s="3523">
        <v>1144.4000000000001</v>
      </c>
      <c r="R11" s="3523">
        <v>1102.5</v>
      </c>
      <c r="S11" s="3523">
        <v>1134.5</v>
      </c>
      <c r="T11" s="3524">
        <v>1096.7</v>
      </c>
      <c r="U11" s="3524">
        <f>(525194/51029719.02)*100000</f>
        <v>1029.192419801805</v>
      </c>
      <c r="V11" s="3524">
        <f>(528296/51759547.67)*100000</f>
        <v>1020.6735255265803</v>
      </c>
      <c r="W11" s="3524">
        <f>(517252/52517864.18)*100000</f>
        <v>984.90677044132599</v>
      </c>
      <c r="X11" s="3524">
        <f>(510748/53304520.02)*100000</f>
        <v>958.17015106479892</v>
      </c>
      <c r="Y11" s="3524">
        <f>(499698/54120306.16)*100000</f>
        <v>923.30963265932871</v>
      </c>
      <c r="Z11" s="3524">
        <f>(479075/54965281.74)*100000</f>
        <v>871.595641529045</v>
      </c>
      <c r="AA11" s="3524">
        <f>(469276/55843010.66)*100000</f>
        <v>840.34867471094196</v>
      </c>
      <c r="AB11" s="3524">
        <f>(438113/56753326.89)*100000</f>
        <v>771.96003125800189</v>
      </c>
      <c r="AC11" s="3524">
        <f>(444447/57698414.32)*100000</f>
        <v>770.29326583406873</v>
      </c>
      <c r="AD11" s="3524">
        <f>(426569/58678234.75)*100000</f>
        <v>726.96290510000392</v>
      </c>
    </row>
    <row r="12" spans="1:30" x14ac:dyDescent="0.35">
      <c r="A12" s="2631"/>
      <c r="D12" s="732" t="s">
        <v>1421</v>
      </c>
      <c r="E12" s="3523">
        <v>346</v>
      </c>
      <c r="F12" s="3523">
        <v>352</v>
      </c>
      <c r="G12" s="3523">
        <v>344.7</v>
      </c>
      <c r="H12" s="3523">
        <v>331.4</v>
      </c>
      <c r="I12" s="3523">
        <v>331.5</v>
      </c>
      <c r="J12" s="3523">
        <v>334.3</v>
      </c>
      <c r="K12" s="3523">
        <v>339.7</v>
      </c>
      <c r="L12" s="3523">
        <v>344</v>
      </c>
      <c r="M12" s="3523">
        <v>365.8</v>
      </c>
      <c r="N12" s="3523">
        <v>360.2</v>
      </c>
      <c r="O12" s="3523">
        <v>341.3</v>
      </c>
      <c r="P12" s="3523">
        <v>324</v>
      </c>
      <c r="Q12" s="3523">
        <v>319.10000000000002</v>
      </c>
      <c r="R12" s="3523">
        <v>301.7</v>
      </c>
      <c r="S12" s="3525">
        <v>289.89999999999998</v>
      </c>
      <c r="T12" s="3526">
        <v>281.5</v>
      </c>
      <c r="U12" s="3524">
        <f>(128971/51029719.02)*100000</f>
        <v>252.73703731241906</v>
      </c>
      <c r="V12" s="3012">
        <f>(125903/51759547.67)*100000</f>
        <v>243.2459433430748</v>
      </c>
      <c r="W12" s="3012">
        <f>(124691/52517864.18)*100000</f>
        <v>237.42587774063585</v>
      </c>
      <c r="X12" s="3012">
        <f>(123441/53304520.02)*100000</f>
        <v>231.57698437896937</v>
      </c>
      <c r="Y12" s="4404">
        <f>(125789/54120306.16)*100000</f>
        <v>232.42477532946759</v>
      </c>
      <c r="Z12" s="4404">
        <f>(124804/54965281.74)*100000</f>
        <v>227.05969304470264</v>
      </c>
      <c r="AA12" s="3524">
        <f>(120730/55843010.66)*100000</f>
        <v>216.19536370462589</v>
      </c>
      <c r="AB12" s="4405">
        <f>(115361/56753326.89)*100000</f>
        <v>203.26737888616489</v>
      </c>
      <c r="AC12" s="4405">
        <f>(117172/57698414.32)*100000</f>
        <v>203.0766380340277</v>
      </c>
      <c r="AD12" s="4407">
        <f>(112244/58678234.75)*100000</f>
        <v>191.28728135435261</v>
      </c>
    </row>
    <row r="13" spans="1:30" x14ac:dyDescent="0.35">
      <c r="A13" s="2631"/>
      <c r="D13" s="3528" t="s">
        <v>1422</v>
      </c>
      <c r="E13" s="3529">
        <v>4989.7999999999993</v>
      </c>
      <c r="F13" s="3529">
        <v>4995.1000000000004</v>
      </c>
      <c r="G13" s="3529">
        <v>4784.4000000000005</v>
      </c>
      <c r="H13" s="3529">
        <v>4849</v>
      </c>
      <c r="I13" s="3529">
        <v>5047.5</v>
      </c>
      <c r="J13" s="3529">
        <v>5267.9000000000005</v>
      </c>
      <c r="K13" s="3529">
        <v>5516.4000000000005</v>
      </c>
      <c r="L13" s="3529">
        <v>5410.9</v>
      </c>
      <c r="M13" s="3529">
        <v>5563.0000000000009</v>
      </c>
      <c r="N13" s="3529">
        <v>5287.8</v>
      </c>
      <c r="O13" s="3529">
        <v>4851.8</v>
      </c>
      <c r="P13" s="3529">
        <v>4329.5</v>
      </c>
      <c r="Q13" s="3529">
        <v>4159.3</v>
      </c>
      <c r="R13" s="3529">
        <v>3941.5999999999995</v>
      </c>
      <c r="S13" s="3529">
        <v>3922.7000000000003</v>
      </c>
      <c r="T13" s="3530">
        <v>3871.6</v>
      </c>
      <c r="U13" s="3530">
        <f>(1816350/51029719.02)*100000</f>
        <v>3559.3964358065946</v>
      </c>
      <c r="V13" s="3530">
        <f>SUM(V9:V12)</f>
        <v>3479.0837266990357</v>
      </c>
      <c r="W13" s="3530">
        <f>(1809001/52517864.18)*100000</f>
        <v>3444.5441151220862</v>
      </c>
      <c r="X13" s="3530">
        <f>(1795947/53304520.02)*100000</f>
        <v>3369.2208452982145</v>
      </c>
      <c r="Y13" s="3530">
        <f>(1770626/54120306.16)*100000</f>
        <v>3271.6481587620056</v>
      </c>
      <c r="Z13" s="3530">
        <f>(1770626/54965281.74)*100000</f>
        <v>3221.3534506664028</v>
      </c>
      <c r="AA13" s="3530">
        <f>(1738980/55843010.66)*100000</f>
        <v>3114.0513010442337</v>
      </c>
      <c r="AB13" s="4406">
        <f>(1662815/56753326.89)*100000</f>
        <v>2929.8987233345611</v>
      </c>
      <c r="AC13" s="4406">
        <f>(1673990/57698414.32)*100000</f>
        <v>2901.2755718310004</v>
      </c>
      <c r="AD13" s="4406">
        <f>SUM(AD9:AD12)</f>
        <v>2776.7007766026909</v>
      </c>
    </row>
    <row r="14" spans="1:30" s="3494" customFormat="1" hidden="1" x14ac:dyDescent="0.35">
      <c r="A14" s="2631"/>
      <c r="B14" s="3490"/>
      <c r="C14" s="3490"/>
      <c r="D14" s="3492"/>
      <c r="E14" s="3492"/>
      <c r="F14" s="3492"/>
      <c r="G14" s="3492"/>
      <c r="H14" s="3492"/>
      <c r="I14" s="3492"/>
      <c r="J14" s="3492"/>
      <c r="K14" s="3531"/>
      <c r="L14" s="3492"/>
      <c r="M14" s="3492"/>
      <c r="N14" s="3492"/>
      <c r="O14" s="3492"/>
      <c r="P14" s="3492"/>
      <c r="Q14" s="3492"/>
      <c r="R14" s="3492"/>
      <c r="S14" s="3422"/>
      <c r="U14" s="3532"/>
      <c r="V14" s="3532"/>
      <c r="W14" s="3532"/>
      <c r="X14" s="3532"/>
      <c r="Y14" s="3532"/>
      <c r="Z14" s="3532"/>
      <c r="AA14" s="3532"/>
      <c r="AB14" s="3532"/>
      <c r="AC14" s="3532"/>
      <c r="AD14" s="3532"/>
    </row>
    <row r="15" spans="1:30" hidden="1" x14ac:dyDescent="0.35">
      <c r="A15" s="2631"/>
      <c r="B15" s="3495"/>
      <c r="C15" s="1192"/>
      <c r="D15" s="2079"/>
      <c r="E15" s="3533"/>
      <c r="F15" s="3533"/>
      <c r="G15" s="3533"/>
      <c r="H15" s="3533"/>
      <c r="I15" s="108"/>
      <c r="J15" s="108"/>
      <c r="K15" s="108"/>
      <c r="L15" s="108"/>
      <c r="M15" s="108"/>
      <c r="N15" s="108"/>
      <c r="O15" s="109"/>
      <c r="P15" s="109"/>
      <c r="Q15" s="109"/>
      <c r="R15" s="109"/>
      <c r="S15" s="330"/>
      <c r="T15" s="3498"/>
      <c r="U15" s="3534"/>
      <c r="V15" s="3534"/>
      <c r="W15" s="3534"/>
      <c r="X15" s="3534"/>
      <c r="Y15" s="3535"/>
      <c r="Z15" s="3535"/>
      <c r="AA15" s="3535"/>
      <c r="AB15" s="3535"/>
      <c r="AC15" s="3535"/>
      <c r="AD15" s="3535"/>
    </row>
    <row r="16" spans="1:30" x14ac:dyDescent="0.35">
      <c r="A16" s="2631">
        <v>5</v>
      </c>
      <c r="B16" s="1192" t="s">
        <v>56</v>
      </c>
      <c r="C16" s="2077"/>
      <c r="D16" s="2078"/>
      <c r="E16" s="109"/>
      <c r="F16" s="109"/>
      <c r="G16" s="109"/>
      <c r="H16" s="109"/>
      <c r="I16" s="109"/>
      <c r="J16" s="109"/>
      <c r="K16" s="109"/>
      <c r="L16" s="109"/>
      <c r="M16" s="109"/>
      <c r="N16" s="109"/>
      <c r="O16" s="109"/>
      <c r="P16" s="109"/>
      <c r="Q16" s="109"/>
      <c r="R16" s="109"/>
      <c r="S16" s="330"/>
      <c r="T16" s="3498"/>
      <c r="U16" s="3534"/>
      <c r="V16" s="3534"/>
      <c r="W16" s="3534"/>
      <c r="X16" s="3534"/>
      <c r="Y16" s="3535"/>
      <c r="Z16" s="3535"/>
      <c r="AA16" s="3535"/>
      <c r="AB16" s="3535"/>
      <c r="AC16" s="3535"/>
      <c r="AD16" s="3535"/>
    </row>
    <row r="17" spans="1:29" x14ac:dyDescent="0.35">
      <c r="A17" s="2631"/>
      <c r="B17" s="2077"/>
      <c r="C17" s="2077"/>
      <c r="D17" s="2078"/>
      <c r="E17" s="109"/>
      <c r="F17" s="109"/>
      <c r="G17" s="109"/>
      <c r="H17" s="109"/>
      <c r="I17" s="109"/>
      <c r="J17" s="109"/>
      <c r="K17" s="109"/>
      <c r="L17" s="109"/>
      <c r="M17" s="109"/>
      <c r="N17" s="109"/>
      <c r="O17" s="109"/>
      <c r="P17" s="109"/>
      <c r="Q17" s="109"/>
      <c r="R17" s="109"/>
      <c r="S17" s="330"/>
      <c r="T17" s="3498"/>
      <c r="U17" s="3498"/>
      <c r="V17" s="3498"/>
      <c r="W17" s="3498"/>
      <c r="X17" s="3498"/>
      <c r="AC17" s="3436"/>
    </row>
    <row r="18" spans="1:29" x14ac:dyDescent="0.35">
      <c r="A18" s="2631"/>
      <c r="B18" s="2077"/>
      <c r="C18" s="2077"/>
      <c r="D18" s="2078"/>
      <c r="E18" s="109"/>
      <c r="F18" s="109"/>
      <c r="G18" s="109"/>
      <c r="H18" s="109"/>
      <c r="I18" s="109"/>
      <c r="J18" s="109"/>
      <c r="K18" s="109"/>
      <c r="L18" s="109"/>
      <c r="M18" s="109"/>
      <c r="N18" s="109"/>
      <c r="O18" s="109"/>
      <c r="P18" s="109"/>
      <c r="Q18" s="109"/>
      <c r="R18" s="109"/>
      <c r="S18" s="330"/>
      <c r="T18" s="3498"/>
      <c r="U18" s="3498"/>
      <c r="V18" s="3498"/>
      <c r="W18" s="3498"/>
      <c r="X18" s="3498"/>
      <c r="AC18" s="3436"/>
    </row>
    <row r="19" spans="1:29" x14ac:dyDescent="0.35">
      <c r="A19" s="2631"/>
      <c r="B19" s="2077"/>
      <c r="C19" s="2077"/>
      <c r="D19" s="2078"/>
      <c r="E19" s="109"/>
      <c r="F19" s="109"/>
      <c r="G19" s="109"/>
      <c r="H19" s="109"/>
      <c r="I19" s="109"/>
      <c r="J19" s="109"/>
      <c r="K19" s="109"/>
      <c r="L19" s="109"/>
      <c r="M19" s="109"/>
      <c r="N19" s="109"/>
      <c r="O19" s="109"/>
      <c r="P19" s="109"/>
      <c r="Q19" s="109"/>
      <c r="R19" s="109"/>
      <c r="S19" s="330"/>
    </row>
    <row r="20" spans="1:29" x14ac:dyDescent="0.35">
      <c r="A20" s="2631"/>
      <c r="B20" s="3536"/>
      <c r="C20" s="3536"/>
      <c r="D20" s="2078"/>
      <c r="E20" s="109"/>
      <c r="F20" s="109"/>
      <c r="G20" s="109"/>
      <c r="H20" s="109"/>
      <c r="I20" s="109"/>
      <c r="J20" s="3533"/>
      <c r="K20" s="109"/>
      <c r="L20" s="109"/>
      <c r="M20" s="109"/>
      <c r="N20" s="109"/>
      <c r="O20" s="109"/>
      <c r="P20" s="109"/>
      <c r="Q20" s="109"/>
      <c r="R20" s="109"/>
      <c r="S20" s="330"/>
    </row>
    <row r="21" spans="1:29" x14ac:dyDescent="0.35">
      <c r="A21" s="2631"/>
      <c r="B21" s="2077"/>
      <c r="C21" s="2077"/>
      <c r="D21" s="2078"/>
      <c r="E21" s="109"/>
      <c r="F21" s="109"/>
      <c r="G21" s="109"/>
      <c r="H21" s="109"/>
      <c r="I21" s="109"/>
      <c r="J21" s="109"/>
      <c r="K21" s="109"/>
      <c r="L21" s="109"/>
      <c r="M21" s="109"/>
      <c r="N21" s="109"/>
      <c r="O21" s="109"/>
      <c r="P21" s="109"/>
      <c r="Q21" s="109"/>
      <c r="R21" s="109"/>
      <c r="S21" s="330"/>
    </row>
    <row r="22" spans="1:29" x14ac:dyDescent="0.35">
      <c r="A22" s="2631"/>
      <c r="B22" s="2077"/>
      <c r="C22" s="2077"/>
      <c r="D22" s="2078"/>
      <c r="E22" s="109"/>
      <c r="F22" s="109"/>
      <c r="G22" s="109"/>
      <c r="H22" s="109"/>
      <c r="I22" s="109"/>
      <c r="J22" s="109"/>
      <c r="K22" s="109"/>
      <c r="L22" s="109"/>
      <c r="M22" s="109"/>
      <c r="N22" s="109"/>
      <c r="O22" s="109"/>
      <c r="P22" s="109"/>
      <c r="Q22" s="109"/>
      <c r="R22" s="109"/>
      <c r="S22" s="330"/>
    </row>
    <row r="23" spans="1:29" x14ac:dyDescent="0.35">
      <c r="A23" s="2631"/>
      <c r="B23" s="2077"/>
      <c r="C23" s="2077"/>
      <c r="D23" s="2078"/>
      <c r="E23" s="109"/>
      <c r="F23" s="109"/>
      <c r="G23" s="109"/>
      <c r="H23" s="109"/>
      <c r="I23" s="109"/>
      <c r="J23" s="109"/>
      <c r="K23" s="109"/>
      <c r="L23" s="109"/>
      <c r="M23" s="109"/>
      <c r="N23" s="109"/>
      <c r="O23" s="109"/>
      <c r="P23" s="109"/>
      <c r="Q23" s="109"/>
      <c r="R23" s="109"/>
      <c r="S23" s="330"/>
    </row>
    <row r="24" spans="1:29" x14ac:dyDescent="0.35">
      <c r="A24" s="2631"/>
      <c r="B24" s="2077"/>
      <c r="C24" s="2077"/>
      <c r="D24" s="2078"/>
      <c r="E24" s="109"/>
      <c r="F24" s="109"/>
      <c r="G24" s="109"/>
      <c r="H24" s="109"/>
      <c r="I24" s="109"/>
      <c r="J24" s="109"/>
      <c r="K24" s="109"/>
      <c r="L24" s="109"/>
      <c r="M24" s="109"/>
      <c r="N24" s="109"/>
      <c r="O24" s="109"/>
      <c r="P24" s="109"/>
      <c r="Q24" s="109"/>
      <c r="R24" s="109"/>
      <c r="S24" s="330"/>
    </row>
    <row r="25" spans="1:29" x14ac:dyDescent="0.35">
      <c r="A25" s="2631"/>
      <c r="B25" s="2077"/>
      <c r="C25" s="2077"/>
      <c r="D25" s="2078"/>
      <c r="E25" s="2078"/>
      <c r="F25" s="2078"/>
      <c r="G25" s="2078"/>
      <c r="H25" s="2078"/>
      <c r="I25" s="2078"/>
      <c r="J25" s="2078"/>
      <c r="K25" s="2078"/>
      <c r="L25" s="2078"/>
      <c r="M25" s="2078"/>
      <c r="N25" s="2078"/>
      <c r="O25" s="2078"/>
      <c r="P25" s="2078"/>
      <c r="Q25" s="2078"/>
      <c r="R25" s="2078"/>
      <c r="S25" s="3421"/>
    </row>
    <row r="26" spans="1:29" x14ac:dyDescent="0.35">
      <c r="A26" s="2631"/>
      <c r="B26" s="2077"/>
      <c r="C26" s="2077"/>
      <c r="D26" s="2078"/>
      <c r="E26" s="2078"/>
      <c r="F26" s="2078"/>
      <c r="G26" s="2078"/>
      <c r="H26" s="2078"/>
      <c r="I26" s="2078"/>
      <c r="J26" s="2078"/>
      <c r="K26" s="2078"/>
      <c r="L26" s="2078"/>
      <c r="M26" s="2078"/>
      <c r="N26" s="2078"/>
      <c r="O26" s="2078"/>
      <c r="P26" s="2078"/>
      <c r="Q26" s="2078"/>
      <c r="R26" s="2078"/>
      <c r="S26" s="3421"/>
    </row>
    <row r="27" spans="1:29" x14ac:dyDescent="0.35">
      <c r="B27" s="2077"/>
      <c r="C27" s="2077"/>
      <c r="D27" s="2078"/>
      <c r="E27" s="2078"/>
      <c r="F27" s="2078"/>
      <c r="G27" s="2078"/>
      <c r="H27" s="2078"/>
      <c r="I27" s="2078"/>
      <c r="J27" s="2078"/>
      <c r="K27" s="2078"/>
      <c r="L27" s="2078"/>
      <c r="M27" s="2078"/>
      <c r="N27" s="2078"/>
      <c r="O27" s="2078"/>
      <c r="P27" s="2078"/>
      <c r="Q27" s="2078"/>
      <c r="R27" s="2078"/>
      <c r="S27" s="3421"/>
    </row>
    <row r="28" spans="1:29" x14ac:dyDescent="0.35">
      <c r="A28" s="819"/>
      <c r="B28" s="2077"/>
      <c r="C28" s="2077"/>
      <c r="D28" s="2078"/>
      <c r="E28" s="2078"/>
      <c r="F28" s="2078"/>
      <c r="G28" s="2078"/>
      <c r="H28" s="2078"/>
      <c r="I28" s="2078"/>
      <c r="J28" s="2078"/>
      <c r="K28" s="2078"/>
      <c r="L28" s="2078"/>
      <c r="M28" s="2078"/>
      <c r="N28" s="2078"/>
      <c r="O28" s="2078"/>
      <c r="P28" s="2078"/>
      <c r="Q28" s="2078"/>
      <c r="R28" s="2078"/>
      <c r="S28" s="3421"/>
    </row>
    <row r="29" spans="1:29" x14ac:dyDescent="0.35">
      <c r="A29" s="870"/>
      <c r="B29" s="2077"/>
      <c r="C29" s="2077"/>
      <c r="D29" s="2078"/>
      <c r="E29" s="2078"/>
      <c r="F29" s="2078"/>
      <c r="G29" s="2078"/>
      <c r="H29" s="2078"/>
      <c r="I29" s="2078"/>
      <c r="J29" s="2078"/>
      <c r="K29" s="2078"/>
      <c r="L29" s="2078"/>
      <c r="M29" s="2078"/>
      <c r="N29" s="2078"/>
      <c r="O29" s="2078"/>
      <c r="P29" s="2078"/>
      <c r="Q29" s="2078"/>
      <c r="R29" s="2078"/>
      <c r="S29" s="3421"/>
    </row>
    <row r="30" spans="1:29" x14ac:dyDescent="0.35">
      <c r="A30" s="819"/>
      <c r="B30" s="3536"/>
      <c r="C30" s="3536"/>
      <c r="D30" s="2078"/>
      <c r="E30" s="2078"/>
      <c r="F30" s="2078"/>
      <c r="G30" s="2078"/>
      <c r="H30" s="2078"/>
      <c r="I30" s="2078"/>
      <c r="J30" s="2078"/>
      <c r="K30" s="2078"/>
      <c r="L30" s="2078"/>
      <c r="M30" s="2078"/>
      <c r="N30" s="2078"/>
      <c r="O30" s="2078"/>
      <c r="P30" s="2078"/>
      <c r="Q30" s="2078"/>
      <c r="R30" s="2078"/>
      <c r="S30" s="3421"/>
    </row>
    <row r="31" spans="1:29" x14ac:dyDescent="0.35">
      <c r="B31" s="2077"/>
      <c r="C31" s="2077"/>
      <c r="D31" s="2078"/>
      <c r="E31" s="2078"/>
      <c r="F31" s="2078"/>
      <c r="G31" s="2078"/>
      <c r="H31" s="2078"/>
      <c r="I31" s="2078"/>
      <c r="J31" s="2078"/>
      <c r="K31" s="2078"/>
      <c r="L31" s="2078"/>
      <c r="M31" s="2078"/>
      <c r="N31" s="2078"/>
      <c r="O31" s="2078"/>
      <c r="P31" s="2078"/>
      <c r="Q31" s="2078"/>
      <c r="R31" s="2078"/>
      <c r="S31" s="3421"/>
    </row>
    <row r="32" spans="1:29" x14ac:dyDescent="0.35">
      <c r="B32" s="2077"/>
      <c r="C32" s="2077"/>
      <c r="D32" s="2078"/>
      <c r="E32" s="2078"/>
      <c r="F32" s="2078"/>
      <c r="G32" s="2078"/>
      <c r="H32" s="2078"/>
      <c r="I32" s="2078"/>
      <c r="J32" s="2078"/>
      <c r="K32" s="2078"/>
      <c r="L32" s="2078"/>
      <c r="M32" s="2078"/>
      <c r="N32" s="2078"/>
      <c r="O32" s="2078"/>
      <c r="P32" s="2078"/>
      <c r="Q32" s="2078"/>
      <c r="R32" s="2078"/>
      <c r="S32" s="3421"/>
    </row>
    <row r="33" spans="1:31" ht="13.5" customHeight="1" x14ac:dyDescent="0.35">
      <c r="B33" s="2077"/>
      <c r="C33" s="2077"/>
      <c r="D33" s="2078"/>
      <c r="E33" s="2078"/>
      <c r="F33" s="2078"/>
      <c r="G33" s="2078"/>
      <c r="H33" s="2078"/>
      <c r="I33" s="2078"/>
      <c r="J33" s="2078"/>
      <c r="K33" s="2078"/>
      <c r="L33" s="2078"/>
      <c r="M33" s="2078"/>
      <c r="N33" s="2078"/>
      <c r="O33" s="2078"/>
      <c r="P33" s="2078"/>
      <c r="Q33" s="2078"/>
      <c r="R33" s="2078"/>
      <c r="S33" s="3421"/>
    </row>
    <row r="34" spans="1:31" ht="9.75" customHeight="1" x14ac:dyDescent="0.35">
      <c r="B34" s="2077"/>
      <c r="C34" s="2077"/>
      <c r="D34" s="2078"/>
      <c r="E34" s="2078"/>
      <c r="F34" s="2078"/>
      <c r="G34" s="2078"/>
      <c r="H34" s="2078"/>
      <c r="I34" s="2078"/>
      <c r="J34" s="2078"/>
      <c r="K34" s="2078"/>
      <c r="L34" s="2078"/>
      <c r="M34" s="2078"/>
      <c r="N34" s="2078"/>
      <c r="O34" s="2078"/>
      <c r="P34" s="2078"/>
      <c r="Q34" s="2078"/>
      <c r="R34" s="2078"/>
      <c r="S34" s="3421"/>
    </row>
    <row r="35" spans="1:31" ht="13.5" customHeight="1" x14ac:dyDescent="0.35">
      <c r="A35" s="2631">
        <v>6</v>
      </c>
      <c r="B35" s="819" t="s">
        <v>58</v>
      </c>
      <c r="C35" s="819"/>
      <c r="D35" s="4648" t="s">
        <v>1423</v>
      </c>
      <c r="E35" s="4649"/>
      <c r="F35" s="4649"/>
      <c r="G35" s="4649"/>
      <c r="H35" s="4649"/>
      <c r="I35" s="4649"/>
      <c r="J35" s="4649"/>
      <c r="K35" s="4649"/>
      <c r="L35" s="4649"/>
      <c r="M35" s="4649"/>
      <c r="N35" s="4649"/>
      <c r="O35" s="4649"/>
      <c r="P35" s="4649"/>
      <c r="Q35" s="4649"/>
      <c r="R35" s="4649"/>
      <c r="S35" s="4649"/>
      <c r="T35" s="4649"/>
      <c r="U35" s="4649"/>
      <c r="V35" s="4649"/>
      <c r="W35" s="4649"/>
      <c r="X35" s="4649"/>
      <c r="Y35" s="4649"/>
      <c r="Z35" s="4649"/>
      <c r="AA35" s="4649"/>
      <c r="AB35" s="4649"/>
      <c r="AC35" s="4650"/>
    </row>
    <row r="36" spans="1:31" ht="30" customHeight="1" x14ac:dyDescent="0.35">
      <c r="A36" s="2631">
        <v>7</v>
      </c>
      <c r="B36" s="870" t="s">
        <v>60</v>
      </c>
      <c r="C36" s="870"/>
      <c r="D36" s="4651" t="s">
        <v>1424</v>
      </c>
      <c r="E36" s="4652"/>
      <c r="F36" s="4652"/>
      <c r="G36" s="4652"/>
      <c r="H36" s="4652"/>
      <c r="I36" s="4652"/>
      <c r="J36" s="4652"/>
      <c r="K36" s="4652"/>
      <c r="L36" s="4652"/>
      <c r="M36" s="4652"/>
      <c r="N36" s="4652"/>
      <c r="O36" s="4652"/>
      <c r="P36" s="4652"/>
      <c r="Q36" s="4652"/>
      <c r="R36" s="4652"/>
      <c r="S36" s="4652"/>
      <c r="T36" s="4652"/>
      <c r="U36" s="4652"/>
      <c r="V36" s="4652"/>
      <c r="W36" s="4652"/>
      <c r="X36" s="4652"/>
      <c r="Y36" s="4652"/>
      <c r="Z36" s="4652"/>
      <c r="AA36" s="4652"/>
      <c r="AB36" s="4652"/>
      <c r="AC36" s="4653"/>
    </row>
    <row r="37" spans="1:31" ht="12.75" customHeight="1" x14ac:dyDescent="0.35">
      <c r="A37" s="2631">
        <v>8</v>
      </c>
      <c r="B37" s="819" t="s">
        <v>62</v>
      </c>
      <c r="C37" s="819"/>
      <c r="D37" s="4651" t="s">
        <v>1425</v>
      </c>
      <c r="E37" s="4652"/>
      <c r="F37" s="4652"/>
      <c r="G37" s="4652"/>
      <c r="H37" s="4652"/>
      <c r="I37" s="4652"/>
      <c r="J37" s="4652"/>
      <c r="K37" s="4652"/>
      <c r="L37" s="4652"/>
      <c r="M37" s="4652"/>
      <c r="N37" s="4652"/>
      <c r="O37" s="4652"/>
      <c r="P37" s="4652"/>
      <c r="Q37" s="4652"/>
      <c r="R37" s="4652"/>
      <c r="S37" s="4652"/>
      <c r="T37" s="4652"/>
      <c r="U37" s="4652"/>
      <c r="V37" s="4652"/>
      <c r="W37" s="4652"/>
      <c r="X37" s="4652"/>
      <c r="Y37" s="4652"/>
      <c r="Z37" s="4652"/>
      <c r="AA37" s="4652"/>
      <c r="AB37" s="4652"/>
      <c r="AC37" s="4653"/>
    </row>
    <row r="38" spans="1:31" ht="27.75" customHeight="1" x14ac:dyDescent="0.35">
      <c r="A38" s="2631">
        <v>9</v>
      </c>
      <c r="B38" s="819" t="s">
        <v>134</v>
      </c>
      <c r="C38" s="819"/>
      <c r="D38" s="4651" t="s">
        <v>1426</v>
      </c>
      <c r="E38" s="4652"/>
      <c r="F38" s="4652"/>
      <c r="G38" s="4652"/>
      <c r="H38" s="4652"/>
      <c r="I38" s="4652"/>
      <c r="J38" s="4652"/>
      <c r="K38" s="4652"/>
      <c r="L38" s="4652"/>
      <c r="M38" s="4652"/>
      <c r="N38" s="4652"/>
      <c r="O38" s="4652"/>
      <c r="P38" s="4652"/>
      <c r="Q38" s="4652"/>
      <c r="R38" s="4652"/>
      <c r="S38" s="4652"/>
      <c r="T38" s="4652"/>
      <c r="U38" s="4652"/>
      <c r="V38" s="4652"/>
      <c r="W38" s="4652"/>
      <c r="X38" s="4652"/>
      <c r="Y38" s="4652"/>
      <c r="Z38" s="4652"/>
      <c r="AA38" s="4652"/>
      <c r="AB38" s="4652"/>
      <c r="AC38" s="4653"/>
    </row>
    <row r="39" spans="1:31" x14ac:dyDescent="0.35">
      <c r="B39" s="2077"/>
      <c r="C39" s="2077"/>
      <c r="D39" s="140"/>
      <c r="E39" s="140"/>
      <c r="F39" s="140"/>
      <c r="G39" s="140"/>
      <c r="H39" s="140"/>
      <c r="I39" s="140"/>
      <c r="J39" s="140"/>
      <c r="K39" s="140"/>
      <c r="L39" s="140"/>
      <c r="M39" s="140"/>
      <c r="N39" s="140"/>
      <c r="O39" s="140"/>
      <c r="P39" s="140"/>
      <c r="Q39" s="140"/>
      <c r="R39" s="140"/>
    </row>
    <row r="40" spans="1:31" s="309" customFormat="1" x14ac:dyDescent="0.35">
      <c r="A40" s="3537"/>
      <c r="B40" s="820"/>
      <c r="C40" s="820"/>
      <c r="D40" s="4"/>
      <c r="E40" s="4"/>
      <c r="F40" s="4"/>
      <c r="G40" s="4"/>
      <c r="H40" s="4"/>
      <c r="I40" s="4"/>
      <c r="J40" s="4"/>
      <c r="K40" s="4"/>
      <c r="L40" s="4"/>
      <c r="M40" s="4"/>
      <c r="N40" s="4"/>
      <c r="O40" s="4"/>
      <c r="P40" s="4"/>
      <c r="Q40" s="4"/>
      <c r="R40" s="4"/>
    </row>
    <row r="41" spans="1:31" s="309" customFormat="1" x14ac:dyDescent="0.35">
      <c r="A41" s="3537"/>
      <c r="B41" s="820"/>
      <c r="C41" s="820"/>
      <c r="D41" s="4"/>
      <c r="E41" s="4"/>
      <c r="F41" s="4"/>
      <c r="G41" s="4"/>
      <c r="H41" s="4"/>
      <c r="I41" s="4"/>
      <c r="J41" s="4"/>
      <c r="K41" s="4"/>
      <c r="L41" s="4"/>
      <c r="M41" s="4"/>
      <c r="N41" s="4"/>
      <c r="O41" s="4"/>
      <c r="P41" s="4"/>
      <c r="Q41" s="4"/>
      <c r="R41" s="4"/>
    </row>
    <row r="42" spans="1:31" s="309" customFormat="1" x14ac:dyDescent="0.35">
      <c r="A42" s="3537"/>
      <c r="B42" s="820"/>
      <c r="C42" s="820"/>
      <c r="D42" s="89" t="s">
        <v>85</v>
      </c>
      <c r="E42" s="89" t="s">
        <v>1416</v>
      </c>
      <c r="F42" s="89"/>
      <c r="G42" s="89"/>
      <c r="H42" s="89"/>
      <c r="I42" s="89"/>
      <c r="J42" s="89"/>
      <c r="K42" s="89"/>
      <c r="L42" s="89"/>
      <c r="M42" s="108"/>
      <c r="N42" s="108"/>
      <c r="O42" s="108"/>
      <c r="P42" s="108"/>
      <c r="Q42" s="108"/>
      <c r="R42" s="108"/>
      <c r="S42" s="3422"/>
      <c r="T42" s="3422"/>
      <c r="U42" s="3422"/>
      <c r="V42" s="3422"/>
      <c r="W42" s="3422"/>
      <c r="X42" s="3422"/>
    </row>
    <row r="43" spans="1:31" s="309" customFormat="1" x14ac:dyDescent="0.35">
      <c r="A43" s="3537"/>
      <c r="B43" s="820"/>
      <c r="C43" s="820"/>
      <c r="D43" s="3538"/>
      <c r="E43" s="3539" t="s">
        <v>102</v>
      </c>
      <c r="F43" s="3539" t="s">
        <v>103</v>
      </c>
      <c r="G43" s="3539" t="s">
        <v>104</v>
      </c>
      <c r="H43" s="3539" t="s">
        <v>105</v>
      </c>
      <c r="I43" s="3539" t="s">
        <v>106</v>
      </c>
      <c r="J43" s="3540" t="s">
        <v>107</v>
      </c>
      <c r="K43" s="3540" t="s">
        <v>108</v>
      </c>
      <c r="L43" s="3539" t="s">
        <v>109</v>
      </c>
      <c r="M43" s="3541" t="s">
        <v>110</v>
      </c>
      <c r="N43" s="3540" t="s">
        <v>111</v>
      </c>
      <c r="O43" s="3540" t="s">
        <v>112</v>
      </c>
      <c r="P43" s="3540" t="s">
        <v>1417</v>
      </c>
      <c r="Q43" s="3540" t="s">
        <v>114</v>
      </c>
      <c r="R43" s="3540" t="s">
        <v>115</v>
      </c>
      <c r="S43" s="3540" t="s">
        <v>116</v>
      </c>
      <c r="T43" s="3540" t="s">
        <v>117</v>
      </c>
      <c r="U43" s="3540" t="s">
        <v>118</v>
      </c>
      <c r="V43" s="3540" t="s">
        <v>119</v>
      </c>
      <c r="W43" s="3540" t="s">
        <v>120</v>
      </c>
      <c r="X43" s="3542" t="s">
        <v>121</v>
      </c>
      <c r="Y43" s="3542" t="s">
        <v>122</v>
      </c>
      <c r="Z43" s="3542" t="s">
        <v>123</v>
      </c>
      <c r="AA43" s="3542" t="s">
        <v>124</v>
      </c>
      <c r="AB43" s="3540" t="s">
        <v>125</v>
      </c>
      <c r="AC43" s="3540" t="s">
        <v>126</v>
      </c>
      <c r="AD43" s="3543" t="s">
        <v>1427</v>
      </c>
    </row>
    <row r="44" spans="1:31" s="309" customFormat="1" x14ac:dyDescent="0.35">
      <c r="A44" s="3537"/>
      <c r="B44" s="820"/>
      <c r="C44" s="820"/>
      <c r="D44" s="1956" t="s">
        <v>1418</v>
      </c>
      <c r="E44" s="3544">
        <v>1689.1</v>
      </c>
      <c r="F44" s="3544">
        <v>1693.4</v>
      </c>
      <c r="G44" s="3544">
        <v>1591.3</v>
      </c>
      <c r="H44" s="3544">
        <v>1615.9</v>
      </c>
      <c r="I44" s="3544">
        <v>1684.8</v>
      </c>
      <c r="J44" s="3544">
        <v>1679</v>
      </c>
      <c r="K44" s="3544">
        <v>1686.4</v>
      </c>
      <c r="L44" s="3544">
        <v>1623.3</v>
      </c>
      <c r="M44" s="3544">
        <v>1605.4</v>
      </c>
      <c r="N44" s="3544">
        <v>1434.3</v>
      </c>
      <c r="O44" s="3544">
        <v>1281.9999999999998</v>
      </c>
      <c r="P44" s="3544">
        <v>1217.1000000000001</v>
      </c>
      <c r="Q44" s="3544">
        <v>1154.6999999999998</v>
      </c>
      <c r="R44" s="3544">
        <v>1090</v>
      </c>
      <c r="S44" s="3544">
        <v>1093</v>
      </c>
      <c r="T44" s="3544">
        <v>1122</v>
      </c>
      <c r="U44" s="3544">
        <v>1069</v>
      </c>
      <c r="V44" s="3544">
        <v>1059.8</v>
      </c>
      <c r="W44" s="3544">
        <v>1078.4000000000001</v>
      </c>
      <c r="X44" s="3545">
        <v>1062.1010045753101</v>
      </c>
      <c r="Y44" s="3546">
        <v>1024.9000000000001</v>
      </c>
      <c r="Z44" s="3547">
        <v>989</v>
      </c>
      <c r="AA44" s="3544">
        <f>(540653/55910000)*100000</f>
        <v>967.00590234305128</v>
      </c>
      <c r="AB44" s="3544">
        <f>(507975/56753327)*100000</f>
        <v>895.05765891046349</v>
      </c>
      <c r="AC44" s="3544">
        <f>(495161/57698414)*100000</f>
        <v>858.18823373550617</v>
      </c>
      <c r="AD44" s="3548">
        <f>AD9</f>
        <v>799.65595761211966</v>
      </c>
      <c r="AE44" s="311"/>
    </row>
    <row r="45" spans="1:31" s="309" customFormat="1" x14ac:dyDescent="0.35">
      <c r="A45" s="3537"/>
      <c r="B45" s="820"/>
      <c r="C45" s="820"/>
      <c r="D45" s="1956" t="s">
        <v>1419</v>
      </c>
      <c r="E45" s="3544">
        <v>1625.8</v>
      </c>
      <c r="F45" s="3544">
        <v>1656.3</v>
      </c>
      <c r="G45" s="3544">
        <v>1618.5</v>
      </c>
      <c r="H45" s="3544">
        <v>1624.4</v>
      </c>
      <c r="I45" s="3544">
        <v>1675.1</v>
      </c>
      <c r="J45" s="3544">
        <v>1790.7</v>
      </c>
      <c r="K45" s="3544">
        <v>1901.9</v>
      </c>
      <c r="L45" s="3544">
        <v>1873.9</v>
      </c>
      <c r="M45" s="3544">
        <v>1951.7</v>
      </c>
      <c r="N45" s="3544">
        <v>1910.5</v>
      </c>
      <c r="O45" s="3544">
        <v>1818.8</v>
      </c>
      <c r="P45" s="3544">
        <v>1612.6000000000001</v>
      </c>
      <c r="Q45" s="3544">
        <v>1541.1</v>
      </c>
      <c r="R45" s="3544">
        <v>1447.3999999999999</v>
      </c>
      <c r="S45" s="3544">
        <v>1405.3</v>
      </c>
      <c r="T45" s="3544">
        <v>1371.3999999999999</v>
      </c>
      <c r="U45" s="3544">
        <v>1277.2</v>
      </c>
      <c r="V45" s="3544">
        <v>1232.5</v>
      </c>
      <c r="W45" s="3544">
        <v>1180.8000000000002</v>
      </c>
      <c r="X45" s="3545">
        <v>1170.9000000000001</v>
      </c>
      <c r="Y45" s="3546">
        <v>1142.5</v>
      </c>
      <c r="Z45" s="3547">
        <v>1134</v>
      </c>
      <c r="AA45" s="3544">
        <v>1088</v>
      </c>
      <c r="AB45" s="3544">
        <f>(601366/56753327)*100000</f>
        <v>1059.6136504913625</v>
      </c>
      <c r="AC45" s="3544">
        <f>(617210/57698414)*100000</f>
        <v>1069.7174449197166</v>
      </c>
      <c r="AD45" s="3548">
        <f>AD10</f>
        <v>1058.7946325362147</v>
      </c>
      <c r="AE45" s="311"/>
    </row>
    <row r="46" spans="1:31" s="309" customFormat="1" x14ac:dyDescent="0.35">
      <c r="A46" s="3537"/>
      <c r="B46" s="820"/>
      <c r="C46" s="820"/>
      <c r="D46" s="1956" t="s">
        <v>1420</v>
      </c>
      <c r="E46" s="3544">
        <v>1328.9</v>
      </c>
      <c r="F46" s="3544">
        <v>1293.4000000000001</v>
      </c>
      <c r="G46" s="3544">
        <v>1229.9000000000001</v>
      </c>
      <c r="H46" s="3544">
        <v>1277.3</v>
      </c>
      <c r="I46" s="3544">
        <v>1356.1</v>
      </c>
      <c r="J46" s="3544">
        <v>1463.9</v>
      </c>
      <c r="K46" s="3544">
        <v>1588.4</v>
      </c>
      <c r="L46" s="3544">
        <v>1569.7</v>
      </c>
      <c r="M46" s="3544">
        <v>1640.1</v>
      </c>
      <c r="N46" s="3544">
        <v>1582.8</v>
      </c>
      <c r="O46" s="3544">
        <v>1409.7</v>
      </c>
      <c r="P46" s="3544">
        <v>1175.8</v>
      </c>
      <c r="Q46" s="3544">
        <v>1144.4000000000001</v>
      </c>
      <c r="R46" s="3544">
        <v>1102.5</v>
      </c>
      <c r="S46" s="3544">
        <v>1134.5</v>
      </c>
      <c r="T46" s="3544">
        <v>1096.7</v>
      </c>
      <c r="U46" s="3544">
        <v>1069.9000000000001</v>
      </c>
      <c r="V46" s="3544">
        <v>1062.2</v>
      </c>
      <c r="W46" s="3544">
        <v>1005.7</v>
      </c>
      <c r="X46" s="3549">
        <v>978.19999999999993</v>
      </c>
      <c r="Y46" s="3545">
        <v>925.3</v>
      </c>
      <c r="Z46" s="3546">
        <v>871.7</v>
      </c>
      <c r="AA46" s="3544">
        <f>(469276/55910000)*100000</f>
        <v>839.34179932033624</v>
      </c>
      <c r="AB46" s="3544">
        <f>(438113/56753327)*100000</f>
        <v>771.96002976177942</v>
      </c>
      <c r="AC46" s="3544">
        <f>(444447/57698414)*100000</f>
        <v>770.29327010617658</v>
      </c>
      <c r="AD46" s="3548">
        <f>AD11</f>
        <v>726.96290510000392</v>
      </c>
      <c r="AE46" s="311"/>
    </row>
    <row r="47" spans="1:31" s="309" customFormat="1" x14ac:dyDescent="0.35">
      <c r="A47" s="3537"/>
      <c r="B47" s="820"/>
      <c r="C47" s="820"/>
      <c r="D47" s="1956" t="s">
        <v>1421</v>
      </c>
      <c r="E47" s="3544">
        <v>346</v>
      </c>
      <c r="F47" s="3544">
        <v>352</v>
      </c>
      <c r="G47" s="3544">
        <v>344.7</v>
      </c>
      <c r="H47" s="3544">
        <v>331.4</v>
      </c>
      <c r="I47" s="3544">
        <v>331.5</v>
      </c>
      <c r="J47" s="3544">
        <v>334.3</v>
      </c>
      <c r="K47" s="3544">
        <v>339.7</v>
      </c>
      <c r="L47" s="3544">
        <v>344</v>
      </c>
      <c r="M47" s="3544">
        <v>365.8</v>
      </c>
      <c r="N47" s="3544">
        <v>360.2</v>
      </c>
      <c r="O47" s="3544">
        <v>341.3</v>
      </c>
      <c r="P47" s="3544">
        <v>324</v>
      </c>
      <c r="Q47" s="3544">
        <v>319.10000000000002</v>
      </c>
      <c r="R47" s="3544">
        <v>301.7</v>
      </c>
      <c r="S47" s="3550">
        <v>289.89999999999998</v>
      </c>
      <c r="T47" s="3550">
        <v>281.5</v>
      </c>
      <c r="U47" s="658">
        <v>263.8</v>
      </c>
      <c r="V47" s="658">
        <v>254.29999999999998</v>
      </c>
      <c r="W47" s="658">
        <v>243.29999999999998</v>
      </c>
      <c r="X47" s="3549">
        <v>237</v>
      </c>
      <c r="Y47" s="3551">
        <v>232.9</v>
      </c>
      <c r="Z47" s="3552">
        <v>227.1</v>
      </c>
      <c r="AA47" s="3553">
        <f>(120730/55910000)*100000</f>
        <v>215.93632623859776</v>
      </c>
      <c r="AB47" s="3553">
        <f>(115361/56753327)*100000</f>
        <v>203.26737849218952</v>
      </c>
      <c r="AC47" s="3553">
        <f>(117172/57698414)*100000</f>
        <v>203.07663916030688</v>
      </c>
      <c r="AD47" s="3554">
        <f>AD12</f>
        <v>191.28728135435261</v>
      </c>
      <c r="AE47" s="311"/>
    </row>
    <row r="48" spans="1:31" s="309" customFormat="1" x14ac:dyDescent="0.35">
      <c r="A48" s="3537"/>
      <c r="B48" s="820"/>
      <c r="C48" s="820"/>
      <c r="D48" s="3555" t="s">
        <v>1422</v>
      </c>
      <c r="E48" s="3556">
        <v>4989.7999999999993</v>
      </c>
      <c r="F48" s="3556">
        <v>4995.1000000000004</v>
      </c>
      <c r="G48" s="3556">
        <v>4784.4000000000005</v>
      </c>
      <c r="H48" s="3556">
        <v>4849</v>
      </c>
      <c r="I48" s="3556">
        <v>5047.5</v>
      </c>
      <c r="J48" s="3556">
        <v>5267.9000000000005</v>
      </c>
      <c r="K48" s="3556">
        <v>5516.4000000000005</v>
      </c>
      <c r="L48" s="3556">
        <v>5410.9</v>
      </c>
      <c r="M48" s="3556">
        <v>5563.0000000000009</v>
      </c>
      <c r="N48" s="3556">
        <v>5287.8</v>
      </c>
      <c r="O48" s="3556">
        <v>4851.8</v>
      </c>
      <c r="P48" s="3556">
        <v>4329.5</v>
      </c>
      <c r="Q48" s="3556">
        <v>4159.3</v>
      </c>
      <c r="R48" s="3556">
        <v>3941.5999999999995</v>
      </c>
      <c r="S48" s="3556">
        <v>3922.7000000000003</v>
      </c>
      <c r="T48" s="3556">
        <v>3871.5999999999995</v>
      </c>
      <c r="U48" s="3556">
        <v>3679.9</v>
      </c>
      <c r="V48" s="3556">
        <v>3608.8</v>
      </c>
      <c r="W48" s="3556">
        <v>3508.2000000000007</v>
      </c>
      <c r="X48" s="3557">
        <v>3448.2010045753095</v>
      </c>
      <c r="Y48" s="3558">
        <v>3257</v>
      </c>
      <c r="Z48" s="3558">
        <v>3221.8</v>
      </c>
      <c r="AA48" s="3559">
        <f>SUM(AA44:AA47)</f>
        <v>3110.2840279019852</v>
      </c>
      <c r="AB48" s="3559">
        <f>(1662815/56753327)*100000</f>
        <v>2929.8987176557948</v>
      </c>
      <c r="AC48" s="3559">
        <f>(1673990/57698414)*100000</f>
        <v>2901.2755879217061</v>
      </c>
      <c r="AD48" s="3560">
        <f>AD13</f>
        <v>2776.7007766026909</v>
      </c>
      <c r="AE48" s="311"/>
    </row>
    <row r="49" spans="1:31" s="309" customFormat="1" x14ac:dyDescent="0.35">
      <c r="A49" s="3537"/>
      <c r="B49" s="820"/>
      <c r="C49" s="820"/>
      <c r="D49" s="3561"/>
      <c r="E49" s="3562"/>
      <c r="F49" s="3562"/>
      <c r="G49" s="3562"/>
      <c r="H49" s="3562"/>
      <c r="I49" s="3562"/>
      <c r="J49" s="3562"/>
      <c r="K49" s="3562"/>
      <c r="L49" s="3562"/>
      <c r="M49" s="3562"/>
      <c r="N49" s="3562"/>
      <c r="O49" s="3562"/>
      <c r="P49" s="3563"/>
      <c r="Q49" s="3563"/>
      <c r="R49" s="3562"/>
      <c r="S49" s="3562"/>
      <c r="T49" s="3562"/>
      <c r="U49" s="3562"/>
      <c r="V49" s="3562"/>
      <c r="W49" s="3562"/>
      <c r="X49" s="3562"/>
      <c r="AD49" s="3535"/>
      <c r="AE49" s="311"/>
    </row>
    <row r="50" spans="1:31" s="309" customFormat="1" x14ac:dyDescent="0.35">
      <c r="A50" s="3537"/>
      <c r="B50" s="820"/>
      <c r="C50" s="820"/>
      <c r="D50" s="3561"/>
      <c r="E50" s="3562"/>
      <c r="F50" s="3562"/>
      <c r="G50" s="3562"/>
      <c r="H50" s="3562"/>
      <c r="I50" s="3562"/>
      <c r="J50" s="3562"/>
      <c r="K50" s="3562"/>
      <c r="L50" s="3562"/>
      <c r="M50" s="3562"/>
      <c r="N50" s="3562"/>
      <c r="O50" s="3562"/>
      <c r="P50" s="3563"/>
      <c r="Q50" s="3563"/>
      <c r="R50" s="3562"/>
      <c r="S50" s="3562"/>
      <c r="T50" s="3562"/>
      <c r="U50" s="3562"/>
      <c r="V50" s="3562"/>
      <c r="W50" s="3562"/>
      <c r="X50" s="3562"/>
      <c r="AD50" s="3535"/>
      <c r="AE50" s="311"/>
    </row>
    <row r="51" spans="1:31" s="309" customFormat="1" x14ac:dyDescent="0.35">
      <c r="A51" s="3537"/>
      <c r="B51" s="820"/>
      <c r="C51" s="820"/>
      <c r="D51" s="3564"/>
      <c r="E51" s="3565" t="s">
        <v>102</v>
      </c>
      <c r="F51" s="3565" t="s">
        <v>103</v>
      </c>
      <c r="G51" s="3565" t="s">
        <v>104</v>
      </c>
      <c r="H51" s="3565" t="s">
        <v>105</v>
      </c>
      <c r="I51" s="3565" t="s">
        <v>106</v>
      </c>
      <c r="J51" s="3566" t="s">
        <v>107</v>
      </c>
      <c r="K51" s="3566" t="s">
        <v>108</v>
      </c>
      <c r="L51" s="3565" t="s">
        <v>109</v>
      </c>
      <c r="M51" s="3567" t="s">
        <v>110</v>
      </c>
      <c r="N51" s="3566" t="s">
        <v>111</v>
      </c>
      <c r="O51" s="3566" t="s">
        <v>112</v>
      </c>
      <c r="P51" s="3566" t="s">
        <v>1417</v>
      </c>
      <c r="Q51" s="3566" t="s">
        <v>114</v>
      </c>
      <c r="R51" s="3566" t="s">
        <v>115</v>
      </c>
      <c r="S51" s="3566" t="s">
        <v>116</v>
      </c>
      <c r="T51" s="3566" t="s">
        <v>117</v>
      </c>
      <c r="U51" s="3566" t="s">
        <v>118</v>
      </c>
      <c r="V51" s="3566" t="s">
        <v>119</v>
      </c>
      <c r="W51" s="3540" t="s">
        <v>120</v>
      </c>
      <c r="X51" s="3540" t="s">
        <v>121</v>
      </c>
      <c r="Y51" s="3568" t="s">
        <v>122</v>
      </c>
      <c r="Z51" s="3568" t="s">
        <v>123</v>
      </c>
      <c r="AA51" s="3540" t="s">
        <v>124</v>
      </c>
      <c r="AB51" s="3569" t="s">
        <v>125</v>
      </c>
      <c r="AC51" s="3569" t="s">
        <v>126</v>
      </c>
      <c r="AD51" s="3570" t="s">
        <v>1427</v>
      </c>
      <c r="AE51" s="311"/>
    </row>
    <row r="52" spans="1:31" s="309" customFormat="1" x14ac:dyDescent="0.35">
      <c r="A52" s="3537"/>
      <c r="B52" s="820"/>
      <c r="C52" s="820"/>
      <c r="D52" s="3571" t="s">
        <v>1418</v>
      </c>
      <c r="E52" s="3572">
        <f>E44/E44*100</f>
        <v>100</v>
      </c>
      <c r="F52" s="3572">
        <f>F44/E44*100</f>
        <v>100.25457344147772</v>
      </c>
      <c r="G52" s="3572">
        <f>G44/E44*100</f>
        <v>94.209934284530235</v>
      </c>
      <c r="H52" s="3572">
        <f>H44/E44*100</f>
        <v>95.666331182286442</v>
      </c>
      <c r="I52" s="3572">
        <f>I44/E44*100</f>
        <v>99.745426558522283</v>
      </c>
      <c r="J52" s="3572">
        <f>J44/E44*100</f>
        <v>99.402048428157002</v>
      </c>
      <c r="K52" s="3572">
        <f>K44/E44*100</f>
        <v>99.840151560002383</v>
      </c>
      <c r="L52" s="3572">
        <f>L44/E44*100</f>
        <v>96.104434314131794</v>
      </c>
      <c r="M52" s="3572">
        <f>M44/E44*100</f>
        <v>95.044698360073426</v>
      </c>
      <c r="N52" s="3572">
        <f>N44/E44*100</f>
        <v>84.915043514297565</v>
      </c>
      <c r="O52" s="3572">
        <f>O44/E44*100</f>
        <v>75.898407435912603</v>
      </c>
      <c r="P52" s="3572">
        <f>P44/E44*100</f>
        <v>72.056124563376954</v>
      </c>
      <c r="Q52" s="3572">
        <f>Q44/E44*100</f>
        <v>68.361849505653893</v>
      </c>
      <c r="R52" s="3572">
        <f>R44/E44*100</f>
        <v>64.531407258303247</v>
      </c>
      <c r="S52" s="3572">
        <f>S44/E44*100</f>
        <v>64.709016636078388</v>
      </c>
      <c r="T52" s="3572">
        <f>T44/E44*100</f>
        <v>66.425907287904806</v>
      </c>
      <c r="U52" s="3572">
        <f>U44/E44*100</f>
        <v>63.288141613877215</v>
      </c>
      <c r="V52" s="3572">
        <f>V44/E44*100</f>
        <v>62.743472855366768</v>
      </c>
      <c r="W52" s="3572">
        <f>W44/E44*100</f>
        <v>63.844650997572685</v>
      </c>
      <c r="X52" s="3572">
        <f>X44/E44*100</f>
        <v>62.879699518992958</v>
      </c>
      <c r="Y52" s="3573">
        <f>Y44/E44*100</f>
        <v>60.677283760582569</v>
      </c>
      <c r="Z52" s="3573">
        <f>Z44/E44*100</f>
        <v>58.55189153987331</v>
      </c>
      <c r="AA52" s="3574">
        <f>AA44/E44*100</f>
        <v>57.249772206681151</v>
      </c>
      <c r="AB52" s="3574">
        <f>AB44/E44*100</f>
        <v>52.990211290655587</v>
      </c>
      <c r="AC52" s="3574">
        <f t="shared" ref="AC52:AD56" si="0">AC44/E44*100</f>
        <v>50.807426069238424</v>
      </c>
      <c r="AD52" s="3574">
        <f t="shared" si="0"/>
        <v>47.221917893712032</v>
      </c>
      <c r="AE52" s="311"/>
    </row>
    <row r="53" spans="1:31" s="309" customFormat="1" x14ac:dyDescent="0.35">
      <c r="A53" s="3537"/>
      <c r="B53" s="820"/>
      <c r="C53" s="820"/>
      <c r="D53" s="3571" t="s">
        <v>1419</v>
      </c>
      <c r="E53" s="3572">
        <f>E45/E45*100</f>
        <v>100</v>
      </c>
      <c r="F53" s="3572">
        <f>F45/E45*100</f>
        <v>101.87599950793455</v>
      </c>
      <c r="G53" s="3572">
        <f>G45/E45*100</f>
        <v>99.55099028170747</v>
      </c>
      <c r="H53" s="3572">
        <f>H45/E45*100</f>
        <v>99.913888547176782</v>
      </c>
      <c r="I53" s="3572">
        <f>I45/E45*100</f>
        <v>103.03235330298929</v>
      </c>
      <c r="J53" s="3572">
        <f>J45/E45*100</f>
        <v>110.14269897896421</v>
      </c>
      <c r="K53" s="3572">
        <f>K45/E45*100</f>
        <v>116.98240866035184</v>
      </c>
      <c r="L53" s="3572">
        <f>L45/E45*100</f>
        <v>115.26017960388732</v>
      </c>
      <c r="M53" s="3572">
        <f>M45/E45*100</f>
        <v>120.04551605363514</v>
      </c>
      <c r="N53" s="3572">
        <f>N45/E45*100</f>
        <v>117.51137901340878</v>
      </c>
      <c r="O53" s="3572">
        <f>O45/E45*100</f>
        <v>111.8710788534875</v>
      </c>
      <c r="P53" s="3572">
        <f>P45/E45*100</f>
        <v>99.188092016238173</v>
      </c>
      <c r="Q53" s="3572">
        <f>Q45/E45*100</f>
        <v>94.790257104194851</v>
      </c>
      <c r="R53" s="3572">
        <f>R45/E45*100</f>
        <v>89.026940583097542</v>
      </c>
      <c r="S53" s="3572">
        <f>S45/E45*100</f>
        <v>86.437446180341979</v>
      </c>
      <c r="T53" s="3572">
        <f>T45/E45*100</f>
        <v>84.352318858408154</v>
      </c>
      <c r="U53" s="3572">
        <f>U45/E45*100</f>
        <v>78.558248247016863</v>
      </c>
      <c r="V53" s="3572">
        <f>V45/E45*100</f>
        <v>75.808832574732449</v>
      </c>
      <c r="W53" s="3572">
        <f>W45/E45*100</f>
        <v>72.628859638331917</v>
      </c>
      <c r="X53" s="3572">
        <f>X45/E45*100</f>
        <v>72.019928650510522</v>
      </c>
      <c r="Y53" s="3573">
        <f>Y45/E45*100</f>
        <v>70.273096321810797</v>
      </c>
      <c r="Z53" s="3573">
        <f>Z45/E45*100</f>
        <v>69.750276786812648</v>
      </c>
      <c r="AA53" s="3574">
        <f>AA45/E45*100</f>
        <v>66.920900479763816</v>
      </c>
      <c r="AB53" s="3574">
        <f>AB45/E45*100</f>
        <v>65.174907767951922</v>
      </c>
      <c r="AC53" s="3574">
        <f t="shared" si="0"/>
        <v>65.796373780275346</v>
      </c>
      <c r="AD53" s="3574">
        <f t="shared" si="0"/>
        <v>63.925293276351795</v>
      </c>
      <c r="AE53" s="311"/>
    </row>
    <row r="54" spans="1:31" s="309" customFormat="1" x14ac:dyDescent="0.35">
      <c r="A54" s="3537"/>
      <c r="B54" s="820"/>
      <c r="C54" s="820"/>
      <c r="D54" s="3571" t="s">
        <v>1420</v>
      </c>
      <c r="E54" s="3572">
        <f>E46/E46*100</f>
        <v>100</v>
      </c>
      <c r="F54" s="3572">
        <f>F46/E46*100</f>
        <v>97.328617653698544</v>
      </c>
      <c r="G54" s="3572">
        <f>G46/E46*100</f>
        <v>92.550229513131171</v>
      </c>
      <c r="H54" s="3572">
        <f>H46/E46*100</f>
        <v>96.117089321995635</v>
      </c>
      <c r="I54" s="3572">
        <f>I46/E46*100</f>
        <v>102.04680562871546</v>
      </c>
      <c r="J54" s="3572">
        <f>J46/E46*100</f>
        <v>110.15877793663932</v>
      </c>
      <c r="K54" s="3572">
        <f>K46/E46*100</f>
        <v>119.52742870042891</v>
      </c>
      <c r="L54" s="3572">
        <f>L46/E46*100</f>
        <v>118.12024983068703</v>
      </c>
      <c r="M54" s="3572">
        <f>M46/E46*100</f>
        <v>123.41786439912707</v>
      </c>
      <c r="N54" s="3572">
        <f>N46/E46*100</f>
        <v>119.10602754157573</v>
      </c>
      <c r="O54" s="3572">
        <f>O46/E46*100</f>
        <v>106.08021672059597</v>
      </c>
      <c r="P54" s="3572">
        <f>P46/E46*100</f>
        <v>88.479193317781608</v>
      </c>
      <c r="Q54" s="3572">
        <f>Q46/E46*100</f>
        <v>86.116336819926261</v>
      </c>
      <c r="R54" s="3572">
        <f>R46/E46*100</f>
        <v>82.963353149221149</v>
      </c>
      <c r="S54" s="3572">
        <f>S46/E46*100</f>
        <v>85.371359771239369</v>
      </c>
      <c r="T54" s="3572">
        <f>T46/E46*100</f>
        <v>82.526901948980353</v>
      </c>
      <c r="U54" s="3572">
        <f>U46/E46*100</f>
        <v>80.510196403040112</v>
      </c>
      <c r="V54" s="3572">
        <f>V46/E46*100</f>
        <v>79.930769809616976</v>
      </c>
      <c r="W54" s="3572">
        <f>W46/E46*100</f>
        <v>75.679133117616075</v>
      </c>
      <c r="X54" s="3572">
        <f>X46/E46*100</f>
        <v>73.609752426819171</v>
      </c>
      <c r="Y54" s="3573">
        <f>Y46/E46*100</f>
        <v>69.629016479795311</v>
      </c>
      <c r="Z54" s="3573">
        <f>Z46/E46*100</f>
        <v>65.595605387914816</v>
      </c>
      <c r="AA54" s="3574">
        <f>AA46/E46*100</f>
        <v>63.160644090626548</v>
      </c>
      <c r="AB54" s="3574">
        <f>AB46/E46*100</f>
        <v>58.090151987491865</v>
      </c>
      <c r="AC54" s="3574">
        <f t="shared" si="0"/>
        <v>57.964727978491723</v>
      </c>
      <c r="AD54" s="3574">
        <f t="shared" si="0"/>
        <v>56.205574849234871</v>
      </c>
      <c r="AE54" s="311"/>
    </row>
    <row r="55" spans="1:31" s="309" customFormat="1" x14ac:dyDescent="0.35">
      <c r="A55" s="3537"/>
      <c r="B55" s="820"/>
      <c r="C55" s="820"/>
      <c r="D55" s="3575" t="s">
        <v>1421</v>
      </c>
      <c r="E55" s="3576">
        <f>E47/E47*100</f>
        <v>100</v>
      </c>
      <c r="F55" s="3576">
        <f>F47/E47*100</f>
        <v>101.73410404624276</v>
      </c>
      <c r="G55" s="3576">
        <f>G47/F47*100</f>
        <v>97.92613636363636</v>
      </c>
      <c r="H55" s="3576">
        <f>H47/E47*100</f>
        <v>95.780346820809243</v>
      </c>
      <c r="I55" s="3576">
        <f>I47/E47*100</f>
        <v>95.809248554913296</v>
      </c>
      <c r="J55" s="3576">
        <f>J47/E47*100</f>
        <v>96.618497109826592</v>
      </c>
      <c r="K55" s="3576">
        <f>K47/E47*100</f>
        <v>98.179190751445077</v>
      </c>
      <c r="L55" s="3576">
        <f>L47/E47*100</f>
        <v>99.421965317919074</v>
      </c>
      <c r="M55" s="3576">
        <f>M47/E47*100</f>
        <v>105.72254335260116</v>
      </c>
      <c r="N55" s="3576">
        <f>N47/E47*100</f>
        <v>104.10404624277456</v>
      </c>
      <c r="O55" s="3576">
        <f>O47/E47*100</f>
        <v>98.641618497109832</v>
      </c>
      <c r="P55" s="3576">
        <f>P47/E47*100</f>
        <v>93.641618497109818</v>
      </c>
      <c r="Q55" s="3576">
        <f>Q47/E47*100</f>
        <v>92.225433526011571</v>
      </c>
      <c r="R55" s="3576">
        <f>R47/E47*100</f>
        <v>87.196531791907518</v>
      </c>
      <c r="S55" s="3576">
        <f>S47/E47*100</f>
        <v>83.786127167630056</v>
      </c>
      <c r="T55" s="3576">
        <f>T47/E47*100</f>
        <v>81.358381502890182</v>
      </c>
      <c r="U55" s="3576">
        <f>U47/E47*100</f>
        <v>76.242774566473997</v>
      </c>
      <c r="V55" s="3576">
        <f>V47/E47*100</f>
        <v>73.497109826589593</v>
      </c>
      <c r="W55" s="3577">
        <f>W47/E47*100</f>
        <v>70.317919075144502</v>
      </c>
      <c r="X55" s="3577">
        <f>X47/E47*100</f>
        <v>68.497109826589593</v>
      </c>
      <c r="Y55" s="3578">
        <f>Y47/E47*100</f>
        <v>67.312138728323703</v>
      </c>
      <c r="Z55" s="3578">
        <f>Z47/E47*100</f>
        <v>65.635838150289018</v>
      </c>
      <c r="AA55" s="3579">
        <f>AA47/E47*100</f>
        <v>62.409342843525359</v>
      </c>
      <c r="AB55" s="3579">
        <f>AB47/E47*100</f>
        <v>58.747797252077895</v>
      </c>
      <c r="AC55" s="3574">
        <f t="shared" si="0"/>
        <v>58.692670277545346</v>
      </c>
      <c r="AD55" s="3574">
        <f t="shared" si="0"/>
        <v>54.342977657486536</v>
      </c>
      <c r="AE55" s="311"/>
    </row>
    <row r="56" spans="1:31" s="309" customFormat="1" x14ac:dyDescent="0.35">
      <c r="A56" s="3537"/>
      <c r="B56" s="820"/>
      <c r="C56" s="820"/>
      <c r="D56" s="3580" t="s">
        <v>1422</v>
      </c>
      <c r="E56" s="3581">
        <f>E48/E48*100</f>
        <v>100</v>
      </c>
      <c r="F56" s="3581">
        <f>F48/E48*100</f>
        <v>100.10621668203137</v>
      </c>
      <c r="G56" s="3581">
        <f>G48/E48*100</f>
        <v>95.883602549200404</v>
      </c>
      <c r="H56" s="3581">
        <f>H48/E48*100</f>
        <v>97.178243616978648</v>
      </c>
      <c r="I56" s="3581">
        <f>I48/E48*100</f>
        <v>101.15635897230351</v>
      </c>
      <c r="J56" s="3581">
        <f>J48/E48*100</f>
        <v>105.57336967413526</v>
      </c>
      <c r="K56" s="3581">
        <f>K48/E48*100</f>
        <v>110.55352919956714</v>
      </c>
      <c r="L56" s="3581">
        <f>L48/E48*100</f>
        <v>108.43921600064132</v>
      </c>
      <c r="M56" s="3581">
        <f>M48/E48*100</f>
        <v>111.48743436610688</v>
      </c>
      <c r="N56" s="3581">
        <f>N48/E48*100</f>
        <v>105.97218325383784</v>
      </c>
      <c r="O56" s="3581">
        <f>O48/E48*100</f>
        <v>97.234358090504642</v>
      </c>
      <c r="P56" s="3581">
        <f>P48/E48*100</f>
        <v>86.767004689566733</v>
      </c>
      <c r="Q56" s="3581">
        <f>Q48/E48*100</f>
        <v>83.356046334522432</v>
      </c>
      <c r="R56" s="3581">
        <f>R48/E48*100</f>
        <v>78.99314601787647</v>
      </c>
      <c r="S56" s="3581">
        <f>S48/E48*100</f>
        <v>78.614373321576039</v>
      </c>
      <c r="T56" s="3581">
        <f>T48/E48*100</f>
        <v>77.590284179726638</v>
      </c>
      <c r="U56" s="3581">
        <f>U48/E48*100</f>
        <v>73.748446831536356</v>
      </c>
      <c r="V56" s="3581">
        <f>V48/E48*100</f>
        <v>72.323540021644178</v>
      </c>
      <c r="W56" s="3581">
        <f>W48/E48*100</f>
        <v>70.30742715138885</v>
      </c>
      <c r="X56" s="3581">
        <f>X48/E48*100</f>
        <v>69.104994279837072</v>
      </c>
      <c r="Y56" s="3582">
        <f>Y48/E48*100</f>
        <v>65.273157240771184</v>
      </c>
      <c r="Z56" s="3582">
        <f>Z48/E48*100</f>
        <v>64.567718145015846</v>
      </c>
      <c r="AA56" s="3583">
        <f>AA48/E48*100</f>
        <v>62.332839550723186</v>
      </c>
      <c r="AB56" s="3584">
        <f>AB48/E48*100</f>
        <v>58.717758580620369</v>
      </c>
      <c r="AC56" s="3584">
        <f t="shared" si="0"/>
        <v>58.144125775015162</v>
      </c>
      <c r="AD56" s="3584">
        <f t="shared" si="0"/>
        <v>55.588492254463183</v>
      </c>
      <c r="AE56" s="311"/>
    </row>
    <row r="57" spans="1:31" s="309" customFormat="1" x14ac:dyDescent="0.35">
      <c r="A57" s="3537"/>
      <c r="B57" s="820"/>
      <c r="C57" s="820"/>
      <c r="D57" s="4"/>
      <c r="E57" s="3585"/>
      <c r="F57" s="4"/>
      <c r="G57" s="4"/>
      <c r="H57" s="4"/>
      <c r="I57" s="4"/>
      <c r="J57" s="4"/>
      <c r="K57" s="4"/>
      <c r="L57" s="4"/>
      <c r="M57" s="4"/>
      <c r="N57" s="4"/>
      <c r="O57" s="4"/>
      <c r="P57" s="4"/>
      <c r="Q57" s="4"/>
      <c r="R57" s="4"/>
      <c r="X57" s="311"/>
      <c r="Y57" s="311"/>
      <c r="Z57" s="311"/>
      <c r="AA57" s="311"/>
      <c r="AB57" s="311"/>
      <c r="AC57" s="311"/>
      <c r="AD57" s="311"/>
      <c r="AE57" s="311"/>
    </row>
    <row r="58" spans="1:31" s="309" customFormat="1" x14ac:dyDescent="0.35">
      <c r="A58" s="3537"/>
      <c r="B58" s="820"/>
      <c r="C58" s="820"/>
      <c r="D58" s="85"/>
      <c r="E58" s="3586"/>
      <c r="F58" s="85"/>
      <c r="G58" s="85"/>
      <c r="H58" s="85"/>
      <c r="I58" s="85"/>
      <c r="J58" s="85"/>
      <c r="K58" s="85"/>
      <c r="L58" s="85"/>
      <c r="M58" s="85"/>
      <c r="N58" s="85"/>
      <c r="O58" s="85"/>
      <c r="P58" s="85"/>
      <c r="Q58" s="85"/>
      <c r="R58" s="85"/>
      <c r="S58" s="308"/>
      <c r="T58" s="308"/>
      <c r="U58" s="308"/>
      <c r="V58" s="308"/>
      <c r="W58" s="308"/>
      <c r="X58" s="314"/>
      <c r="Y58" s="311"/>
      <c r="Z58" s="311"/>
      <c r="AA58" s="311"/>
      <c r="AB58" s="311"/>
      <c r="AC58" s="311"/>
      <c r="AD58" s="311"/>
      <c r="AE58" s="311"/>
    </row>
    <row r="59" spans="1:31" s="309" customFormat="1" x14ac:dyDescent="0.35">
      <c r="A59" s="3537"/>
      <c r="B59" s="820"/>
      <c r="C59" s="820"/>
      <c r="D59" s="4"/>
      <c r="E59" s="4"/>
      <c r="F59" s="4"/>
      <c r="G59" s="4"/>
      <c r="H59" s="4"/>
      <c r="I59" s="4"/>
      <c r="J59" s="4"/>
      <c r="K59" s="4"/>
      <c r="L59" s="4"/>
      <c r="M59" s="4"/>
      <c r="N59" s="4"/>
      <c r="O59" s="4"/>
      <c r="P59" s="4"/>
      <c r="Q59" s="4"/>
      <c r="R59" s="4"/>
      <c r="X59" s="311"/>
      <c r="Y59" s="311"/>
      <c r="Z59" s="311"/>
      <c r="AA59" s="311"/>
      <c r="AB59" s="311"/>
      <c r="AC59" s="311"/>
      <c r="AD59" s="311"/>
      <c r="AE59" s="311"/>
    </row>
    <row r="60" spans="1:31" s="309" customFormat="1" x14ac:dyDescent="0.35">
      <c r="A60" s="3537"/>
      <c r="B60" s="820"/>
      <c r="C60" s="820"/>
      <c r="D60" s="4"/>
      <c r="E60" s="4"/>
      <c r="F60" s="4"/>
      <c r="G60" s="4"/>
      <c r="H60" s="4"/>
      <c r="I60" s="4"/>
      <c r="J60" s="4"/>
      <c r="K60" s="4"/>
      <c r="L60" s="4"/>
      <c r="M60" s="4"/>
      <c r="N60" s="4"/>
      <c r="O60" s="4"/>
      <c r="P60" s="4"/>
      <c r="Q60" s="4"/>
      <c r="R60" s="4"/>
      <c r="X60" s="311"/>
      <c r="Y60" s="311"/>
      <c r="Z60" s="311"/>
      <c r="AA60" s="311"/>
      <c r="AB60" s="311"/>
      <c r="AC60" s="311"/>
      <c r="AD60" s="311"/>
      <c r="AE60" s="311"/>
    </row>
    <row r="61" spans="1:31" s="309" customFormat="1" x14ac:dyDescent="0.35">
      <c r="A61" s="3537"/>
      <c r="B61" s="820"/>
      <c r="C61" s="820"/>
      <c r="D61" s="4"/>
      <c r="E61" s="4"/>
      <c r="F61" s="4"/>
      <c r="G61" s="4"/>
      <c r="H61" s="4"/>
      <c r="I61" s="4"/>
      <c r="J61" s="4"/>
      <c r="K61" s="4"/>
      <c r="L61" s="4"/>
      <c r="M61" s="4"/>
      <c r="N61" s="4"/>
      <c r="O61" s="4"/>
      <c r="P61" s="4"/>
      <c r="Q61" s="4"/>
      <c r="R61" s="4"/>
      <c r="X61" s="311"/>
      <c r="Y61" s="311"/>
      <c r="Z61" s="311"/>
      <c r="AA61" s="311"/>
      <c r="AB61" s="311"/>
      <c r="AC61" s="311"/>
      <c r="AD61" s="311"/>
    </row>
    <row r="62" spans="1:31" s="309" customFormat="1" x14ac:dyDescent="0.35">
      <c r="A62" s="3537"/>
      <c r="B62" s="820"/>
      <c r="C62" s="820"/>
      <c r="D62" s="4"/>
      <c r="E62" s="4"/>
      <c r="F62" s="4"/>
      <c r="G62" s="4"/>
      <c r="H62" s="4"/>
      <c r="I62" s="4"/>
      <c r="J62" s="4"/>
      <c r="K62" s="4"/>
      <c r="L62" s="4"/>
      <c r="M62" s="4"/>
      <c r="N62" s="4"/>
      <c r="O62" s="4"/>
      <c r="P62" s="4"/>
      <c r="Q62" s="4"/>
      <c r="R62" s="4"/>
      <c r="X62" s="311"/>
      <c r="Y62" s="311"/>
      <c r="Z62" s="311"/>
      <c r="AA62" s="311"/>
      <c r="AB62" s="311"/>
      <c r="AC62" s="311"/>
      <c r="AD62" s="311"/>
    </row>
    <row r="63" spans="1:31" s="309" customFormat="1" x14ac:dyDescent="0.35">
      <c r="A63" s="3537"/>
      <c r="B63" s="820"/>
      <c r="C63" s="820"/>
      <c r="D63" s="4"/>
      <c r="E63" s="4"/>
      <c r="F63" s="4"/>
      <c r="G63" s="4"/>
      <c r="H63" s="4"/>
      <c r="I63" s="4"/>
      <c r="J63" s="4"/>
      <c r="K63" s="4"/>
      <c r="L63" s="4"/>
      <c r="M63" s="4"/>
      <c r="N63" s="4"/>
      <c r="O63" s="4"/>
      <c r="P63" s="4"/>
      <c r="Q63" s="4"/>
      <c r="R63" s="4"/>
      <c r="X63" s="311"/>
      <c r="Y63" s="311"/>
      <c r="Z63" s="311"/>
      <c r="AA63" s="311"/>
      <c r="AB63" s="311"/>
      <c r="AC63" s="311"/>
      <c r="AD63" s="311"/>
    </row>
    <row r="64" spans="1:31" s="309" customFormat="1" x14ac:dyDescent="0.35">
      <c r="A64" s="3537"/>
      <c r="B64" s="820"/>
      <c r="C64" s="820"/>
      <c r="D64" s="4"/>
      <c r="E64" s="4"/>
      <c r="F64" s="4"/>
      <c r="G64" s="4"/>
      <c r="H64" s="4"/>
      <c r="I64" s="4"/>
      <c r="J64" s="4"/>
      <c r="K64" s="4"/>
      <c r="L64" s="4"/>
      <c r="M64" s="4"/>
      <c r="N64" s="4"/>
      <c r="O64" s="4"/>
      <c r="P64" s="4"/>
      <c r="Q64" s="4"/>
      <c r="R64" s="4"/>
    </row>
    <row r="65" spans="1:18" s="309" customFormat="1" x14ac:dyDescent="0.35">
      <c r="A65" s="3537"/>
      <c r="B65" s="820"/>
      <c r="C65" s="820"/>
      <c r="D65" s="4"/>
      <c r="E65" s="4"/>
      <c r="F65" s="4"/>
      <c r="G65" s="4"/>
      <c r="H65" s="4"/>
      <c r="I65" s="4"/>
      <c r="J65" s="4"/>
      <c r="K65" s="4"/>
      <c r="L65" s="4"/>
      <c r="M65" s="4"/>
      <c r="N65" s="4"/>
      <c r="O65" s="4"/>
      <c r="P65" s="4"/>
      <c r="Q65" s="4"/>
      <c r="R65" s="4"/>
    </row>
    <row r="66" spans="1:18" s="309" customFormat="1" x14ac:dyDescent="0.35">
      <c r="A66" s="3537"/>
      <c r="B66" s="820"/>
      <c r="C66" s="820"/>
      <c r="D66" s="4"/>
      <c r="E66" s="4"/>
      <c r="F66" s="4"/>
      <c r="G66" s="4"/>
      <c r="H66" s="4"/>
      <c r="I66" s="4"/>
      <c r="J66" s="4"/>
      <c r="K66" s="4"/>
      <c r="L66" s="4"/>
      <c r="M66" s="4"/>
      <c r="N66" s="4"/>
      <c r="O66" s="4"/>
      <c r="P66" s="4"/>
      <c r="Q66" s="4"/>
      <c r="R66" s="4"/>
    </row>
    <row r="67" spans="1:18" s="309" customFormat="1" x14ac:dyDescent="0.35">
      <c r="A67" s="3537"/>
      <c r="B67" s="820"/>
      <c r="C67" s="820"/>
      <c r="D67" s="4"/>
      <c r="E67" s="4"/>
      <c r="F67" s="4"/>
      <c r="G67" s="4"/>
      <c r="H67" s="4"/>
      <c r="I67" s="4"/>
      <c r="J67" s="4"/>
      <c r="K67" s="4"/>
      <c r="L67" s="4"/>
      <c r="M67" s="4"/>
      <c r="N67" s="4"/>
      <c r="O67" s="4"/>
      <c r="P67" s="4"/>
      <c r="Q67" s="4"/>
      <c r="R67" s="4"/>
    </row>
    <row r="68" spans="1:18" s="309" customFormat="1" x14ac:dyDescent="0.35">
      <c r="A68" s="3537"/>
      <c r="B68" s="820"/>
      <c r="C68" s="820"/>
      <c r="D68" s="4"/>
      <c r="E68" s="4"/>
      <c r="F68" s="4"/>
      <c r="G68" s="4"/>
      <c r="H68" s="4"/>
      <c r="I68" s="4"/>
      <c r="J68" s="4"/>
      <c r="K68" s="4"/>
      <c r="L68" s="4"/>
      <c r="M68" s="4"/>
      <c r="N68" s="4"/>
      <c r="O68" s="4"/>
      <c r="P68" s="4"/>
      <c r="Q68" s="4"/>
      <c r="R68" s="4"/>
    </row>
    <row r="69" spans="1:18" s="309" customFormat="1" x14ac:dyDescent="0.35">
      <c r="A69" s="3537"/>
      <c r="B69" s="820"/>
      <c r="C69" s="820"/>
      <c r="D69" s="4"/>
      <c r="E69" s="4"/>
      <c r="F69" s="4"/>
      <c r="G69" s="4"/>
      <c r="H69" s="4"/>
      <c r="I69" s="4"/>
      <c r="J69" s="4"/>
      <c r="K69" s="4"/>
      <c r="L69" s="4"/>
      <c r="M69" s="4"/>
      <c r="N69" s="4"/>
      <c r="O69" s="4"/>
      <c r="P69" s="4"/>
      <c r="Q69" s="4"/>
      <c r="R69" s="4"/>
    </row>
    <row r="70" spans="1:18" s="309" customFormat="1" x14ac:dyDescent="0.35">
      <c r="A70" s="3537"/>
      <c r="B70" s="820"/>
      <c r="C70" s="820"/>
      <c r="D70" s="4"/>
      <c r="E70" s="4"/>
      <c r="F70" s="4"/>
      <c r="G70" s="4"/>
      <c r="H70" s="4"/>
      <c r="I70" s="4"/>
      <c r="J70" s="4"/>
      <c r="K70" s="4"/>
      <c r="L70" s="4"/>
      <c r="M70" s="4"/>
      <c r="N70" s="4"/>
      <c r="O70" s="4"/>
      <c r="P70" s="4"/>
      <c r="Q70" s="4"/>
      <c r="R70" s="4"/>
    </row>
    <row r="71" spans="1:18" s="309" customFormat="1" x14ac:dyDescent="0.35">
      <c r="A71" s="3537"/>
      <c r="B71" s="820"/>
      <c r="C71" s="820"/>
      <c r="D71" s="4"/>
      <c r="E71" s="4"/>
      <c r="F71" s="4"/>
      <c r="G71" s="4"/>
      <c r="H71" s="4"/>
      <c r="I71" s="4"/>
      <c r="J71" s="4"/>
      <c r="K71" s="4"/>
      <c r="L71" s="4"/>
      <c r="M71" s="4"/>
      <c r="N71" s="4"/>
      <c r="O71" s="4"/>
      <c r="P71" s="4"/>
      <c r="Q71" s="4"/>
      <c r="R71" s="4"/>
    </row>
    <row r="72" spans="1:18" s="309" customFormat="1" x14ac:dyDescent="0.35">
      <c r="A72" s="3537"/>
      <c r="B72" s="820"/>
      <c r="C72" s="820"/>
      <c r="D72" s="4"/>
      <c r="E72" s="4"/>
      <c r="F72" s="4"/>
      <c r="G72" s="4"/>
      <c r="H72" s="4"/>
      <c r="I72" s="4"/>
      <c r="J72" s="4"/>
      <c r="K72" s="4"/>
      <c r="L72" s="4"/>
      <c r="M72" s="4"/>
      <c r="N72" s="4"/>
      <c r="O72" s="4"/>
      <c r="P72" s="4"/>
      <c r="Q72" s="4"/>
      <c r="R72" s="4"/>
    </row>
    <row r="73" spans="1:18" s="309" customFormat="1" x14ac:dyDescent="0.35">
      <c r="A73" s="3537"/>
      <c r="B73" s="820"/>
      <c r="C73" s="820"/>
      <c r="D73" s="4"/>
      <c r="E73" s="4"/>
      <c r="F73" s="4"/>
      <c r="G73" s="4"/>
      <c r="H73" s="4"/>
      <c r="I73" s="4"/>
      <c r="J73" s="4"/>
      <c r="K73" s="4"/>
      <c r="L73" s="4"/>
      <c r="M73" s="4"/>
      <c r="N73" s="4"/>
      <c r="O73" s="4"/>
      <c r="P73" s="4"/>
      <c r="Q73" s="4"/>
      <c r="R73" s="4"/>
    </row>
    <row r="74" spans="1:18" s="309" customFormat="1" x14ac:dyDescent="0.35">
      <c r="A74" s="3537"/>
      <c r="B74" s="820"/>
      <c r="C74" s="820"/>
      <c r="D74" s="4"/>
      <c r="E74" s="4"/>
      <c r="F74" s="4"/>
      <c r="G74" s="4"/>
      <c r="H74" s="4"/>
      <c r="I74" s="4"/>
      <c r="J74" s="4"/>
      <c r="K74" s="4"/>
      <c r="L74" s="4"/>
      <c r="M74" s="4"/>
      <c r="N74" s="4"/>
      <c r="O74" s="4"/>
      <c r="P74" s="4"/>
      <c r="Q74" s="4"/>
      <c r="R74" s="4"/>
    </row>
    <row r="75" spans="1:18" s="309" customFormat="1" x14ac:dyDescent="0.35">
      <c r="A75" s="3537"/>
      <c r="B75" s="820"/>
      <c r="C75" s="820"/>
      <c r="D75" s="4"/>
      <c r="E75" s="4"/>
      <c r="F75" s="4"/>
      <c r="G75" s="4"/>
      <c r="H75" s="4"/>
      <c r="I75" s="4"/>
      <c r="J75" s="4"/>
      <c r="K75" s="4"/>
      <c r="L75" s="4"/>
      <c r="M75" s="4"/>
      <c r="N75" s="4"/>
      <c r="O75" s="4"/>
      <c r="P75" s="4"/>
      <c r="Q75" s="4"/>
      <c r="R75" s="4"/>
    </row>
    <row r="76" spans="1:18" s="309" customFormat="1" x14ac:dyDescent="0.35">
      <c r="A76" s="3537"/>
      <c r="B76" s="820"/>
      <c r="C76" s="820"/>
      <c r="D76" s="4"/>
      <c r="E76" s="4"/>
      <c r="F76" s="4"/>
      <c r="G76" s="4"/>
      <c r="H76" s="4"/>
      <c r="I76" s="4"/>
      <c r="J76" s="4"/>
      <c r="K76" s="4"/>
      <c r="L76" s="4"/>
      <c r="M76" s="4"/>
      <c r="N76" s="4"/>
      <c r="O76" s="4"/>
      <c r="P76" s="4"/>
      <c r="Q76" s="4"/>
      <c r="R76" s="4"/>
    </row>
    <row r="77" spans="1:18" s="309" customFormat="1" x14ac:dyDescent="0.35">
      <c r="A77" s="3537"/>
      <c r="B77" s="820"/>
      <c r="C77" s="820"/>
      <c r="D77" s="4"/>
      <c r="E77" s="4"/>
      <c r="F77" s="4"/>
      <c r="G77" s="4"/>
      <c r="H77" s="4"/>
      <c r="I77" s="4"/>
      <c r="J77" s="4"/>
      <c r="K77" s="4"/>
      <c r="L77" s="4"/>
      <c r="M77" s="4"/>
      <c r="N77" s="4"/>
      <c r="O77" s="4"/>
      <c r="P77" s="4"/>
      <c r="Q77" s="4"/>
      <c r="R77" s="4"/>
    </row>
    <row r="78" spans="1:18" s="309" customFormat="1" x14ac:dyDescent="0.35">
      <c r="A78" s="3537"/>
      <c r="B78" s="820"/>
      <c r="C78" s="820"/>
      <c r="D78" s="4"/>
      <c r="E78" s="4"/>
      <c r="F78" s="4"/>
      <c r="G78" s="4"/>
      <c r="H78" s="4"/>
      <c r="I78" s="4"/>
      <c r="J78" s="4"/>
      <c r="K78" s="4"/>
      <c r="L78" s="4"/>
      <c r="M78" s="4"/>
      <c r="N78" s="4"/>
      <c r="O78" s="4"/>
      <c r="P78" s="4"/>
      <c r="Q78" s="4"/>
      <c r="R78" s="4"/>
    </row>
    <row r="79" spans="1:18" s="309" customFormat="1" x14ac:dyDescent="0.35">
      <c r="A79" s="3537"/>
      <c r="B79" s="820"/>
      <c r="C79" s="820"/>
      <c r="D79" s="4"/>
      <c r="E79" s="4"/>
      <c r="F79" s="4"/>
      <c r="G79" s="4"/>
      <c r="H79" s="4"/>
      <c r="I79" s="4"/>
      <c r="J79" s="4"/>
      <c r="K79" s="4"/>
      <c r="L79" s="4"/>
      <c r="M79" s="4"/>
      <c r="N79" s="4"/>
      <c r="O79" s="4"/>
      <c r="P79" s="4"/>
      <c r="Q79" s="4"/>
      <c r="R79" s="4"/>
    </row>
    <row r="80" spans="1:18" s="309" customFormat="1" x14ac:dyDescent="0.35">
      <c r="A80" s="3537"/>
      <c r="B80" s="820"/>
      <c r="C80" s="820"/>
      <c r="D80" s="4"/>
      <c r="E80" s="4"/>
      <c r="F80" s="4"/>
      <c r="G80" s="4"/>
      <c r="H80" s="4"/>
      <c r="I80" s="4"/>
      <c r="J80" s="4"/>
      <c r="K80" s="4"/>
      <c r="L80" s="4"/>
      <c r="M80" s="4"/>
      <c r="N80" s="4"/>
      <c r="O80" s="4"/>
      <c r="P80" s="4"/>
      <c r="Q80" s="4"/>
      <c r="R80" s="4"/>
    </row>
    <row r="81" spans="1:18" s="309" customFormat="1" x14ac:dyDescent="0.35">
      <c r="A81" s="3537"/>
      <c r="B81" s="820"/>
      <c r="C81" s="820"/>
      <c r="D81" s="4"/>
      <c r="E81" s="4"/>
      <c r="F81" s="4"/>
      <c r="G81" s="4"/>
      <c r="H81" s="4"/>
      <c r="I81" s="4"/>
      <c r="J81" s="4"/>
      <c r="K81" s="4"/>
      <c r="L81" s="4"/>
      <c r="M81" s="4"/>
      <c r="N81" s="4"/>
      <c r="O81" s="4"/>
      <c r="P81" s="4"/>
      <c r="Q81" s="4"/>
      <c r="R81" s="4"/>
    </row>
    <row r="82" spans="1:18" s="309" customFormat="1" x14ac:dyDescent="0.35">
      <c r="A82" s="3537"/>
      <c r="B82" s="820"/>
      <c r="C82" s="820"/>
      <c r="D82" s="4"/>
      <c r="E82" s="4"/>
      <c r="F82" s="4"/>
      <c r="G82" s="4"/>
      <c r="H82" s="4"/>
      <c r="I82" s="4"/>
      <c r="J82" s="4"/>
      <c r="K82" s="4"/>
      <c r="L82" s="4"/>
      <c r="M82" s="4"/>
      <c r="N82" s="4"/>
      <c r="O82" s="4"/>
      <c r="P82" s="4"/>
      <c r="Q82" s="4"/>
      <c r="R82" s="4"/>
    </row>
    <row r="83" spans="1:18" s="309" customFormat="1" x14ac:dyDescent="0.35">
      <c r="A83" s="3537"/>
      <c r="B83" s="820"/>
      <c r="C83" s="820"/>
      <c r="D83" s="4"/>
      <c r="E83" s="4"/>
      <c r="F83" s="4"/>
      <c r="G83" s="4"/>
      <c r="H83" s="4"/>
      <c r="I83" s="4"/>
      <c r="J83" s="4"/>
      <c r="K83" s="4"/>
      <c r="L83" s="4"/>
      <c r="M83" s="4"/>
      <c r="N83" s="4"/>
      <c r="O83" s="4"/>
      <c r="P83" s="4"/>
      <c r="Q83" s="4"/>
      <c r="R83" s="4"/>
    </row>
    <row r="84" spans="1:18" s="309" customFormat="1" x14ac:dyDescent="0.35">
      <c r="A84" s="3537"/>
      <c r="B84" s="820"/>
      <c r="C84" s="820"/>
      <c r="D84" s="4"/>
      <c r="E84" s="4"/>
      <c r="F84" s="4"/>
      <c r="G84" s="4"/>
      <c r="H84" s="4"/>
      <c r="I84" s="4"/>
      <c r="J84" s="4"/>
      <c r="K84" s="4"/>
      <c r="L84" s="4"/>
      <c r="M84" s="4"/>
      <c r="N84" s="4"/>
      <c r="O84" s="4"/>
      <c r="P84" s="4"/>
      <c r="Q84" s="4"/>
      <c r="R84" s="4"/>
    </row>
    <row r="85" spans="1:18" s="309" customFormat="1" x14ac:dyDescent="0.35">
      <c r="A85" s="3537"/>
      <c r="B85" s="820"/>
      <c r="C85" s="820"/>
      <c r="D85" s="4"/>
      <c r="E85" s="4"/>
      <c r="F85" s="4"/>
      <c r="G85" s="4"/>
      <c r="H85" s="4"/>
      <c r="I85" s="4"/>
      <c r="J85" s="4"/>
      <c r="K85" s="4"/>
      <c r="L85" s="4"/>
      <c r="M85" s="4"/>
      <c r="N85" s="4"/>
      <c r="O85" s="4"/>
      <c r="P85" s="4"/>
      <c r="Q85" s="4"/>
      <c r="R85" s="4"/>
    </row>
    <row r="86" spans="1:18" s="309" customFormat="1" x14ac:dyDescent="0.35">
      <c r="A86" s="3537"/>
      <c r="B86" s="820"/>
      <c r="C86" s="820"/>
      <c r="D86" s="4"/>
      <c r="E86" s="4"/>
      <c r="F86" s="4"/>
      <c r="G86" s="4"/>
      <c r="H86" s="4"/>
      <c r="I86" s="4"/>
      <c r="J86" s="4"/>
      <c r="K86" s="4"/>
      <c r="L86" s="4"/>
      <c r="M86" s="4"/>
      <c r="N86" s="4"/>
      <c r="O86" s="4"/>
      <c r="P86" s="4"/>
      <c r="Q86" s="4"/>
      <c r="R86" s="4"/>
    </row>
    <row r="87" spans="1:18" s="309" customFormat="1" x14ac:dyDescent="0.35">
      <c r="A87" s="3537"/>
      <c r="B87" s="820"/>
      <c r="C87" s="820"/>
      <c r="D87" s="4"/>
      <c r="E87" s="4"/>
      <c r="F87" s="4"/>
      <c r="G87" s="4"/>
      <c r="H87" s="4"/>
      <c r="I87" s="4"/>
      <c r="J87" s="4"/>
      <c r="K87" s="4"/>
      <c r="L87" s="4"/>
      <c r="M87" s="4"/>
      <c r="N87" s="4"/>
      <c r="O87" s="4"/>
      <c r="P87" s="4"/>
      <c r="Q87" s="4"/>
      <c r="R87" s="4"/>
    </row>
    <row r="88" spans="1:18" s="309" customFormat="1" x14ac:dyDescent="0.35">
      <c r="A88" s="3537"/>
      <c r="B88" s="820"/>
      <c r="C88" s="820"/>
      <c r="D88" s="4"/>
      <c r="E88" s="4"/>
      <c r="F88" s="4"/>
      <c r="G88" s="4"/>
      <c r="H88" s="4"/>
      <c r="I88" s="4"/>
      <c r="J88" s="4"/>
      <c r="K88" s="4"/>
      <c r="L88" s="4"/>
      <c r="M88" s="4"/>
      <c r="N88" s="4"/>
      <c r="O88" s="4"/>
      <c r="P88" s="4"/>
      <c r="Q88" s="4"/>
      <c r="R88" s="4"/>
    </row>
    <row r="89" spans="1:18" s="309" customFormat="1" x14ac:dyDescent="0.35">
      <c r="A89" s="3537"/>
      <c r="B89" s="820"/>
      <c r="C89" s="820"/>
      <c r="D89" s="4"/>
      <c r="E89" s="4"/>
      <c r="F89" s="4"/>
      <c r="G89" s="4"/>
      <c r="H89" s="4"/>
      <c r="I89" s="4"/>
      <c r="J89" s="4"/>
      <c r="K89" s="4"/>
      <c r="L89" s="4"/>
      <c r="M89" s="4"/>
      <c r="N89" s="4"/>
      <c r="O89" s="4"/>
      <c r="P89" s="4"/>
      <c r="Q89" s="4"/>
      <c r="R89" s="4"/>
    </row>
    <row r="90" spans="1:18" s="309" customFormat="1" x14ac:dyDescent="0.35">
      <c r="A90" s="3537"/>
      <c r="B90" s="820"/>
      <c r="C90" s="820"/>
      <c r="D90" s="4"/>
      <c r="E90" s="4"/>
      <c r="F90" s="4"/>
      <c r="G90" s="4"/>
      <c r="H90" s="4"/>
      <c r="I90" s="4"/>
      <c r="J90" s="4"/>
      <c r="K90" s="4"/>
      <c r="L90" s="4"/>
      <c r="M90" s="4"/>
      <c r="N90" s="4"/>
      <c r="O90" s="4"/>
      <c r="P90" s="4"/>
      <c r="Q90" s="4"/>
      <c r="R90" s="4"/>
    </row>
    <row r="91" spans="1:18" s="309" customFormat="1" x14ac:dyDescent="0.35">
      <c r="A91" s="3537"/>
      <c r="B91" s="820"/>
      <c r="C91" s="820"/>
      <c r="D91" s="4"/>
      <c r="E91" s="4"/>
      <c r="F91" s="4"/>
      <c r="G91" s="4"/>
      <c r="H91" s="4"/>
      <c r="I91" s="4"/>
      <c r="J91" s="4"/>
      <c r="K91" s="4"/>
      <c r="L91" s="4"/>
      <c r="M91" s="4"/>
      <c r="N91" s="4"/>
      <c r="O91" s="4"/>
      <c r="P91" s="4"/>
      <c r="Q91" s="4"/>
      <c r="R91" s="4"/>
    </row>
    <row r="92" spans="1:18" x14ac:dyDescent="0.35">
      <c r="B92" s="2077"/>
      <c r="C92" s="2077"/>
      <c r="D92" s="140"/>
      <c r="E92" s="140"/>
      <c r="F92" s="140"/>
      <c r="G92" s="140"/>
      <c r="H92" s="140"/>
      <c r="I92" s="140"/>
      <c r="J92" s="140"/>
      <c r="K92" s="140"/>
      <c r="L92" s="140"/>
      <c r="M92" s="140"/>
      <c r="N92" s="140"/>
      <c r="O92" s="140"/>
      <c r="P92" s="140"/>
      <c r="Q92" s="140"/>
      <c r="R92" s="140"/>
    </row>
    <row r="93" spans="1:18" x14ac:dyDescent="0.35">
      <c r="B93" s="2077"/>
      <c r="C93" s="2077"/>
      <c r="D93" s="140"/>
      <c r="E93" s="140"/>
      <c r="F93" s="140"/>
      <c r="G93" s="140"/>
      <c r="H93" s="140"/>
      <c r="I93" s="140"/>
      <c r="J93" s="140"/>
      <c r="K93" s="140"/>
      <c r="L93" s="140"/>
      <c r="M93" s="140"/>
      <c r="N93" s="140"/>
      <c r="O93" s="140"/>
      <c r="P93" s="140"/>
      <c r="Q93" s="140"/>
      <c r="R93" s="140"/>
    </row>
    <row r="94" spans="1:18" x14ac:dyDescent="0.35">
      <c r="B94" s="2077"/>
      <c r="C94" s="2077"/>
      <c r="D94" s="140"/>
      <c r="E94" s="140"/>
      <c r="F94" s="140"/>
      <c r="G94" s="140"/>
      <c r="H94" s="140"/>
      <c r="I94" s="140"/>
      <c r="J94" s="140"/>
      <c r="K94" s="140"/>
      <c r="L94" s="140"/>
      <c r="M94" s="140"/>
      <c r="N94" s="140"/>
      <c r="O94" s="140"/>
      <c r="P94" s="140"/>
      <c r="Q94" s="140"/>
      <c r="R94" s="140"/>
    </row>
    <row r="95" spans="1:18" x14ac:dyDescent="0.35">
      <c r="B95" s="2077"/>
      <c r="C95" s="2077"/>
      <c r="D95" s="140"/>
      <c r="E95" s="140"/>
      <c r="F95" s="140"/>
      <c r="G95" s="140"/>
      <c r="H95" s="140"/>
      <c r="I95" s="140"/>
      <c r="J95" s="140"/>
      <c r="K95" s="140"/>
      <c r="L95" s="140"/>
      <c r="M95" s="140"/>
      <c r="N95" s="140"/>
      <c r="O95" s="140"/>
      <c r="P95" s="140"/>
      <c r="Q95" s="140"/>
      <c r="R95" s="140"/>
    </row>
    <row r="96" spans="1:18" x14ac:dyDescent="0.35">
      <c r="B96" s="2077"/>
      <c r="C96" s="2077"/>
      <c r="D96" s="140"/>
      <c r="E96" s="140"/>
      <c r="F96" s="140"/>
      <c r="G96" s="140"/>
      <c r="H96" s="140"/>
      <c r="I96" s="140"/>
      <c r="J96" s="140"/>
      <c r="K96" s="140"/>
      <c r="L96" s="140"/>
      <c r="M96" s="140"/>
      <c r="N96" s="140"/>
      <c r="O96" s="140"/>
      <c r="P96" s="140"/>
      <c r="Q96" s="140"/>
      <c r="R96" s="140"/>
    </row>
    <row r="97" spans="2:18" x14ac:dyDescent="0.35">
      <c r="B97" s="2077"/>
      <c r="C97" s="2077"/>
      <c r="D97" s="140"/>
      <c r="E97" s="140"/>
      <c r="F97" s="140"/>
      <c r="G97" s="140"/>
      <c r="H97" s="140"/>
      <c r="I97" s="140"/>
      <c r="J97" s="140"/>
      <c r="K97" s="140"/>
      <c r="L97" s="140"/>
      <c r="M97" s="140"/>
      <c r="N97" s="140"/>
      <c r="O97" s="140"/>
      <c r="P97" s="140"/>
      <c r="Q97" s="140"/>
      <c r="R97" s="140"/>
    </row>
    <row r="98" spans="2:18" x14ac:dyDescent="0.35">
      <c r="B98" s="2077"/>
      <c r="C98" s="2077"/>
      <c r="D98" s="140"/>
      <c r="E98" s="140"/>
      <c r="F98" s="140"/>
      <c r="G98" s="140"/>
      <c r="H98" s="140"/>
      <c r="I98" s="140"/>
      <c r="J98" s="140"/>
      <c r="K98" s="140"/>
      <c r="L98" s="140"/>
      <c r="M98" s="140"/>
      <c r="N98" s="140"/>
      <c r="O98" s="140"/>
      <c r="P98" s="140"/>
      <c r="Q98" s="140"/>
      <c r="R98" s="140"/>
    </row>
    <row r="99" spans="2:18" x14ac:dyDescent="0.35">
      <c r="B99" s="2077"/>
      <c r="C99" s="2077"/>
      <c r="D99" s="140"/>
      <c r="E99" s="140"/>
      <c r="F99" s="140"/>
      <c r="G99" s="140"/>
      <c r="H99" s="140"/>
      <c r="I99" s="140"/>
      <c r="J99" s="140"/>
      <c r="K99" s="140"/>
      <c r="L99" s="140"/>
      <c r="M99" s="140"/>
      <c r="N99" s="140"/>
      <c r="O99" s="140"/>
      <c r="P99" s="140"/>
      <c r="Q99" s="140"/>
      <c r="R99" s="140"/>
    </row>
    <row r="100" spans="2:18" x14ac:dyDescent="0.35">
      <c r="B100" s="2077"/>
      <c r="C100" s="2077"/>
      <c r="D100" s="140"/>
      <c r="E100" s="140"/>
      <c r="F100" s="140"/>
      <c r="G100" s="140"/>
      <c r="H100" s="140"/>
      <c r="I100" s="140"/>
      <c r="J100" s="140"/>
      <c r="K100" s="140"/>
      <c r="L100" s="140"/>
      <c r="M100" s="140"/>
      <c r="N100" s="140"/>
      <c r="O100" s="140"/>
      <c r="P100" s="140"/>
      <c r="Q100" s="140"/>
      <c r="R100" s="140"/>
    </row>
    <row r="101" spans="2:18" x14ac:dyDescent="0.35">
      <c r="B101" s="2077"/>
      <c r="C101" s="2077"/>
      <c r="D101" s="140"/>
      <c r="E101" s="140"/>
      <c r="F101" s="140"/>
      <c r="G101" s="140"/>
      <c r="H101" s="140"/>
      <c r="I101" s="140"/>
      <c r="J101" s="140"/>
      <c r="K101" s="140"/>
      <c r="L101" s="140"/>
      <c r="M101" s="140"/>
      <c r="N101" s="140"/>
      <c r="O101" s="140"/>
      <c r="P101" s="140"/>
      <c r="Q101" s="140"/>
      <c r="R101" s="140"/>
    </row>
    <row r="102" spans="2:18" x14ac:dyDescent="0.35">
      <c r="B102" s="2077"/>
      <c r="C102" s="2077"/>
      <c r="D102" s="140"/>
      <c r="E102" s="140"/>
      <c r="F102" s="140"/>
      <c r="G102" s="140"/>
      <c r="H102" s="140"/>
      <c r="I102" s="140"/>
      <c r="J102" s="140"/>
      <c r="K102" s="140"/>
      <c r="L102" s="140"/>
      <c r="M102" s="140"/>
      <c r="N102" s="140"/>
      <c r="O102" s="140"/>
      <c r="P102" s="140"/>
      <c r="Q102" s="140"/>
      <c r="R102" s="140"/>
    </row>
    <row r="103" spans="2:18" x14ac:dyDescent="0.35">
      <c r="B103" s="2077"/>
      <c r="C103" s="2077"/>
      <c r="D103" s="140"/>
      <c r="E103" s="140"/>
      <c r="F103" s="140"/>
      <c r="G103" s="140"/>
      <c r="H103" s="140"/>
      <c r="I103" s="140"/>
      <c r="J103" s="140"/>
      <c r="K103" s="140"/>
      <c r="L103" s="140"/>
      <c r="M103" s="140"/>
      <c r="N103" s="140"/>
      <c r="O103" s="140"/>
      <c r="P103" s="140"/>
      <c r="Q103" s="140"/>
      <c r="R103" s="140"/>
    </row>
    <row r="104" spans="2:18" x14ac:dyDescent="0.35">
      <c r="B104" s="2077"/>
      <c r="C104" s="2077"/>
      <c r="D104" s="140"/>
      <c r="E104" s="140"/>
      <c r="F104" s="140"/>
      <c r="G104" s="140"/>
      <c r="H104" s="140"/>
      <c r="I104" s="140"/>
      <c r="J104" s="140"/>
      <c r="K104" s="140"/>
      <c r="L104" s="140"/>
      <c r="M104" s="140"/>
      <c r="N104" s="140"/>
      <c r="O104" s="140"/>
      <c r="P104" s="140"/>
      <c r="Q104" s="140"/>
      <c r="R104" s="140"/>
    </row>
    <row r="105" spans="2:18" x14ac:dyDescent="0.35">
      <c r="B105" s="2077"/>
      <c r="C105" s="2077"/>
      <c r="D105" s="140"/>
      <c r="E105" s="140"/>
      <c r="F105" s="140"/>
      <c r="G105" s="140"/>
      <c r="H105" s="140"/>
      <c r="I105" s="140"/>
      <c r="J105" s="140"/>
      <c r="K105" s="140"/>
      <c r="L105" s="140"/>
      <c r="M105" s="140"/>
      <c r="N105" s="140"/>
      <c r="O105" s="140"/>
      <c r="P105" s="140"/>
      <c r="Q105" s="140"/>
      <c r="R105" s="140"/>
    </row>
    <row r="106" spans="2:18" x14ac:dyDescent="0.35">
      <c r="B106" s="2077"/>
      <c r="C106" s="2077"/>
      <c r="D106" s="140"/>
      <c r="E106" s="140"/>
      <c r="F106" s="140"/>
      <c r="G106" s="140"/>
      <c r="H106" s="140"/>
      <c r="I106" s="140"/>
      <c r="J106" s="140"/>
      <c r="K106" s="140"/>
      <c r="L106" s="140"/>
      <c r="M106" s="140"/>
      <c r="N106" s="140"/>
      <c r="O106" s="140"/>
      <c r="P106" s="140"/>
      <c r="Q106" s="140"/>
      <c r="R106" s="140"/>
    </row>
    <row r="107" spans="2:18" x14ac:dyDescent="0.35">
      <c r="B107" s="2077"/>
      <c r="C107" s="2077"/>
      <c r="D107" s="140"/>
      <c r="E107" s="140"/>
      <c r="F107" s="140"/>
      <c r="G107" s="140"/>
      <c r="H107" s="140"/>
      <c r="I107" s="140"/>
      <c r="J107" s="140"/>
      <c r="K107" s="140"/>
      <c r="L107" s="140"/>
      <c r="M107" s="140"/>
      <c r="N107" s="140"/>
      <c r="O107" s="140"/>
      <c r="P107" s="140"/>
      <c r="Q107" s="140"/>
      <c r="R107" s="140"/>
    </row>
    <row r="108" spans="2:18" x14ac:dyDescent="0.35">
      <c r="B108" s="2077"/>
      <c r="C108" s="2077"/>
      <c r="D108" s="140"/>
      <c r="E108" s="140"/>
      <c r="F108" s="140"/>
      <c r="G108" s="140"/>
      <c r="H108" s="140"/>
      <c r="I108" s="140"/>
      <c r="J108" s="140"/>
      <c r="K108" s="140"/>
      <c r="L108" s="140"/>
      <c r="M108" s="140"/>
      <c r="N108" s="140"/>
      <c r="O108" s="140"/>
      <c r="P108" s="140"/>
      <c r="Q108" s="140"/>
      <c r="R108" s="140"/>
    </row>
    <row r="109" spans="2:18" x14ac:dyDescent="0.35">
      <c r="B109" s="2077"/>
      <c r="C109" s="2077"/>
      <c r="D109" s="140"/>
      <c r="E109" s="140"/>
      <c r="F109" s="140"/>
      <c r="G109" s="140"/>
      <c r="H109" s="140"/>
      <c r="I109" s="140"/>
      <c r="J109" s="140"/>
      <c r="K109" s="140"/>
      <c r="L109" s="140"/>
      <c r="M109" s="140"/>
      <c r="N109" s="140"/>
      <c r="O109" s="140"/>
      <c r="P109" s="140"/>
      <c r="Q109" s="140"/>
      <c r="R109" s="140"/>
    </row>
    <row r="110" spans="2:18" x14ac:dyDescent="0.35">
      <c r="B110" s="2077"/>
      <c r="C110" s="2077"/>
      <c r="D110" s="140"/>
      <c r="E110" s="140"/>
      <c r="F110" s="140"/>
      <c r="G110" s="140"/>
      <c r="H110" s="140"/>
      <c r="I110" s="140"/>
      <c r="J110" s="140"/>
      <c r="K110" s="140"/>
      <c r="L110" s="140"/>
      <c r="M110" s="140"/>
      <c r="N110" s="140"/>
      <c r="O110" s="140"/>
      <c r="P110" s="140"/>
      <c r="Q110" s="140"/>
      <c r="R110" s="140"/>
    </row>
    <row r="111" spans="2:18" x14ac:dyDescent="0.35">
      <c r="B111" s="2077"/>
      <c r="C111" s="2077"/>
      <c r="D111" s="140"/>
      <c r="E111" s="140"/>
      <c r="F111" s="140"/>
      <c r="G111" s="140"/>
      <c r="H111" s="140"/>
      <c r="I111" s="140"/>
      <c r="J111" s="140"/>
      <c r="K111" s="140"/>
      <c r="L111" s="140"/>
      <c r="M111" s="140"/>
      <c r="N111" s="140"/>
      <c r="O111" s="140"/>
      <c r="P111" s="140"/>
      <c r="Q111" s="140"/>
      <c r="R111" s="140"/>
    </row>
    <row r="112" spans="2:18" x14ac:dyDescent="0.35">
      <c r="B112" s="2077"/>
      <c r="C112" s="2077"/>
      <c r="D112" s="140"/>
      <c r="E112" s="140"/>
      <c r="F112" s="140"/>
      <c r="G112" s="140"/>
      <c r="H112" s="140"/>
      <c r="I112" s="140"/>
      <c r="J112" s="140"/>
      <c r="K112" s="140"/>
      <c r="L112" s="140"/>
      <c r="M112" s="140"/>
      <c r="N112" s="140"/>
      <c r="O112" s="140"/>
      <c r="P112" s="140"/>
      <c r="Q112" s="140"/>
      <c r="R112" s="140"/>
    </row>
    <row r="113" spans="2:18" x14ac:dyDescent="0.35">
      <c r="B113" s="2077"/>
      <c r="C113" s="2077"/>
      <c r="D113" s="140"/>
      <c r="E113" s="140"/>
      <c r="F113" s="140"/>
      <c r="G113" s="140"/>
      <c r="H113" s="140"/>
      <c r="I113" s="140"/>
      <c r="J113" s="140"/>
      <c r="K113" s="140"/>
      <c r="L113" s="140"/>
      <c r="M113" s="140"/>
      <c r="N113" s="140"/>
      <c r="O113" s="140"/>
      <c r="P113" s="140"/>
      <c r="Q113" s="140"/>
      <c r="R113" s="140"/>
    </row>
    <row r="114" spans="2:18" x14ac:dyDescent="0.35">
      <c r="B114" s="2077"/>
      <c r="C114" s="2077"/>
      <c r="D114" s="140"/>
      <c r="E114" s="140"/>
      <c r="F114" s="140"/>
      <c r="G114" s="140"/>
      <c r="H114" s="140"/>
      <c r="I114" s="140"/>
      <c r="J114" s="140"/>
      <c r="K114" s="140"/>
      <c r="L114" s="140"/>
      <c r="M114" s="140"/>
      <c r="N114" s="140"/>
      <c r="O114" s="140"/>
      <c r="P114" s="140"/>
      <c r="Q114" s="140"/>
      <c r="R114" s="140"/>
    </row>
    <row r="115" spans="2:18" x14ac:dyDescent="0.35">
      <c r="B115" s="2077"/>
      <c r="C115" s="2077"/>
      <c r="D115" s="140"/>
      <c r="E115" s="140"/>
      <c r="F115" s="140"/>
      <c r="G115" s="140"/>
      <c r="H115" s="140"/>
      <c r="I115" s="140"/>
      <c r="J115" s="140"/>
      <c r="K115" s="140"/>
      <c r="L115" s="140"/>
      <c r="M115" s="140"/>
      <c r="N115" s="140"/>
      <c r="O115" s="140"/>
      <c r="P115" s="140"/>
      <c r="Q115" s="140"/>
      <c r="R115" s="140"/>
    </row>
    <row r="116" spans="2:18" x14ac:dyDescent="0.35">
      <c r="B116" s="2077"/>
      <c r="C116" s="2077"/>
      <c r="D116" s="140"/>
      <c r="E116" s="140"/>
      <c r="F116" s="140"/>
      <c r="G116" s="140"/>
      <c r="H116" s="140"/>
      <c r="I116" s="140"/>
      <c r="J116" s="140"/>
      <c r="K116" s="140"/>
      <c r="L116" s="140"/>
      <c r="M116" s="140"/>
      <c r="N116" s="140"/>
      <c r="O116" s="140"/>
      <c r="P116" s="140"/>
      <c r="Q116" s="140"/>
      <c r="R116" s="140"/>
    </row>
    <row r="117" spans="2:18" x14ac:dyDescent="0.35">
      <c r="B117" s="2077"/>
      <c r="C117" s="2077"/>
      <c r="D117" s="140"/>
      <c r="E117" s="140"/>
      <c r="F117" s="140"/>
      <c r="G117" s="140"/>
      <c r="H117" s="140"/>
      <c r="I117" s="140"/>
      <c r="J117" s="140"/>
      <c r="K117" s="140"/>
      <c r="L117" s="140"/>
      <c r="M117" s="140"/>
      <c r="N117" s="140"/>
      <c r="O117" s="140"/>
      <c r="P117" s="140"/>
      <c r="Q117" s="140"/>
      <c r="R117" s="140"/>
    </row>
    <row r="118" spans="2:18" x14ac:dyDescent="0.35">
      <c r="B118" s="2077"/>
      <c r="C118" s="2077"/>
      <c r="D118" s="140"/>
      <c r="E118" s="140"/>
      <c r="F118" s="140"/>
      <c r="G118" s="140"/>
      <c r="H118" s="140"/>
      <c r="I118" s="140"/>
      <c r="J118" s="140"/>
      <c r="K118" s="140"/>
      <c r="L118" s="140"/>
      <c r="M118" s="140"/>
      <c r="N118" s="140"/>
      <c r="O118" s="140"/>
      <c r="P118" s="140"/>
      <c r="Q118" s="140"/>
      <c r="R118" s="140"/>
    </row>
    <row r="119" spans="2:18" x14ac:dyDescent="0.35">
      <c r="B119" s="2077"/>
      <c r="C119" s="2077"/>
      <c r="D119" s="140"/>
      <c r="E119" s="140"/>
      <c r="F119" s="140"/>
      <c r="G119" s="140"/>
      <c r="H119" s="140"/>
      <c r="I119" s="140"/>
      <c r="J119" s="140"/>
      <c r="K119" s="140"/>
      <c r="L119" s="140"/>
      <c r="M119" s="140"/>
      <c r="N119" s="140"/>
      <c r="O119" s="140"/>
      <c r="P119" s="140"/>
      <c r="Q119" s="140"/>
      <c r="R119" s="140"/>
    </row>
    <row r="120" spans="2:18" x14ac:dyDescent="0.35">
      <c r="B120" s="2077"/>
      <c r="C120" s="2077"/>
      <c r="D120" s="140"/>
      <c r="E120" s="140"/>
      <c r="F120" s="140"/>
      <c r="G120" s="140"/>
      <c r="H120" s="140"/>
      <c r="I120" s="140"/>
      <c r="J120" s="140"/>
      <c r="K120" s="140"/>
      <c r="L120" s="140"/>
      <c r="M120" s="140"/>
      <c r="N120" s="140"/>
      <c r="O120" s="140"/>
      <c r="P120" s="140"/>
      <c r="Q120" s="140"/>
      <c r="R120" s="140"/>
    </row>
    <row r="121" spans="2:18" x14ac:dyDescent="0.35">
      <c r="B121" s="2077"/>
      <c r="C121" s="2077"/>
      <c r="D121" s="140"/>
      <c r="E121" s="140"/>
      <c r="F121" s="140"/>
      <c r="G121" s="140"/>
      <c r="H121" s="140"/>
      <c r="I121" s="140"/>
      <c r="J121" s="140"/>
      <c r="K121" s="140"/>
      <c r="L121" s="140"/>
      <c r="M121" s="140"/>
      <c r="N121" s="140"/>
      <c r="O121" s="140"/>
      <c r="P121" s="140"/>
      <c r="Q121" s="140"/>
      <c r="R121" s="140"/>
    </row>
    <row r="122" spans="2:18" x14ac:dyDescent="0.35">
      <c r="B122" s="2077"/>
      <c r="C122" s="2077"/>
      <c r="D122" s="140"/>
      <c r="E122" s="140"/>
      <c r="F122" s="140"/>
      <c r="G122" s="140"/>
      <c r="H122" s="140"/>
      <c r="I122" s="140"/>
      <c r="J122" s="140"/>
      <c r="K122" s="140"/>
      <c r="L122" s="140"/>
      <c r="M122" s="140"/>
      <c r="N122" s="140"/>
      <c r="O122" s="140"/>
      <c r="P122" s="140"/>
      <c r="Q122" s="140"/>
      <c r="R122" s="140"/>
    </row>
    <row r="123" spans="2:18" x14ac:dyDescent="0.35">
      <c r="B123" s="2077"/>
      <c r="C123" s="2077"/>
      <c r="D123" s="140"/>
      <c r="E123" s="140"/>
      <c r="F123" s="140"/>
      <c r="G123" s="140"/>
      <c r="H123" s="140"/>
      <c r="I123" s="140"/>
      <c r="J123" s="140"/>
      <c r="K123" s="140"/>
      <c r="L123" s="140"/>
      <c r="M123" s="140"/>
      <c r="N123" s="140"/>
      <c r="O123" s="140"/>
      <c r="P123" s="140"/>
      <c r="Q123" s="140"/>
      <c r="R123" s="140"/>
    </row>
    <row r="124" spans="2:18" x14ac:dyDescent="0.35">
      <c r="B124" s="2077"/>
      <c r="C124" s="2077"/>
      <c r="D124" s="140"/>
      <c r="E124" s="140"/>
      <c r="F124" s="140"/>
      <c r="G124" s="140"/>
      <c r="H124" s="140"/>
      <c r="I124" s="140"/>
      <c r="J124" s="140"/>
      <c r="K124" s="140"/>
      <c r="L124" s="140"/>
      <c r="M124" s="140"/>
      <c r="N124" s="140"/>
      <c r="O124" s="140"/>
      <c r="P124" s="140"/>
      <c r="Q124" s="140"/>
      <c r="R124" s="140"/>
    </row>
    <row r="125" spans="2:18" x14ac:dyDescent="0.35">
      <c r="B125" s="2077"/>
      <c r="C125" s="2077"/>
      <c r="D125" s="140"/>
      <c r="E125" s="140"/>
      <c r="F125" s="140"/>
      <c r="G125" s="140"/>
      <c r="H125" s="140"/>
      <c r="I125" s="140"/>
      <c r="J125" s="140"/>
      <c r="K125" s="140"/>
      <c r="L125" s="140"/>
      <c r="M125" s="140"/>
      <c r="N125" s="140"/>
      <c r="O125" s="140"/>
      <c r="P125" s="140"/>
      <c r="Q125" s="140"/>
      <c r="R125" s="140"/>
    </row>
    <row r="126" spans="2:18" x14ac:dyDescent="0.35">
      <c r="B126" s="2077"/>
      <c r="C126" s="2077"/>
      <c r="D126" s="140"/>
      <c r="E126" s="140"/>
      <c r="F126" s="140"/>
      <c r="G126" s="140"/>
      <c r="H126" s="140"/>
      <c r="I126" s="140"/>
      <c r="J126" s="140"/>
      <c r="K126" s="140"/>
      <c r="L126" s="140"/>
      <c r="M126" s="140"/>
      <c r="N126" s="140"/>
      <c r="O126" s="140"/>
      <c r="P126" s="140"/>
      <c r="Q126" s="140"/>
      <c r="R126" s="140"/>
    </row>
    <row r="127" spans="2:18" x14ac:dyDescent="0.35">
      <c r="B127" s="2077"/>
      <c r="C127" s="2077"/>
      <c r="D127" s="140"/>
      <c r="E127" s="140"/>
      <c r="F127" s="140"/>
      <c r="G127" s="140"/>
      <c r="H127" s="140"/>
      <c r="I127" s="140"/>
      <c r="J127" s="140"/>
      <c r="K127" s="140"/>
      <c r="L127" s="140"/>
      <c r="M127" s="140"/>
      <c r="N127" s="140"/>
      <c r="O127" s="140"/>
      <c r="P127" s="140"/>
      <c r="Q127" s="140"/>
      <c r="R127" s="140"/>
    </row>
    <row r="128" spans="2:18" x14ac:dyDescent="0.35">
      <c r="B128" s="2077"/>
      <c r="C128" s="2077"/>
      <c r="D128" s="140"/>
      <c r="E128" s="140"/>
      <c r="F128" s="140"/>
      <c r="G128" s="140"/>
      <c r="H128" s="140"/>
      <c r="I128" s="140"/>
      <c r="J128" s="140"/>
      <c r="K128" s="140"/>
      <c r="L128" s="140"/>
      <c r="M128" s="140"/>
      <c r="N128" s="140"/>
      <c r="O128" s="140"/>
      <c r="P128" s="140"/>
      <c r="Q128" s="140"/>
      <c r="R128" s="140"/>
    </row>
    <row r="129" spans="2:18" x14ac:dyDescent="0.35">
      <c r="B129" s="2077"/>
      <c r="C129" s="2077"/>
      <c r="D129" s="140"/>
      <c r="E129" s="140"/>
      <c r="F129" s="140"/>
      <c r="G129" s="140"/>
      <c r="H129" s="140"/>
      <c r="I129" s="140"/>
      <c r="J129" s="140"/>
      <c r="K129" s="140"/>
      <c r="L129" s="140"/>
      <c r="M129" s="140"/>
      <c r="N129" s="140"/>
      <c r="O129" s="140"/>
      <c r="P129" s="140"/>
      <c r="Q129" s="140"/>
      <c r="R129" s="140"/>
    </row>
    <row r="130" spans="2:18" x14ac:dyDescent="0.35">
      <c r="B130" s="2077"/>
      <c r="C130" s="2077"/>
      <c r="D130" s="140"/>
      <c r="E130" s="140"/>
      <c r="F130" s="140"/>
      <c r="G130" s="140"/>
      <c r="H130" s="140"/>
      <c r="I130" s="140"/>
      <c r="J130" s="140"/>
      <c r="K130" s="140"/>
      <c r="L130" s="140"/>
      <c r="M130" s="140"/>
      <c r="N130" s="140"/>
      <c r="O130" s="140"/>
      <c r="P130" s="140"/>
      <c r="Q130" s="140"/>
      <c r="R130" s="140"/>
    </row>
    <row r="131" spans="2:18" x14ac:dyDescent="0.35">
      <c r="B131" s="2077"/>
      <c r="C131" s="2077"/>
      <c r="D131" s="140"/>
      <c r="E131" s="140"/>
      <c r="F131" s="140"/>
      <c r="G131" s="140"/>
      <c r="H131" s="140"/>
      <c r="I131" s="140"/>
      <c r="J131" s="140"/>
      <c r="K131" s="140"/>
      <c r="L131" s="140"/>
      <c r="M131" s="140"/>
      <c r="N131" s="140"/>
      <c r="O131" s="140"/>
      <c r="P131" s="140"/>
      <c r="Q131" s="140"/>
      <c r="R131" s="140"/>
    </row>
    <row r="132" spans="2:18" x14ac:dyDescent="0.35">
      <c r="B132" s="2077"/>
      <c r="C132" s="2077"/>
      <c r="D132" s="140"/>
      <c r="E132" s="140"/>
      <c r="F132" s="140"/>
      <c r="G132" s="140"/>
      <c r="H132" s="140"/>
      <c r="I132" s="140"/>
      <c r="J132" s="140"/>
      <c r="K132" s="140"/>
      <c r="L132" s="140"/>
      <c r="M132" s="140"/>
      <c r="N132" s="140"/>
      <c r="O132" s="140"/>
      <c r="P132" s="140"/>
      <c r="Q132" s="140"/>
      <c r="R132" s="140"/>
    </row>
    <row r="133" spans="2:18" x14ac:dyDescent="0.35">
      <c r="B133" s="2077"/>
      <c r="C133" s="2077"/>
      <c r="D133" s="140"/>
      <c r="E133" s="140"/>
      <c r="F133" s="140"/>
      <c r="G133" s="140"/>
      <c r="H133" s="140"/>
      <c r="I133" s="140"/>
      <c r="J133" s="140"/>
      <c r="K133" s="140"/>
      <c r="L133" s="140"/>
      <c r="M133" s="140"/>
      <c r="N133" s="140"/>
      <c r="O133" s="140"/>
      <c r="P133" s="140"/>
      <c r="Q133" s="140"/>
      <c r="R133" s="140"/>
    </row>
    <row r="134" spans="2:18" x14ac:dyDescent="0.35">
      <c r="B134" s="2077"/>
      <c r="C134" s="2077"/>
      <c r="D134" s="140"/>
      <c r="E134" s="140"/>
      <c r="F134" s="140"/>
      <c r="G134" s="140"/>
      <c r="H134" s="140"/>
      <c r="I134" s="140"/>
      <c r="J134" s="140"/>
      <c r="K134" s="140"/>
      <c r="L134" s="140"/>
      <c r="M134" s="140"/>
      <c r="N134" s="140"/>
      <c r="O134" s="140"/>
      <c r="P134" s="140"/>
      <c r="Q134" s="140"/>
      <c r="R134" s="140"/>
    </row>
    <row r="135" spans="2:18" x14ac:dyDescent="0.35">
      <c r="B135" s="2077"/>
      <c r="C135" s="2077"/>
      <c r="D135" s="140"/>
      <c r="E135" s="140"/>
      <c r="F135" s="140"/>
      <c r="G135" s="140"/>
      <c r="H135" s="140"/>
      <c r="I135" s="140"/>
      <c r="J135" s="140"/>
      <c r="K135" s="140"/>
      <c r="L135" s="140"/>
      <c r="M135" s="140"/>
      <c r="N135" s="140"/>
      <c r="O135" s="140"/>
      <c r="P135" s="140"/>
      <c r="Q135" s="140"/>
      <c r="R135" s="140"/>
    </row>
    <row r="136" spans="2:18" x14ac:dyDescent="0.35">
      <c r="B136" s="2077"/>
      <c r="C136" s="2077"/>
      <c r="D136" s="140"/>
      <c r="E136" s="140"/>
      <c r="F136" s="140"/>
      <c r="G136" s="140"/>
      <c r="H136" s="140"/>
      <c r="I136" s="140"/>
      <c r="J136" s="140"/>
      <c r="K136" s="140"/>
      <c r="L136" s="140"/>
      <c r="M136" s="140"/>
      <c r="N136" s="140"/>
      <c r="O136" s="140"/>
      <c r="P136" s="140"/>
      <c r="Q136" s="140"/>
      <c r="R136" s="140"/>
    </row>
    <row r="137" spans="2:18" x14ac:dyDescent="0.35">
      <c r="B137" s="2077"/>
      <c r="C137" s="2077"/>
      <c r="D137" s="140"/>
      <c r="E137" s="140"/>
      <c r="F137" s="140"/>
      <c r="G137" s="140"/>
      <c r="H137" s="140"/>
      <c r="I137" s="140"/>
      <c r="J137" s="140"/>
      <c r="K137" s="140"/>
      <c r="L137" s="140"/>
      <c r="M137" s="140"/>
      <c r="N137" s="140"/>
      <c r="O137" s="140"/>
      <c r="P137" s="140"/>
      <c r="Q137" s="140"/>
      <c r="R137" s="140"/>
    </row>
    <row r="138" spans="2:18" x14ac:dyDescent="0.35">
      <c r="B138" s="2077"/>
      <c r="C138" s="2077"/>
      <c r="D138" s="140"/>
      <c r="E138" s="140"/>
      <c r="F138" s="140"/>
      <c r="G138" s="140"/>
      <c r="H138" s="140"/>
      <c r="I138" s="140"/>
      <c r="J138" s="140"/>
      <c r="K138" s="140"/>
      <c r="L138" s="140"/>
      <c r="M138" s="140"/>
      <c r="N138" s="140"/>
      <c r="O138" s="140"/>
      <c r="P138" s="140"/>
      <c r="Q138" s="140"/>
      <c r="R138" s="140"/>
    </row>
    <row r="139" spans="2:18" x14ac:dyDescent="0.35">
      <c r="B139" s="2077"/>
      <c r="C139" s="2077"/>
      <c r="D139" s="140"/>
      <c r="E139" s="140"/>
      <c r="F139" s="140"/>
      <c r="G139" s="140"/>
      <c r="H139" s="140"/>
      <c r="I139" s="140"/>
      <c r="J139" s="140"/>
      <c r="K139" s="140"/>
      <c r="L139" s="140"/>
      <c r="M139" s="140"/>
      <c r="N139" s="140"/>
      <c r="O139" s="140"/>
      <c r="P139" s="140"/>
      <c r="Q139" s="140"/>
      <c r="R139" s="140"/>
    </row>
    <row r="140" spans="2:18" x14ac:dyDescent="0.35">
      <c r="B140" s="2077"/>
      <c r="C140" s="2077"/>
      <c r="D140" s="140"/>
      <c r="E140" s="140"/>
      <c r="F140" s="140"/>
      <c r="G140" s="140"/>
      <c r="H140" s="140"/>
      <c r="I140" s="140"/>
      <c r="J140" s="140"/>
      <c r="K140" s="140"/>
      <c r="L140" s="140"/>
      <c r="M140" s="140"/>
      <c r="N140" s="140"/>
      <c r="O140" s="140"/>
      <c r="P140" s="140"/>
      <c r="Q140" s="140"/>
      <c r="R140" s="140"/>
    </row>
    <row r="141" spans="2:18" x14ac:dyDescent="0.35">
      <c r="B141" s="2077"/>
      <c r="C141" s="2077"/>
      <c r="D141" s="140"/>
      <c r="E141" s="140"/>
      <c r="F141" s="140"/>
      <c r="G141" s="140"/>
      <c r="H141" s="140"/>
      <c r="I141" s="140"/>
      <c r="J141" s="140"/>
      <c r="K141" s="140"/>
      <c r="L141" s="140"/>
      <c r="M141" s="140"/>
      <c r="N141" s="140"/>
      <c r="O141" s="140"/>
      <c r="P141" s="140"/>
      <c r="Q141" s="140"/>
      <c r="R141" s="140"/>
    </row>
    <row r="142" spans="2:18" x14ac:dyDescent="0.35">
      <c r="B142" s="2077"/>
      <c r="C142" s="2077"/>
      <c r="D142" s="140"/>
      <c r="E142" s="140"/>
      <c r="F142" s="140"/>
      <c r="G142" s="140"/>
      <c r="H142" s="140"/>
      <c r="I142" s="140"/>
      <c r="J142" s="140"/>
      <c r="K142" s="140"/>
      <c r="L142" s="140"/>
      <c r="M142" s="140"/>
      <c r="N142" s="140"/>
      <c r="O142" s="140"/>
      <c r="P142" s="140"/>
      <c r="Q142" s="140"/>
      <c r="R142" s="140"/>
    </row>
    <row r="143" spans="2:18" x14ac:dyDescent="0.35">
      <c r="B143" s="2077"/>
      <c r="C143" s="2077"/>
      <c r="D143" s="140"/>
      <c r="E143" s="140"/>
      <c r="F143" s="140"/>
      <c r="G143" s="140"/>
      <c r="H143" s="140"/>
      <c r="I143" s="140"/>
      <c r="J143" s="140"/>
      <c r="K143" s="140"/>
      <c r="L143" s="140"/>
      <c r="M143" s="140"/>
      <c r="N143" s="140"/>
      <c r="O143" s="140"/>
      <c r="P143" s="140"/>
      <c r="Q143" s="140"/>
      <c r="R143" s="140"/>
    </row>
    <row r="144" spans="2:18" x14ac:dyDescent="0.35">
      <c r="B144" s="2077"/>
      <c r="C144" s="2077"/>
      <c r="D144" s="140"/>
      <c r="E144" s="140"/>
      <c r="F144" s="140"/>
      <c r="G144" s="140"/>
      <c r="H144" s="140"/>
      <c r="I144" s="140"/>
      <c r="J144" s="140"/>
      <c r="K144" s="140"/>
      <c r="L144" s="140"/>
      <c r="M144" s="140"/>
      <c r="N144" s="140"/>
      <c r="O144" s="140"/>
      <c r="P144" s="140"/>
      <c r="Q144" s="140"/>
      <c r="R144" s="140"/>
    </row>
    <row r="145" spans="2:18" x14ac:dyDescent="0.35">
      <c r="B145" s="2077"/>
      <c r="C145" s="2077"/>
      <c r="D145" s="140"/>
      <c r="E145" s="140"/>
      <c r="F145" s="140"/>
      <c r="G145" s="140"/>
      <c r="H145" s="140"/>
      <c r="I145" s="140"/>
      <c r="J145" s="140"/>
      <c r="K145" s="140"/>
      <c r="L145" s="140"/>
      <c r="M145" s="140"/>
      <c r="N145" s="140"/>
      <c r="O145" s="140"/>
      <c r="P145" s="140"/>
      <c r="Q145" s="140"/>
      <c r="R145" s="140"/>
    </row>
    <row r="146" spans="2:18" x14ac:dyDescent="0.35">
      <c r="B146" s="2077"/>
      <c r="C146" s="2077"/>
      <c r="D146" s="140"/>
      <c r="E146" s="140"/>
      <c r="F146" s="140"/>
      <c r="G146" s="140"/>
      <c r="H146" s="140"/>
      <c r="I146" s="140"/>
      <c r="J146" s="140"/>
      <c r="K146" s="140"/>
      <c r="L146" s="140"/>
      <c r="M146" s="140"/>
      <c r="N146" s="140"/>
      <c r="O146" s="140"/>
      <c r="P146" s="140"/>
      <c r="Q146" s="140"/>
      <c r="R146" s="140"/>
    </row>
    <row r="147" spans="2:18" x14ac:dyDescent="0.35">
      <c r="B147" s="2077"/>
      <c r="C147" s="2077"/>
      <c r="D147" s="140"/>
      <c r="E147" s="140"/>
      <c r="F147" s="140"/>
      <c r="G147" s="140"/>
      <c r="H147" s="140"/>
      <c r="I147" s="140"/>
      <c r="J147" s="140"/>
      <c r="K147" s="140"/>
      <c r="L147" s="140"/>
      <c r="M147" s="140"/>
      <c r="N147" s="140"/>
      <c r="O147" s="140"/>
      <c r="P147" s="140"/>
      <c r="Q147" s="140"/>
      <c r="R147" s="140"/>
    </row>
    <row r="148" spans="2:18" x14ac:dyDescent="0.35">
      <c r="B148" s="2077"/>
      <c r="C148" s="2077"/>
      <c r="D148" s="140"/>
      <c r="E148" s="140"/>
      <c r="F148" s="140"/>
      <c r="G148" s="140"/>
      <c r="H148" s="140"/>
      <c r="I148" s="140"/>
      <c r="J148" s="140"/>
      <c r="K148" s="140"/>
      <c r="L148" s="140"/>
      <c r="M148" s="140"/>
      <c r="N148" s="140"/>
      <c r="O148" s="140"/>
      <c r="P148" s="140"/>
      <c r="Q148" s="140"/>
      <c r="R148" s="140"/>
    </row>
    <row r="149" spans="2:18" x14ac:dyDescent="0.35">
      <c r="B149" s="2077"/>
      <c r="C149" s="2077"/>
      <c r="D149" s="140"/>
      <c r="E149" s="140"/>
      <c r="F149" s="140"/>
      <c r="G149" s="140"/>
      <c r="H149" s="140"/>
      <c r="I149" s="140"/>
      <c r="J149" s="140"/>
      <c r="K149" s="140"/>
      <c r="L149" s="140"/>
      <c r="M149" s="140"/>
      <c r="N149" s="140"/>
      <c r="O149" s="140"/>
      <c r="P149" s="140"/>
      <c r="Q149" s="140"/>
      <c r="R149" s="140"/>
    </row>
    <row r="150" spans="2:18" x14ac:dyDescent="0.35">
      <c r="B150" s="2077"/>
      <c r="C150" s="2077"/>
      <c r="D150" s="140"/>
      <c r="E150" s="140"/>
      <c r="F150" s="140"/>
      <c r="G150" s="140"/>
      <c r="H150" s="140"/>
      <c r="I150" s="140"/>
      <c r="J150" s="140"/>
      <c r="K150" s="140"/>
      <c r="L150" s="140"/>
      <c r="M150" s="140"/>
      <c r="N150" s="140"/>
      <c r="O150" s="140"/>
      <c r="P150" s="140"/>
      <c r="Q150" s="140"/>
      <c r="R150" s="140"/>
    </row>
    <row r="151" spans="2:18" x14ac:dyDescent="0.35">
      <c r="B151" s="2077"/>
      <c r="C151" s="2077"/>
      <c r="D151" s="140"/>
      <c r="E151" s="140"/>
      <c r="F151" s="140"/>
      <c r="G151" s="140"/>
      <c r="H151" s="140"/>
      <c r="I151" s="140"/>
      <c r="J151" s="140"/>
      <c r="K151" s="140"/>
      <c r="L151" s="140"/>
      <c r="M151" s="140"/>
      <c r="N151" s="140"/>
      <c r="O151" s="140"/>
      <c r="P151" s="140"/>
      <c r="Q151" s="140"/>
      <c r="R151" s="140"/>
    </row>
    <row r="152" spans="2:18" x14ac:dyDescent="0.35">
      <c r="B152" s="2077"/>
      <c r="C152" s="2077"/>
      <c r="D152" s="140"/>
      <c r="E152" s="140"/>
      <c r="F152" s="140"/>
      <c r="G152" s="140"/>
      <c r="H152" s="140"/>
      <c r="I152" s="140"/>
      <c r="J152" s="140"/>
      <c r="K152" s="140"/>
      <c r="L152" s="140"/>
      <c r="M152" s="140"/>
      <c r="N152" s="140"/>
      <c r="O152" s="140"/>
      <c r="P152" s="140"/>
      <c r="Q152" s="140"/>
      <c r="R152" s="140"/>
    </row>
    <row r="153" spans="2:18" x14ac:dyDescent="0.35">
      <c r="B153" s="2077"/>
      <c r="C153" s="2077"/>
      <c r="D153" s="140"/>
      <c r="E153" s="140"/>
      <c r="F153" s="140"/>
      <c r="G153" s="140"/>
      <c r="H153" s="140"/>
      <c r="I153" s="140"/>
      <c r="J153" s="140"/>
      <c r="K153" s="140"/>
      <c r="L153" s="140"/>
      <c r="M153" s="140"/>
      <c r="N153" s="140"/>
      <c r="O153" s="140"/>
      <c r="P153" s="140"/>
      <c r="Q153" s="140"/>
      <c r="R153" s="140"/>
    </row>
    <row r="154" spans="2:18" x14ac:dyDescent="0.35">
      <c r="B154" s="2077"/>
      <c r="C154" s="2077"/>
      <c r="D154" s="140"/>
      <c r="E154" s="140"/>
      <c r="F154" s="140"/>
      <c r="G154" s="140"/>
      <c r="H154" s="140"/>
      <c r="I154" s="140"/>
      <c r="J154" s="140"/>
      <c r="K154" s="140"/>
      <c r="L154" s="140"/>
      <c r="M154" s="140"/>
      <c r="N154" s="140"/>
      <c r="O154" s="140"/>
      <c r="P154" s="140"/>
      <c r="Q154" s="140"/>
      <c r="R154" s="140"/>
    </row>
    <row r="155" spans="2:18" x14ac:dyDescent="0.35">
      <c r="B155" s="2077"/>
      <c r="C155" s="2077"/>
      <c r="D155" s="140"/>
      <c r="E155" s="140"/>
      <c r="F155" s="140"/>
      <c r="G155" s="140"/>
      <c r="H155" s="140"/>
      <c r="I155" s="140"/>
      <c r="J155" s="140"/>
      <c r="K155" s="140"/>
      <c r="L155" s="140"/>
      <c r="M155" s="140"/>
      <c r="N155" s="140"/>
      <c r="O155" s="140"/>
      <c r="P155" s="140"/>
      <c r="Q155" s="140"/>
      <c r="R155" s="140"/>
    </row>
    <row r="156" spans="2:18" x14ac:dyDescent="0.35">
      <c r="B156" s="2077"/>
      <c r="C156" s="2077"/>
      <c r="D156" s="140"/>
      <c r="E156" s="140"/>
      <c r="F156" s="140"/>
      <c r="G156" s="140"/>
      <c r="H156" s="140"/>
      <c r="I156" s="140"/>
      <c r="J156" s="140"/>
      <c r="K156" s="140"/>
      <c r="L156" s="140"/>
      <c r="M156" s="140"/>
      <c r="N156" s="140"/>
      <c r="O156" s="140"/>
      <c r="P156" s="140"/>
      <c r="Q156" s="140"/>
      <c r="R156" s="140"/>
    </row>
    <row r="157" spans="2:18" x14ac:dyDescent="0.35">
      <c r="B157" s="2077"/>
      <c r="C157" s="2077"/>
      <c r="D157" s="140"/>
      <c r="E157" s="140"/>
      <c r="F157" s="140"/>
      <c r="G157" s="140"/>
      <c r="H157" s="140"/>
      <c r="I157" s="140"/>
      <c r="J157" s="140"/>
      <c r="K157" s="140"/>
      <c r="L157" s="140"/>
      <c r="M157" s="140"/>
      <c r="N157" s="140"/>
      <c r="O157" s="140"/>
      <c r="P157" s="140"/>
      <c r="Q157" s="140"/>
      <c r="R157" s="140"/>
    </row>
    <row r="158" spans="2:18" x14ac:dyDescent="0.35">
      <c r="B158" s="2077"/>
      <c r="C158" s="2077"/>
      <c r="D158" s="140"/>
      <c r="E158" s="140"/>
      <c r="F158" s="140"/>
      <c r="G158" s="140"/>
      <c r="H158" s="140"/>
      <c r="I158" s="140"/>
      <c r="J158" s="140"/>
      <c r="K158" s="140"/>
      <c r="L158" s="140"/>
      <c r="M158" s="140"/>
      <c r="N158" s="140"/>
      <c r="O158" s="140"/>
      <c r="P158" s="140"/>
      <c r="Q158" s="140"/>
      <c r="R158" s="140"/>
    </row>
    <row r="159" spans="2:18" x14ac:dyDescent="0.35">
      <c r="B159" s="2077"/>
      <c r="C159" s="2077"/>
      <c r="D159" s="140"/>
      <c r="E159" s="140"/>
      <c r="F159" s="140"/>
      <c r="G159" s="140"/>
      <c r="H159" s="140"/>
      <c r="I159" s="140"/>
      <c r="J159" s="140"/>
      <c r="K159" s="140"/>
      <c r="L159" s="140"/>
      <c r="M159" s="140"/>
      <c r="N159" s="140"/>
      <c r="O159" s="140"/>
      <c r="P159" s="140"/>
      <c r="Q159" s="140"/>
      <c r="R159" s="140"/>
    </row>
    <row r="160" spans="2:18" x14ac:dyDescent="0.35">
      <c r="B160" s="2077"/>
      <c r="C160" s="2077"/>
      <c r="D160" s="140"/>
      <c r="E160" s="140"/>
      <c r="F160" s="140"/>
      <c r="G160" s="140"/>
      <c r="H160" s="140"/>
      <c r="I160" s="140"/>
      <c r="J160" s="140"/>
      <c r="K160" s="140"/>
      <c r="L160" s="140"/>
      <c r="M160" s="140"/>
      <c r="N160" s="140"/>
      <c r="O160" s="140"/>
      <c r="P160" s="140"/>
      <c r="Q160" s="140"/>
      <c r="R160" s="140"/>
    </row>
    <row r="161" spans="2:18" x14ac:dyDescent="0.35">
      <c r="B161" s="2077"/>
      <c r="C161" s="2077"/>
      <c r="D161" s="140"/>
      <c r="E161" s="140"/>
      <c r="F161" s="140"/>
      <c r="G161" s="140"/>
      <c r="H161" s="140"/>
      <c r="I161" s="140"/>
      <c r="J161" s="140"/>
      <c r="K161" s="140"/>
      <c r="L161" s="140"/>
      <c r="M161" s="140"/>
      <c r="N161" s="140"/>
      <c r="O161" s="140"/>
      <c r="P161" s="140"/>
      <c r="Q161" s="140"/>
      <c r="R161" s="140"/>
    </row>
    <row r="162" spans="2:18" x14ac:dyDescent="0.35">
      <c r="B162" s="2077"/>
      <c r="C162" s="2077"/>
      <c r="D162" s="140"/>
      <c r="E162" s="140"/>
      <c r="F162" s="140"/>
      <c r="G162" s="140"/>
      <c r="H162" s="140"/>
      <c r="I162" s="140"/>
      <c r="J162" s="140"/>
      <c r="K162" s="140"/>
      <c r="L162" s="140"/>
      <c r="M162" s="140"/>
      <c r="N162" s="140"/>
      <c r="O162" s="140"/>
      <c r="P162" s="140"/>
      <c r="Q162" s="140"/>
      <c r="R162" s="140"/>
    </row>
    <row r="163" spans="2:18" x14ac:dyDescent="0.35">
      <c r="B163" s="2077"/>
      <c r="C163" s="2077"/>
      <c r="D163" s="140"/>
      <c r="E163" s="140"/>
      <c r="F163" s="140"/>
      <c r="G163" s="140"/>
      <c r="H163" s="140"/>
      <c r="I163" s="140"/>
      <c r="J163" s="140"/>
      <c r="K163" s="140"/>
      <c r="L163" s="140"/>
      <c r="M163" s="140"/>
      <c r="N163" s="140"/>
      <c r="O163" s="140"/>
      <c r="P163" s="140"/>
      <c r="Q163" s="140"/>
      <c r="R163" s="140"/>
    </row>
    <row r="164" spans="2:18" x14ac:dyDescent="0.35">
      <c r="B164" s="2077"/>
      <c r="C164" s="2077"/>
      <c r="D164" s="140"/>
      <c r="E164" s="140"/>
      <c r="F164" s="140"/>
      <c r="G164" s="140"/>
      <c r="H164" s="140"/>
      <c r="I164" s="140"/>
      <c r="J164" s="140"/>
      <c r="K164" s="140"/>
      <c r="L164" s="140"/>
      <c r="M164" s="140"/>
      <c r="N164" s="140"/>
      <c r="O164" s="140"/>
      <c r="P164" s="140"/>
      <c r="Q164" s="140"/>
      <c r="R164" s="140"/>
    </row>
    <row r="165" spans="2:18" x14ac:dyDescent="0.35">
      <c r="B165" s="2077"/>
      <c r="C165" s="2077"/>
      <c r="D165" s="140"/>
      <c r="E165" s="140"/>
      <c r="F165" s="140"/>
      <c r="G165" s="140"/>
      <c r="H165" s="140"/>
      <c r="I165" s="140"/>
      <c r="J165" s="140"/>
      <c r="K165" s="140"/>
      <c r="L165" s="140"/>
      <c r="M165" s="140"/>
      <c r="N165" s="140"/>
      <c r="O165" s="140"/>
      <c r="P165" s="140"/>
      <c r="Q165" s="140"/>
      <c r="R165" s="140"/>
    </row>
    <row r="166" spans="2:18" x14ac:dyDescent="0.35">
      <c r="B166" s="2077"/>
      <c r="C166" s="2077"/>
      <c r="D166" s="140"/>
      <c r="E166" s="140"/>
      <c r="F166" s="140"/>
      <c r="G166" s="140"/>
      <c r="H166" s="140"/>
      <c r="I166" s="140"/>
      <c r="J166" s="140"/>
      <c r="K166" s="140"/>
      <c r="L166" s="140"/>
      <c r="M166" s="140"/>
      <c r="N166" s="140"/>
      <c r="O166" s="140"/>
      <c r="P166" s="140"/>
      <c r="Q166" s="140"/>
      <c r="R166" s="140"/>
    </row>
    <row r="167" spans="2:18" x14ac:dyDescent="0.35">
      <c r="B167" s="2077"/>
      <c r="C167" s="2077"/>
      <c r="D167" s="140"/>
      <c r="E167" s="140"/>
      <c r="F167" s="140"/>
      <c r="G167" s="140"/>
      <c r="H167" s="140"/>
      <c r="I167" s="140"/>
      <c r="J167" s="140"/>
      <c r="K167" s="140"/>
      <c r="L167" s="140"/>
      <c r="M167" s="140"/>
      <c r="N167" s="140"/>
      <c r="O167" s="140"/>
      <c r="P167" s="140"/>
      <c r="Q167" s="140"/>
      <c r="R167" s="140"/>
    </row>
    <row r="168" spans="2:18" x14ac:dyDescent="0.35">
      <c r="B168" s="2077"/>
      <c r="C168" s="2077"/>
      <c r="D168" s="140"/>
      <c r="E168" s="140"/>
      <c r="F168" s="140"/>
      <c r="G168" s="140"/>
      <c r="H168" s="140"/>
      <c r="I168" s="140"/>
      <c r="J168" s="140"/>
      <c r="K168" s="140"/>
      <c r="L168" s="140"/>
      <c r="M168" s="140"/>
      <c r="N168" s="140"/>
      <c r="O168" s="140"/>
      <c r="P168" s="140"/>
      <c r="Q168" s="140"/>
      <c r="R168" s="140"/>
    </row>
    <row r="169" spans="2:18" x14ac:dyDescent="0.35">
      <c r="B169" s="2077"/>
      <c r="C169" s="2077"/>
      <c r="D169" s="140"/>
      <c r="E169" s="140"/>
      <c r="F169" s="140"/>
      <c r="G169" s="140"/>
      <c r="H169" s="140"/>
      <c r="I169" s="140"/>
      <c r="J169" s="140"/>
      <c r="K169" s="140"/>
      <c r="L169" s="140"/>
      <c r="M169" s="140"/>
      <c r="N169" s="140"/>
      <c r="O169" s="140"/>
      <c r="P169" s="140"/>
      <c r="Q169" s="140"/>
      <c r="R169" s="140"/>
    </row>
    <row r="170" spans="2:18" x14ac:dyDescent="0.35">
      <c r="B170" s="2077"/>
      <c r="C170" s="2077"/>
      <c r="D170" s="140"/>
      <c r="E170" s="140"/>
      <c r="F170" s="140"/>
      <c r="G170" s="140"/>
      <c r="H170" s="140"/>
      <c r="I170" s="140"/>
      <c r="J170" s="140"/>
      <c r="K170" s="140"/>
      <c r="L170" s="140"/>
      <c r="M170" s="140"/>
      <c r="N170" s="140"/>
      <c r="O170" s="140"/>
      <c r="P170" s="140"/>
      <c r="Q170" s="140"/>
      <c r="R170" s="140"/>
    </row>
    <row r="171" spans="2:18" x14ac:dyDescent="0.35">
      <c r="B171" s="2077"/>
      <c r="C171" s="2077"/>
      <c r="D171" s="140"/>
      <c r="E171" s="140"/>
      <c r="F171" s="140"/>
      <c r="G171" s="140"/>
      <c r="H171" s="140"/>
      <c r="I171" s="140"/>
      <c r="J171" s="140"/>
      <c r="K171" s="140"/>
      <c r="L171" s="140"/>
      <c r="M171" s="140"/>
      <c r="N171" s="140"/>
      <c r="O171" s="140"/>
      <c r="P171" s="140"/>
      <c r="Q171" s="140"/>
      <c r="R171" s="140"/>
    </row>
    <row r="172" spans="2:18" x14ac:dyDescent="0.35">
      <c r="B172" s="2077"/>
      <c r="C172" s="2077"/>
      <c r="D172" s="140"/>
      <c r="E172" s="140"/>
      <c r="F172" s="140"/>
      <c r="G172" s="140"/>
      <c r="H172" s="140"/>
      <c r="I172" s="140"/>
      <c r="J172" s="140"/>
      <c r="K172" s="140"/>
      <c r="L172" s="140"/>
      <c r="M172" s="140"/>
      <c r="N172" s="140"/>
      <c r="O172" s="140"/>
      <c r="P172" s="140"/>
      <c r="Q172" s="140"/>
      <c r="R172" s="140"/>
    </row>
    <row r="173" spans="2:18" x14ac:dyDescent="0.35">
      <c r="B173" s="2077"/>
      <c r="C173" s="2077"/>
      <c r="D173" s="140"/>
      <c r="E173" s="140"/>
      <c r="F173" s="140"/>
      <c r="G173" s="140"/>
      <c r="H173" s="140"/>
      <c r="I173" s="140"/>
      <c r="J173" s="140"/>
      <c r="K173" s="140"/>
      <c r="L173" s="140"/>
      <c r="M173" s="140"/>
      <c r="N173" s="140"/>
      <c r="O173" s="140"/>
      <c r="P173" s="140"/>
      <c r="Q173" s="140"/>
      <c r="R173" s="140"/>
    </row>
    <row r="174" spans="2:18" x14ac:dyDescent="0.35">
      <c r="B174" s="2077"/>
      <c r="C174" s="2077"/>
      <c r="D174" s="140"/>
      <c r="E174" s="140"/>
      <c r="F174" s="140"/>
      <c r="G174" s="140"/>
      <c r="H174" s="140"/>
      <c r="I174" s="140"/>
      <c r="J174" s="140"/>
      <c r="K174" s="140"/>
      <c r="L174" s="140"/>
      <c r="M174" s="140"/>
      <c r="N174" s="140"/>
      <c r="O174" s="140"/>
      <c r="P174" s="140"/>
      <c r="Q174" s="140"/>
      <c r="R174" s="140"/>
    </row>
    <row r="175" spans="2:18" x14ac:dyDescent="0.35">
      <c r="B175" s="2077"/>
      <c r="C175" s="2077"/>
      <c r="D175" s="140"/>
      <c r="E175" s="140"/>
      <c r="F175" s="140"/>
      <c r="G175" s="140"/>
      <c r="H175" s="140"/>
      <c r="I175" s="140"/>
      <c r="J175" s="140"/>
      <c r="K175" s="140"/>
      <c r="L175" s="140"/>
      <c r="M175" s="140"/>
      <c r="N175" s="140"/>
      <c r="O175" s="140"/>
      <c r="P175" s="140"/>
      <c r="Q175" s="140"/>
      <c r="R175" s="140"/>
    </row>
    <row r="176" spans="2:18" x14ac:dyDescent="0.35">
      <c r="B176" s="2077"/>
      <c r="C176" s="2077"/>
      <c r="D176" s="140"/>
      <c r="E176" s="140"/>
      <c r="F176" s="140"/>
      <c r="G176" s="140"/>
      <c r="H176" s="140"/>
      <c r="I176" s="140"/>
      <c r="J176" s="140"/>
      <c r="K176" s="140"/>
      <c r="L176" s="140"/>
      <c r="M176" s="140"/>
      <c r="N176" s="140"/>
      <c r="O176" s="140"/>
      <c r="P176" s="140"/>
      <c r="Q176" s="140"/>
      <c r="R176" s="140"/>
    </row>
    <row r="177" spans="2:18" x14ac:dyDescent="0.35">
      <c r="B177" s="2077"/>
      <c r="C177" s="2077"/>
      <c r="D177" s="140"/>
      <c r="E177" s="140"/>
      <c r="F177" s="140"/>
      <c r="G177" s="140"/>
      <c r="H177" s="140"/>
      <c r="I177" s="140"/>
      <c r="J177" s="140"/>
      <c r="K177" s="140"/>
      <c r="L177" s="140"/>
      <c r="M177" s="140"/>
      <c r="N177" s="140"/>
      <c r="O177" s="140"/>
      <c r="P177" s="140"/>
      <c r="Q177" s="140"/>
      <c r="R177" s="140"/>
    </row>
    <row r="178" spans="2:18" x14ac:dyDescent="0.35">
      <c r="B178" s="2077"/>
      <c r="C178" s="2077"/>
      <c r="D178" s="140"/>
      <c r="E178" s="140"/>
      <c r="F178" s="140"/>
      <c r="G178" s="140"/>
      <c r="H178" s="140"/>
      <c r="I178" s="140"/>
      <c r="J178" s="140"/>
      <c r="K178" s="140"/>
      <c r="L178" s="140"/>
      <c r="M178" s="140"/>
      <c r="N178" s="140"/>
      <c r="O178" s="140"/>
      <c r="P178" s="140"/>
      <c r="Q178" s="140"/>
      <c r="R178" s="140"/>
    </row>
    <row r="179" spans="2:18" x14ac:dyDescent="0.35">
      <c r="B179" s="2077"/>
      <c r="C179" s="2077"/>
      <c r="D179" s="140"/>
      <c r="E179" s="140"/>
      <c r="F179" s="140"/>
      <c r="G179" s="140"/>
      <c r="H179" s="140"/>
      <c r="I179" s="140"/>
      <c r="J179" s="140"/>
      <c r="K179" s="140"/>
      <c r="L179" s="140"/>
      <c r="M179" s="140"/>
      <c r="N179" s="140"/>
      <c r="O179" s="140"/>
      <c r="P179" s="140"/>
      <c r="Q179" s="140"/>
      <c r="R179" s="140"/>
    </row>
    <row r="180" spans="2:18" x14ac:dyDescent="0.35">
      <c r="B180" s="2077"/>
      <c r="C180" s="2077"/>
      <c r="D180" s="140"/>
      <c r="E180" s="140"/>
      <c r="F180" s="140"/>
      <c r="G180" s="140"/>
      <c r="H180" s="140"/>
      <c r="I180" s="140"/>
      <c r="J180" s="140"/>
      <c r="K180" s="140"/>
      <c r="L180" s="140"/>
      <c r="M180" s="140"/>
      <c r="N180" s="140"/>
      <c r="O180" s="140"/>
      <c r="P180" s="140"/>
      <c r="Q180" s="140"/>
      <c r="R180" s="140"/>
    </row>
    <row r="181" spans="2:18" x14ac:dyDescent="0.35">
      <c r="B181" s="2077"/>
      <c r="C181" s="2077"/>
      <c r="D181" s="140"/>
      <c r="E181" s="140"/>
      <c r="F181" s="140"/>
      <c r="G181" s="140"/>
      <c r="H181" s="140"/>
      <c r="I181" s="140"/>
      <c r="J181" s="140"/>
      <c r="K181" s="140"/>
      <c r="L181" s="140"/>
      <c r="M181" s="140"/>
      <c r="N181" s="140"/>
      <c r="O181" s="140"/>
      <c r="P181" s="140"/>
      <c r="Q181" s="140"/>
      <c r="R181" s="140"/>
    </row>
    <row r="182" spans="2:18" x14ac:dyDescent="0.35">
      <c r="B182" s="2077"/>
      <c r="C182" s="2077"/>
      <c r="D182" s="140"/>
      <c r="E182" s="140"/>
      <c r="F182" s="140"/>
      <c r="G182" s="140"/>
      <c r="H182" s="140"/>
      <c r="I182" s="140"/>
      <c r="J182" s="140"/>
      <c r="K182" s="140"/>
      <c r="L182" s="140"/>
      <c r="M182" s="140"/>
      <c r="N182" s="140"/>
      <c r="O182" s="140"/>
      <c r="P182" s="140"/>
      <c r="Q182" s="140"/>
      <c r="R182" s="140"/>
    </row>
    <row r="183" spans="2:18" x14ac:dyDescent="0.35">
      <c r="B183" s="2077"/>
      <c r="C183" s="2077"/>
      <c r="D183" s="140"/>
      <c r="E183" s="140"/>
      <c r="F183" s="140"/>
      <c r="G183" s="140"/>
      <c r="H183" s="140"/>
      <c r="I183" s="140"/>
      <c r="J183" s="140"/>
      <c r="K183" s="140"/>
      <c r="L183" s="140"/>
      <c r="M183" s="140"/>
      <c r="N183" s="140"/>
      <c r="O183" s="140"/>
      <c r="P183" s="140"/>
      <c r="Q183" s="140"/>
      <c r="R183" s="140"/>
    </row>
    <row r="184" spans="2:18" x14ac:dyDescent="0.35">
      <c r="B184" s="2077"/>
      <c r="C184" s="2077"/>
      <c r="D184" s="140"/>
      <c r="E184" s="140"/>
      <c r="F184" s="140"/>
      <c r="G184" s="140"/>
      <c r="H184" s="140"/>
      <c r="I184" s="140"/>
      <c r="J184" s="140"/>
      <c r="K184" s="140"/>
      <c r="L184" s="140"/>
      <c r="M184" s="140"/>
      <c r="N184" s="140"/>
      <c r="O184" s="140"/>
      <c r="P184" s="140"/>
      <c r="Q184" s="140"/>
      <c r="R184" s="140"/>
    </row>
    <row r="185" spans="2:18" x14ac:dyDescent="0.35">
      <c r="B185" s="2077"/>
      <c r="C185" s="2077"/>
      <c r="D185" s="140"/>
      <c r="E185" s="140"/>
      <c r="F185" s="140"/>
      <c r="G185" s="140"/>
      <c r="H185" s="140"/>
      <c r="I185" s="140"/>
      <c r="J185" s="140"/>
      <c r="K185" s="140"/>
      <c r="L185" s="140"/>
      <c r="M185" s="140"/>
      <c r="N185" s="140"/>
      <c r="O185" s="140"/>
      <c r="P185" s="140"/>
      <c r="Q185" s="140"/>
      <c r="R185" s="140"/>
    </row>
    <row r="186" spans="2:18" x14ac:dyDescent="0.35">
      <c r="B186" s="2077"/>
      <c r="C186" s="2077"/>
      <c r="D186" s="140"/>
      <c r="E186" s="140"/>
      <c r="F186" s="140"/>
      <c r="G186" s="140"/>
      <c r="H186" s="140"/>
      <c r="I186" s="140"/>
      <c r="J186" s="140"/>
      <c r="K186" s="140"/>
      <c r="L186" s="140"/>
      <c r="M186" s="140"/>
      <c r="N186" s="140"/>
      <c r="O186" s="140"/>
      <c r="P186" s="140"/>
      <c r="Q186" s="140"/>
      <c r="R186" s="140"/>
    </row>
    <row r="187" spans="2:18" x14ac:dyDescent="0.35">
      <c r="B187" s="2077"/>
      <c r="C187" s="2077"/>
      <c r="D187" s="140"/>
      <c r="E187" s="140"/>
      <c r="F187" s="140"/>
      <c r="G187" s="140"/>
      <c r="H187" s="140"/>
      <c r="I187" s="140"/>
      <c r="J187" s="140"/>
      <c r="K187" s="140"/>
      <c r="L187" s="140"/>
      <c r="M187" s="140"/>
      <c r="N187" s="140"/>
      <c r="O187" s="140"/>
      <c r="P187" s="140"/>
      <c r="Q187" s="140"/>
      <c r="R187" s="140"/>
    </row>
    <row r="188" spans="2:18" x14ac:dyDescent="0.35">
      <c r="B188" s="2077"/>
      <c r="C188" s="2077"/>
      <c r="D188" s="140"/>
      <c r="E188" s="140"/>
      <c r="F188" s="140"/>
      <c r="G188" s="140"/>
      <c r="H188" s="140"/>
      <c r="I188" s="140"/>
      <c r="J188" s="140"/>
      <c r="K188" s="140"/>
      <c r="L188" s="140"/>
      <c r="M188" s="140"/>
      <c r="P188" s="140"/>
      <c r="Q188" s="140"/>
      <c r="R188" s="140"/>
    </row>
    <row r="189" spans="2:18" x14ac:dyDescent="0.35">
      <c r="B189" s="2077"/>
      <c r="C189" s="2077"/>
      <c r="D189" s="140"/>
      <c r="E189" s="140"/>
      <c r="F189" s="140"/>
      <c r="G189" s="140"/>
      <c r="H189" s="140"/>
      <c r="I189" s="140"/>
      <c r="J189" s="140"/>
      <c r="K189" s="140"/>
      <c r="L189" s="140"/>
      <c r="M189" s="140"/>
      <c r="P189" s="140"/>
      <c r="Q189" s="140"/>
      <c r="R189" s="140"/>
    </row>
    <row r="190" spans="2:18" x14ac:dyDescent="0.35">
      <c r="B190" s="2077"/>
      <c r="C190" s="2077"/>
      <c r="D190" s="140"/>
      <c r="E190" s="140"/>
      <c r="F190" s="140"/>
      <c r="G190" s="140"/>
      <c r="H190" s="140"/>
      <c r="I190" s="140"/>
      <c r="J190" s="140"/>
      <c r="K190" s="140"/>
      <c r="L190" s="140"/>
      <c r="M190" s="140"/>
      <c r="P190" s="140"/>
      <c r="Q190" s="140"/>
      <c r="R190" s="140"/>
    </row>
    <row r="191" spans="2:18" x14ac:dyDescent="0.35">
      <c r="B191" s="2077"/>
      <c r="C191" s="2077"/>
      <c r="D191" s="140"/>
      <c r="E191" s="140"/>
      <c r="F191" s="140"/>
      <c r="G191" s="140"/>
      <c r="H191" s="140"/>
      <c r="I191" s="140"/>
      <c r="J191" s="140"/>
      <c r="K191" s="140"/>
      <c r="L191" s="140"/>
      <c r="M191" s="140"/>
      <c r="P191" s="140"/>
      <c r="Q191" s="140"/>
      <c r="R191" s="140"/>
    </row>
    <row r="192" spans="2:18" x14ac:dyDescent="0.35">
      <c r="B192" s="2077"/>
      <c r="C192" s="2077"/>
      <c r="D192" s="140"/>
      <c r="E192" s="140"/>
      <c r="F192" s="140"/>
      <c r="G192" s="140"/>
      <c r="H192" s="140"/>
      <c r="I192" s="140"/>
      <c r="J192" s="140"/>
      <c r="K192" s="140"/>
      <c r="L192" s="140"/>
      <c r="M192" s="140"/>
      <c r="P192" s="140"/>
      <c r="Q192" s="140"/>
      <c r="R192" s="140"/>
    </row>
    <row r="193" spans="1:28" x14ac:dyDescent="0.35">
      <c r="B193" s="2077"/>
      <c r="C193" s="2077"/>
      <c r="D193" s="140"/>
      <c r="E193" s="140"/>
      <c r="F193" s="140"/>
      <c r="G193" s="140"/>
      <c r="H193" s="140"/>
      <c r="I193" s="140"/>
      <c r="J193" s="140"/>
      <c r="K193" s="140"/>
      <c r="L193" s="140"/>
      <c r="M193" s="140"/>
      <c r="N193" s="140"/>
      <c r="O193" s="140"/>
      <c r="P193" s="140"/>
      <c r="Q193" s="140"/>
      <c r="R193" s="140"/>
    </row>
    <row r="194" spans="1:28" s="2040" customFormat="1" x14ac:dyDescent="0.25">
      <c r="A194" s="3420"/>
      <c r="B194" s="1980"/>
      <c r="C194" s="1980"/>
      <c r="N194" s="3500"/>
      <c r="O194" s="3587"/>
      <c r="P194" s="3544"/>
      <c r="R194" s="1956"/>
    </row>
    <row r="195" spans="1:28" s="2040" customFormat="1" x14ac:dyDescent="0.25">
      <c r="A195" s="3420"/>
      <c r="B195" s="1980"/>
      <c r="C195" s="1980"/>
      <c r="N195" s="3500"/>
      <c r="O195" s="3587"/>
      <c r="P195" s="3544"/>
      <c r="R195" s="1956"/>
    </row>
    <row r="196" spans="1:28" s="2040" customFormat="1" x14ac:dyDescent="0.25">
      <c r="A196" s="3420"/>
      <c r="B196" s="1980"/>
      <c r="C196" s="1980"/>
      <c r="N196" s="3500"/>
      <c r="O196" s="3587"/>
      <c r="P196" s="3550"/>
      <c r="R196" s="1956"/>
    </row>
    <row r="197" spans="1:28" s="2040" customFormat="1" x14ac:dyDescent="0.25">
      <c r="A197" s="3420"/>
      <c r="B197" s="1980"/>
      <c r="C197" s="1980"/>
      <c r="N197" s="3500"/>
      <c r="O197" s="3588"/>
      <c r="P197" s="3544"/>
      <c r="R197" s="1956"/>
    </row>
    <row r="198" spans="1:28" s="2040" customFormat="1" x14ac:dyDescent="0.25">
      <c r="A198" s="3420"/>
      <c r="B198" s="1980"/>
      <c r="C198" s="1980"/>
      <c r="N198" s="3500"/>
      <c r="O198" s="3589"/>
      <c r="P198" s="3589"/>
    </row>
    <row r="199" spans="1:28" s="2040" customFormat="1" x14ac:dyDescent="0.35">
      <c r="A199" s="3420"/>
      <c r="B199" s="1980"/>
      <c r="C199" s="1980"/>
      <c r="N199" s="3501"/>
      <c r="O199" s="1981"/>
      <c r="P199" s="1981"/>
    </row>
    <row r="200" spans="1:28" s="2040" customFormat="1" x14ac:dyDescent="0.35">
      <c r="A200" s="3420"/>
      <c r="B200" s="1980"/>
      <c r="C200" s="1980"/>
      <c r="N200" s="3501"/>
    </row>
    <row r="201" spans="1:28" s="2040" customFormat="1" x14ac:dyDescent="0.3">
      <c r="A201" s="3420"/>
      <c r="B201" s="763"/>
      <c r="C201" s="763"/>
      <c r="D201" s="3502"/>
      <c r="E201" s="3502"/>
      <c r="F201" s="3502"/>
      <c r="G201" s="3504"/>
      <c r="H201" s="3504"/>
      <c r="I201" s="3502"/>
      <c r="J201" s="3503"/>
      <c r="K201" s="3504"/>
      <c r="L201" s="3504"/>
      <c r="M201" s="3502"/>
      <c r="N201" s="3505"/>
      <c r="O201" s="3502"/>
      <c r="P201" s="3502"/>
    </row>
    <row r="202" spans="1:28" s="2040" customFormat="1" x14ac:dyDescent="0.35">
      <c r="A202" s="3420"/>
      <c r="B202" s="3506"/>
      <c r="C202" s="3506"/>
      <c r="D202" s="3506"/>
      <c r="E202" s="3506"/>
      <c r="F202" s="3506"/>
      <c r="G202" s="3506"/>
      <c r="H202" s="3506"/>
      <c r="I202" s="3506"/>
      <c r="J202" s="3506"/>
      <c r="K202" s="3506"/>
      <c r="L202" s="3506"/>
      <c r="M202" s="3506"/>
      <c r="N202" s="3506"/>
      <c r="O202" s="3506"/>
      <c r="P202" s="3590"/>
    </row>
    <row r="203" spans="1:28" s="2040" customFormat="1" x14ac:dyDescent="0.35">
      <c r="A203" s="3420"/>
      <c r="B203" s="3506"/>
      <c r="C203" s="3506"/>
      <c r="D203" s="3506"/>
      <c r="E203" s="3506"/>
      <c r="F203" s="3506"/>
      <c r="G203" s="3506"/>
      <c r="H203" s="3506"/>
      <c r="I203" s="3506"/>
      <c r="J203" s="3506"/>
      <c r="K203" s="3506"/>
      <c r="L203" s="3506"/>
      <c r="M203" s="3506"/>
      <c r="N203" s="3506"/>
      <c r="O203" s="3506"/>
      <c r="P203" s="3590"/>
    </row>
    <row r="204" spans="1:28" s="2040" customFormat="1" x14ac:dyDescent="0.35">
      <c r="A204" s="3420"/>
      <c r="B204" s="3506"/>
      <c r="C204" s="3506"/>
      <c r="D204" s="3506"/>
      <c r="E204" s="3506"/>
      <c r="F204" s="3506"/>
      <c r="G204" s="3506"/>
      <c r="H204" s="3506"/>
      <c r="I204" s="3506"/>
      <c r="J204" s="3506"/>
      <c r="K204" s="3506"/>
      <c r="L204" s="3506"/>
      <c r="M204" s="3506"/>
      <c r="N204" s="3506"/>
      <c r="O204" s="3506"/>
      <c r="P204" s="3590"/>
    </row>
    <row r="205" spans="1:28" s="2040" customFormat="1" x14ac:dyDescent="0.35">
      <c r="A205" s="3420"/>
      <c r="B205" s="3506"/>
      <c r="C205" s="3506"/>
      <c r="D205" s="3506"/>
      <c r="E205" s="3506"/>
      <c r="F205" s="3506"/>
      <c r="G205" s="3506"/>
      <c r="H205" s="3506"/>
      <c r="I205" s="3506"/>
      <c r="J205" s="3506"/>
      <c r="K205" s="3506"/>
      <c r="L205" s="3506"/>
      <c r="M205" s="3506"/>
      <c r="N205" s="3506"/>
      <c r="O205" s="3506"/>
      <c r="P205" s="3590"/>
    </row>
    <row r="206" spans="1:28" s="2040" customFormat="1" x14ac:dyDescent="0.35">
      <c r="A206" s="3420"/>
      <c r="B206" s="3506"/>
      <c r="C206" s="3506"/>
      <c r="D206" s="3506"/>
      <c r="E206" s="3506"/>
      <c r="F206" s="3506"/>
      <c r="G206" s="3506"/>
      <c r="H206" s="3506"/>
      <c r="I206" s="3506"/>
      <c r="J206" s="3506"/>
      <c r="K206" s="3506"/>
      <c r="L206" s="3506"/>
      <c r="M206" s="3506"/>
      <c r="N206" s="3506"/>
      <c r="O206" s="3506"/>
      <c r="P206" s="3590"/>
      <c r="T206" s="3507"/>
      <c r="U206" s="3507"/>
      <c r="V206" s="3507"/>
      <c r="W206" s="3507"/>
      <c r="X206" s="3507"/>
      <c r="Y206" s="3507"/>
      <c r="Z206" s="3507"/>
      <c r="AB206" s="3507"/>
    </row>
    <row r="207" spans="1:28" s="2040" customFormat="1" x14ac:dyDescent="0.35">
      <c r="A207" s="3420"/>
      <c r="B207" s="3506"/>
      <c r="C207" s="3506"/>
      <c r="D207" s="3506"/>
      <c r="E207" s="3506"/>
      <c r="F207" s="3506"/>
      <c r="G207" s="3506"/>
      <c r="H207" s="3506"/>
      <c r="I207" s="3506"/>
      <c r="J207" s="3506"/>
      <c r="K207" s="3506"/>
      <c r="L207" s="3506"/>
      <c r="M207" s="3506"/>
      <c r="N207" s="3506"/>
      <c r="O207" s="3506"/>
      <c r="P207" s="3590"/>
    </row>
    <row r="208" spans="1:28" x14ac:dyDescent="0.35">
      <c r="B208" s="2077"/>
      <c r="C208" s="2077"/>
      <c r="D208" s="140"/>
      <c r="E208" s="140"/>
      <c r="F208" s="140"/>
      <c r="G208" s="140"/>
      <c r="H208" s="140"/>
      <c r="I208" s="140"/>
      <c r="J208" s="140"/>
      <c r="K208" s="140"/>
      <c r="L208" s="140"/>
      <c r="M208" s="140"/>
      <c r="N208" s="140"/>
      <c r="O208" s="140"/>
      <c r="P208" s="140"/>
      <c r="Q208" s="140"/>
      <c r="R208" s="140"/>
    </row>
    <row r="209" spans="2:18" x14ac:dyDescent="0.35">
      <c r="B209" s="2077"/>
      <c r="C209" s="2077"/>
      <c r="D209" s="140"/>
      <c r="E209" s="140"/>
      <c r="F209" s="140"/>
      <c r="G209" s="140"/>
      <c r="H209" s="140"/>
      <c r="I209" s="140"/>
      <c r="J209" s="140"/>
      <c r="K209" s="140"/>
      <c r="L209" s="140"/>
      <c r="M209" s="140"/>
      <c r="N209" s="140"/>
      <c r="O209" s="140"/>
      <c r="P209" s="140"/>
      <c r="Q209" s="140"/>
      <c r="R209" s="140"/>
    </row>
    <row r="210" spans="2:18" x14ac:dyDescent="0.35">
      <c r="B210" s="2077"/>
      <c r="C210" s="2077"/>
      <c r="D210" s="140"/>
      <c r="E210" s="140"/>
      <c r="F210" s="140"/>
      <c r="G210" s="140"/>
      <c r="H210" s="140"/>
      <c r="I210" s="140"/>
      <c r="J210" s="140"/>
      <c r="K210" s="140"/>
      <c r="L210" s="140"/>
      <c r="M210" s="140"/>
      <c r="N210" s="140"/>
      <c r="O210" s="140"/>
      <c r="P210" s="140"/>
      <c r="Q210" s="140"/>
      <c r="R210" s="140"/>
    </row>
    <row r="211" spans="2:18" x14ac:dyDescent="0.35">
      <c r="B211" s="2077"/>
      <c r="C211" s="2077"/>
      <c r="D211" s="140"/>
      <c r="E211" s="140"/>
      <c r="F211" s="140"/>
      <c r="G211" s="140"/>
      <c r="H211" s="140"/>
      <c r="I211" s="140"/>
      <c r="J211" s="140"/>
      <c r="K211" s="140"/>
      <c r="L211" s="140"/>
      <c r="M211" s="140"/>
      <c r="N211" s="140"/>
      <c r="O211" s="140"/>
      <c r="P211" s="140"/>
      <c r="Q211" s="140"/>
      <c r="R211" s="140"/>
    </row>
    <row r="212" spans="2:18" x14ac:dyDescent="0.35">
      <c r="C212" s="2077"/>
      <c r="E212" s="2077"/>
      <c r="F212" s="140"/>
      <c r="G212" s="140"/>
      <c r="H212" s="140"/>
      <c r="I212" s="140"/>
      <c r="J212" s="140"/>
      <c r="K212" s="140"/>
      <c r="L212" s="140"/>
      <c r="M212" s="140"/>
      <c r="N212" s="140"/>
      <c r="O212" s="140"/>
      <c r="P212" s="140"/>
      <c r="Q212" s="140"/>
      <c r="R212" s="140"/>
    </row>
    <row r="213" spans="2:18" x14ac:dyDescent="0.35">
      <c r="C213" s="2077"/>
      <c r="D213" s="2556"/>
      <c r="E213" s="3591"/>
      <c r="F213" s="3591"/>
      <c r="G213" s="140"/>
      <c r="H213" s="140"/>
      <c r="I213" s="140"/>
      <c r="J213" s="140"/>
      <c r="K213" s="140"/>
      <c r="L213" s="140"/>
      <c r="M213" s="140"/>
      <c r="N213" s="140"/>
      <c r="O213" s="140"/>
      <c r="P213" s="140"/>
      <c r="Q213" s="140"/>
      <c r="R213" s="140"/>
    </row>
    <row r="214" spans="2:18" x14ac:dyDescent="0.35">
      <c r="C214" s="2077"/>
      <c r="D214" s="2077"/>
      <c r="E214" s="3592"/>
      <c r="F214" s="140"/>
      <c r="G214" s="140"/>
      <c r="H214" s="140"/>
      <c r="I214" s="140"/>
      <c r="J214" s="140"/>
      <c r="K214" s="140"/>
      <c r="L214" s="140"/>
      <c r="M214" s="140"/>
      <c r="N214" s="140"/>
      <c r="O214" s="140"/>
      <c r="P214" s="140"/>
      <c r="Q214" s="140"/>
      <c r="R214" s="140"/>
    </row>
    <row r="215" spans="2:18" x14ac:dyDescent="0.35">
      <c r="B215" s="2077"/>
      <c r="C215" s="2077"/>
      <c r="D215" s="140"/>
      <c r="E215" s="3592"/>
      <c r="F215" s="140"/>
      <c r="G215" s="140"/>
      <c r="H215" s="140"/>
      <c r="I215" s="140"/>
      <c r="J215" s="140"/>
      <c r="K215" s="140"/>
      <c r="L215" s="140"/>
      <c r="M215" s="140"/>
      <c r="N215" s="140"/>
      <c r="O215" s="140"/>
      <c r="P215" s="140"/>
      <c r="Q215" s="140"/>
      <c r="R215" s="140"/>
    </row>
    <row r="216" spans="2:18" x14ac:dyDescent="0.35">
      <c r="B216" s="2077"/>
      <c r="C216" s="2077"/>
      <c r="D216" s="140"/>
      <c r="E216" s="3592"/>
      <c r="F216" s="140"/>
      <c r="G216" s="140"/>
      <c r="H216" s="140"/>
      <c r="I216" s="140"/>
      <c r="J216" s="140"/>
      <c r="K216" s="140"/>
      <c r="L216" s="140"/>
      <c r="M216" s="140"/>
      <c r="N216" s="140"/>
      <c r="O216" s="140"/>
      <c r="P216" s="140"/>
      <c r="Q216" s="140"/>
      <c r="R216" s="140"/>
    </row>
    <row r="217" spans="2:18" x14ac:dyDescent="0.35">
      <c r="B217" s="2077"/>
      <c r="C217" s="2077"/>
      <c r="D217" s="140"/>
      <c r="E217" s="3592"/>
      <c r="F217" s="140"/>
      <c r="G217" s="140"/>
      <c r="H217" s="140"/>
      <c r="I217" s="140"/>
      <c r="J217" s="140"/>
      <c r="K217" s="140"/>
      <c r="L217" s="140"/>
      <c r="M217" s="140"/>
      <c r="N217" s="140"/>
      <c r="O217" s="140"/>
      <c r="P217" s="140"/>
      <c r="Q217" s="140"/>
      <c r="R217" s="140"/>
    </row>
    <row r="218" spans="2:18" x14ac:dyDescent="0.35">
      <c r="B218" s="2077"/>
      <c r="C218" s="2077"/>
      <c r="D218" s="140"/>
      <c r="E218" s="3592"/>
      <c r="F218" s="140"/>
      <c r="G218" s="140"/>
      <c r="H218" s="140"/>
      <c r="I218" s="140"/>
      <c r="J218" s="140"/>
      <c r="K218" s="140"/>
      <c r="L218" s="140"/>
      <c r="M218" s="140"/>
      <c r="N218" s="140"/>
      <c r="O218" s="140"/>
      <c r="P218" s="140"/>
      <c r="Q218" s="140"/>
      <c r="R218" s="140"/>
    </row>
    <row r="219" spans="2:18" x14ac:dyDescent="0.35">
      <c r="B219" s="2077"/>
      <c r="C219" s="2077"/>
      <c r="D219" s="140"/>
      <c r="E219" s="3592"/>
      <c r="F219" s="140"/>
      <c r="G219" s="140"/>
      <c r="H219" s="140"/>
      <c r="I219" s="140"/>
      <c r="J219" s="140"/>
      <c r="K219" s="140"/>
      <c r="L219" s="140"/>
      <c r="M219" s="140"/>
      <c r="N219" s="140"/>
      <c r="O219" s="140"/>
      <c r="P219" s="140"/>
      <c r="Q219" s="140"/>
      <c r="R219" s="140"/>
    </row>
    <row r="220" spans="2:18" x14ac:dyDescent="0.35">
      <c r="B220" s="2077"/>
      <c r="C220" s="2077"/>
      <c r="D220" s="140"/>
      <c r="E220" s="3592"/>
      <c r="F220" s="140"/>
      <c r="G220" s="140"/>
      <c r="H220" s="140"/>
      <c r="I220" s="140"/>
      <c r="J220" s="140"/>
      <c r="K220" s="140"/>
      <c r="L220" s="140"/>
      <c r="M220" s="140"/>
      <c r="N220" s="140"/>
      <c r="O220" s="140"/>
      <c r="P220" s="140"/>
      <c r="Q220" s="140"/>
      <c r="R220" s="140"/>
    </row>
    <row r="221" spans="2:18" x14ac:dyDescent="0.35">
      <c r="B221" s="2077"/>
      <c r="C221" s="2077"/>
      <c r="D221" s="140"/>
      <c r="E221" s="3592"/>
      <c r="F221" s="140"/>
      <c r="G221" s="140"/>
      <c r="H221" s="140"/>
      <c r="I221" s="140"/>
      <c r="J221" s="140"/>
      <c r="K221" s="140"/>
      <c r="L221" s="140"/>
      <c r="M221" s="140"/>
      <c r="N221" s="140"/>
      <c r="O221" s="140"/>
      <c r="P221" s="140"/>
      <c r="Q221" s="140"/>
      <c r="R221" s="140"/>
    </row>
    <row r="222" spans="2:18" x14ac:dyDescent="0.35">
      <c r="B222" s="2077"/>
      <c r="C222" s="2077"/>
      <c r="D222" s="140"/>
      <c r="E222" s="3592"/>
      <c r="F222" s="140"/>
      <c r="G222" s="140"/>
      <c r="H222" s="140"/>
      <c r="I222" s="140"/>
      <c r="J222" s="140"/>
      <c r="K222" s="140"/>
      <c r="L222" s="140"/>
      <c r="M222" s="140"/>
      <c r="N222" s="140"/>
      <c r="O222" s="140"/>
      <c r="P222" s="140"/>
      <c r="Q222" s="140"/>
      <c r="R222" s="140"/>
    </row>
    <row r="223" spans="2:18" x14ac:dyDescent="0.35">
      <c r="B223" s="2077"/>
      <c r="C223" s="2077"/>
      <c r="D223" s="200"/>
      <c r="E223" s="3591"/>
      <c r="F223" s="200"/>
      <c r="G223" s="140"/>
      <c r="H223" s="140"/>
      <c r="I223" s="140"/>
      <c r="J223" s="140"/>
      <c r="K223" s="140"/>
      <c r="L223" s="140"/>
      <c r="M223" s="140"/>
      <c r="N223" s="140"/>
      <c r="O223" s="140"/>
      <c r="P223" s="140"/>
      <c r="Q223" s="140"/>
      <c r="R223" s="140"/>
    </row>
    <row r="224" spans="2:18" x14ac:dyDescent="0.35">
      <c r="B224" s="2077"/>
      <c r="C224" s="2077"/>
      <c r="D224" s="3593"/>
      <c r="E224" s="3592"/>
      <c r="F224" s="140"/>
      <c r="G224" s="140"/>
      <c r="H224" s="140"/>
      <c r="I224" s="140"/>
      <c r="J224" s="140"/>
      <c r="K224" s="140"/>
      <c r="L224" s="140"/>
      <c r="M224" s="140"/>
      <c r="N224" s="140"/>
      <c r="O224" s="140"/>
      <c r="P224" s="140"/>
      <c r="Q224" s="140"/>
      <c r="R224" s="140"/>
    </row>
    <row r="225" spans="2:18" x14ac:dyDescent="0.35">
      <c r="B225" s="2077"/>
      <c r="C225" s="2077"/>
      <c r="D225" s="3593"/>
      <c r="E225" s="3592"/>
      <c r="F225" s="140"/>
      <c r="G225" s="140"/>
      <c r="H225" s="140"/>
      <c r="I225" s="140"/>
      <c r="J225" s="140"/>
      <c r="K225" s="140"/>
      <c r="L225" s="140"/>
      <c r="M225" s="140"/>
      <c r="N225" s="140"/>
      <c r="O225" s="140"/>
      <c r="P225" s="140"/>
      <c r="Q225" s="140"/>
      <c r="R225" s="140"/>
    </row>
    <row r="226" spans="2:18" x14ac:dyDescent="0.35">
      <c r="B226" s="2077"/>
      <c r="C226" s="2077"/>
      <c r="D226" s="3593"/>
      <c r="E226" s="3592"/>
      <c r="F226" s="140"/>
      <c r="G226" s="140"/>
      <c r="H226" s="140"/>
      <c r="I226" s="140"/>
      <c r="J226" s="140"/>
      <c r="K226" s="140"/>
      <c r="L226" s="140"/>
      <c r="M226" s="140"/>
      <c r="N226" s="140"/>
      <c r="O226" s="140"/>
      <c r="P226" s="140"/>
      <c r="Q226" s="140"/>
      <c r="R226" s="140"/>
    </row>
    <row r="227" spans="2:18" x14ac:dyDescent="0.35">
      <c r="B227" s="2077"/>
      <c r="C227" s="2077"/>
      <c r="D227" s="3593"/>
      <c r="E227" s="3592"/>
      <c r="F227" s="140"/>
      <c r="G227" s="140"/>
      <c r="H227" s="140"/>
      <c r="I227" s="140"/>
      <c r="J227" s="140"/>
      <c r="K227" s="140"/>
      <c r="L227" s="140"/>
      <c r="M227" s="140"/>
      <c r="N227" s="140"/>
      <c r="O227" s="140"/>
      <c r="P227" s="140"/>
      <c r="Q227" s="140"/>
      <c r="R227" s="140"/>
    </row>
    <row r="228" spans="2:18" x14ac:dyDescent="0.35">
      <c r="B228" s="2077"/>
      <c r="C228" s="2077"/>
      <c r="D228" s="3594"/>
      <c r="E228" s="3592"/>
      <c r="F228" s="140"/>
      <c r="G228" s="140"/>
      <c r="H228" s="140"/>
      <c r="I228" s="140"/>
      <c r="J228" s="140"/>
      <c r="K228" s="140"/>
      <c r="L228" s="140"/>
      <c r="M228" s="140"/>
      <c r="N228" s="140"/>
      <c r="O228" s="140"/>
      <c r="P228" s="140"/>
      <c r="Q228" s="140"/>
      <c r="R228" s="140"/>
    </row>
    <row r="229" spans="2:18" x14ac:dyDescent="0.35">
      <c r="B229" s="2077"/>
      <c r="C229" s="2077"/>
      <c r="D229" s="140"/>
      <c r="E229" s="3592"/>
      <c r="F229" s="140"/>
      <c r="G229" s="140"/>
      <c r="H229" s="140"/>
      <c r="I229" s="140"/>
      <c r="J229" s="140"/>
      <c r="K229" s="140"/>
      <c r="L229" s="140"/>
      <c r="M229" s="140"/>
      <c r="N229" s="140"/>
      <c r="O229" s="140"/>
      <c r="P229" s="140"/>
      <c r="Q229" s="140"/>
      <c r="R229" s="140"/>
    </row>
    <row r="230" spans="2:18" x14ac:dyDescent="0.35">
      <c r="B230" s="2077"/>
      <c r="C230" s="2077"/>
      <c r="D230" s="200"/>
      <c r="E230" s="3591"/>
      <c r="F230" s="200"/>
      <c r="G230" s="140"/>
      <c r="H230" s="140"/>
      <c r="I230" s="140"/>
      <c r="J230" s="140"/>
      <c r="K230" s="140"/>
      <c r="L230" s="140"/>
      <c r="M230" s="140"/>
      <c r="N230" s="140"/>
      <c r="O230" s="140"/>
      <c r="P230" s="140"/>
      <c r="Q230" s="140"/>
      <c r="R230" s="140"/>
    </row>
    <row r="231" spans="2:18" x14ac:dyDescent="0.35">
      <c r="B231" s="2077"/>
      <c r="C231" s="2077"/>
      <c r="D231" s="140"/>
      <c r="E231" s="3592"/>
      <c r="F231" s="140"/>
      <c r="G231" s="140"/>
      <c r="H231" s="140"/>
      <c r="I231" s="140"/>
      <c r="J231" s="140"/>
      <c r="K231" s="140"/>
      <c r="L231" s="140"/>
      <c r="M231" s="140"/>
      <c r="N231" s="140"/>
      <c r="O231" s="140"/>
      <c r="P231" s="140"/>
      <c r="Q231" s="140"/>
      <c r="R231" s="140"/>
    </row>
    <row r="232" spans="2:18" x14ac:dyDescent="0.35">
      <c r="B232" s="2077"/>
      <c r="C232" s="2077"/>
      <c r="D232" s="140"/>
      <c r="E232" s="3592"/>
      <c r="F232" s="140"/>
      <c r="G232" s="140"/>
      <c r="H232" s="140"/>
      <c r="I232" s="140"/>
      <c r="J232" s="140"/>
      <c r="K232" s="140"/>
      <c r="L232" s="140"/>
      <c r="M232" s="140"/>
      <c r="N232" s="140"/>
      <c r="O232" s="140"/>
      <c r="P232" s="140"/>
      <c r="Q232" s="140"/>
      <c r="R232" s="140"/>
    </row>
    <row r="233" spans="2:18" x14ac:dyDescent="0.35">
      <c r="B233" s="2077"/>
      <c r="C233" s="2077"/>
      <c r="D233" s="140"/>
      <c r="E233" s="3592"/>
      <c r="F233" s="140"/>
      <c r="G233" s="140"/>
      <c r="H233" s="140"/>
      <c r="I233" s="140"/>
      <c r="J233" s="140"/>
      <c r="K233" s="140"/>
      <c r="L233" s="140"/>
      <c r="M233" s="140"/>
      <c r="N233" s="140"/>
      <c r="O233" s="140"/>
      <c r="P233" s="140"/>
      <c r="Q233" s="140"/>
      <c r="R233" s="140"/>
    </row>
    <row r="234" spans="2:18" x14ac:dyDescent="0.35">
      <c r="D234" s="3510"/>
      <c r="E234" s="3591"/>
      <c r="F234" s="3595"/>
    </row>
    <row r="235" spans="2:18" x14ac:dyDescent="0.35">
      <c r="E235" s="3592"/>
    </row>
    <row r="236" spans="2:18" x14ac:dyDescent="0.35">
      <c r="E236" s="3592"/>
    </row>
    <row r="237" spans="2:18" x14ac:dyDescent="0.35">
      <c r="E237" s="3592"/>
    </row>
    <row r="238" spans="2:18" x14ac:dyDescent="0.35">
      <c r="E238" s="3592"/>
    </row>
    <row r="239" spans="2:18" x14ac:dyDescent="0.35">
      <c r="D239" s="800"/>
      <c r="E239" s="3591"/>
      <c r="F239" s="3595"/>
    </row>
    <row r="240" spans="2:18" x14ac:dyDescent="0.35">
      <c r="E240" s="3592"/>
    </row>
    <row r="241" spans="5:5" x14ac:dyDescent="0.35">
      <c r="E241" s="3592"/>
    </row>
    <row r="242" spans="5:5" x14ac:dyDescent="0.35">
      <c r="E242" s="3592"/>
    </row>
    <row r="243" spans="5:5" x14ac:dyDescent="0.35">
      <c r="E243" s="3592"/>
    </row>
    <row r="244" spans="5:5" x14ac:dyDescent="0.35">
      <c r="E244" s="3592"/>
    </row>
    <row r="245" spans="5:5" x14ac:dyDescent="0.35">
      <c r="E245" s="3592"/>
    </row>
    <row r="246" spans="5:5" x14ac:dyDescent="0.35">
      <c r="E246" s="3592"/>
    </row>
    <row r="247" spans="5:5" x14ac:dyDescent="0.35">
      <c r="E247" s="3592"/>
    </row>
    <row r="248" spans="5:5" x14ac:dyDescent="0.35">
      <c r="E248" s="3592"/>
    </row>
    <row r="249" spans="5:5" x14ac:dyDescent="0.35">
      <c r="E249" s="3592"/>
    </row>
    <row r="250" spans="5:5" x14ac:dyDescent="0.35">
      <c r="E250" s="3592"/>
    </row>
    <row r="251" spans="5:5" x14ac:dyDescent="0.35">
      <c r="E251" s="3592"/>
    </row>
    <row r="252" spans="5:5" x14ac:dyDescent="0.35">
      <c r="E252" s="3592"/>
    </row>
    <row r="253" spans="5:5" x14ac:dyDescent="0.35">
      <c r="E253" s="3592"/>
    </row>
    <row r="254" spans="5:5" x14ac:dyDescent="0.35">
      <c r="E254" s="3592"/>
    </row>
    <row r="255" spans="5:5" x14ac:dyDescent="0.35">
      <c r="E255" s="3592"/>
    </row>
    <row r="256" spans="5:5" x14ac:dyDescent="0.35">
      <c r="E256" s="3592"/>
    </row>
    <row r="257" spans="5:5" x14ac:dyDescent="0.35">
      <c r="E257" s="3592"/>
    </row>
    <row r="258" spans="5:5" x14ac:dyDescent="0.35">
      <c r="E258" s="3592"/>
    </row>
    <row r="259" spans="5:5" x14ac:dyDescent="0.35">
      <c r="E259" s="3592"/>
    </row>
    <row r="260" spans="5:5" x14ac:dyDescent="0.35">
      <c r="E260" s="3592"/>
    </row>
    <row r="261" spans="5:5" x14ac:dyDescent="0.35">
      <c r="E261" s="3592"/>
    </row>
    <row r="262" spans="5:5" x14ac:dyDescent="0.35">
      <c r="E262" s="3592"/>
    </row>
    <row r="263" spans="5:5" x14ac:dyDescent="0.35">
      <c r="E263" s="3592"/>
    </row>
    <row r="264" spans="5:5" x14ac:dyDescent="0.35">
      <c r="E264" s="3592"/>
    </row>
    <row r="265" spans="5:5" x14ac:dyDescent="0.35">
      <c r="E265" s="3592"/>
    </row>
    <row r="266" spans="5:5" x14ac:dyDescent="0.35">
      <c r="E266" s="3592"/>
    </row>
    <row r="267" spans="5:5" x14ac:dyDescent="0.35">
      <c r="E267" s="3592"/>
    </row>
    <row r="268" spans="5:5" x14ac:dyDescent="0.35">
      <c r="E268" s="3592"/>
    </row>
    <row r="269" spans="5:5" x14ac:dyDescent="0.35">
      <c r="E269" s="3592"/>
    </row>
    <row r="270" spans="5:5" x14ac:dyDescent="0.35">
      <c r="E270" s="3592"/>
    </row>
    <row r="271" spans="5:5" x14ac:dyDescent="0.35">
      <c r="E271" s="3592"/>
    </row>
    <row r="272" spans="5:5" x14ac:dyDescent="0.35">
      <c r="E272" s="3592"/>
    </row>
    <row r="273" spans="5:5" x14ac:dyDescent="0.35">
      <c r="E273" s="3592"/>
    </row>
    <row r="274" spans="5:5" x14ac:dyDescent="0.35">
      <c r="E274" s="3592"/>
    </row>
    <row r="275" spans="5:5" x14ac:dyDescent="0.35">
      <c r="E275" s="3592"/>
    </row>
    <row r="276" spans="5:5" x14ac:dyDescent="0.35">
      <c r="E276" s="3592"/>
    </row>
    <row r="277" spans="5:5" x14ac:dyDescent="0.35">
      <c r="E277" s="3592"/>
    </row>
    <row r="278" spans="5:5" x14ac:dyDescent="0.35">
      <c r="E278" s="3592"/>
    </row>
    <row r="279" spans="5:5" x14ac:dyDescent="0.35">
      <c r="E279" s="3592"/>
    </row>
    <row r="280" spans="5:5" x14ac:dyDescent="0.35">
      <c r="E280" s="3592"/>
    </row>
    <row r="281" spans="5:5" x14ac:dyDescent="0.35">
      <c r="E281" s="3592"/>
    </row>
    <row r="282" spans="5:5" x14ac:dyDescent="0.35">
      <c r="E282" s="3592"/>
    </row>
    <row r="283" spans="5:5" x14ac:dyDescent="0.35">
      <c r="E283" s="3592"/>
    </row>
    <row r="284" spans="5:5" x14ac:dyDescent="0.35">
      <c r="E284" s="3592"/>
    </row>
    <row r="285" spans="5:5" x14ac:dyDescent="0.35">
      <c r="E285" s="3592"/>
    </row>
    <row r="286" spans="5:5" x14ac:dyDescent="0.35">
      <c r="E286" s="3592"/>
    </row>
    <row r="287" spans="5:5" x14ac:dyDescent="0.35">
      <c r="E287" s="3592"/>
    </row>
    <row r="288" spans="5:5" x14ac:dyDescent="0.35">
      <c r="E288" s="3592"/>
    </row>
    <row r="289" spans="5:5" x14ac:dyDescent="0.35">
      <c r="E289" s="3592"/>
    </row>
    <row r="290" spans="5:5" x14ac:dyDescent="0.35">
      <c r="E290" s="3592"/>
    </row>
    <row r="291" spans="5:5" x14ac:dyDescent="0.35">
      <c r="E291" s="3592"/>
    </row>
    <row r="292" spans="5:5" x14ac:dyDescent="0.35">
      <c r="E292" s="3592"/>
    </row>
    <row r="293" spans="5:5" x14ac:dyDescent="0.35">
      <c r="E293" s="3592"/>
    </row>
    <row r="294" spans="5:5" x14ac:dyDescent="0.35">
      <c r="E294" s="3592"/>
    </row>
    <row r="295" spans="5:5" x14ac:dyDescent="0.35">
      <c r="E295" s="3592"/>
    </row>
    <row r="296" spans="5:5" x14ac:dyDescent="0.35">
      <c r="E296" s="3592"/>
    </row>
    <row r="297" spans="5:5" x14ac:dyDescent="0.35">
      <c r="E297" s="3592"/>
    </row>
    <row r="298" spans="5:5" x14ac:dyDescent="0.35">
      <c r="E298" s="3592"/>
    </row>
    <row r="299" spans="5:5" x14ac:dyDescent="0.35">
      <c r="E299" s="3592"/>
    </row>
    <row r="300" spans="5:5" x14ac:dyDescent="0.35">
      <c r="E300" s="3592"/>
    </row>
    <row r="301" spans="5:5" x14ac:dyDescent="0.35">
      <c r="E301" s="3592"/>
    </row>
    <row r="302" spans="5:5" x14ac:dyDescent="0.35">
      <c r="E302" s="3592"/>
    </row>
    <row r="303" spans="5:5" x14ac:dyDescent="0.35">
      <c r="E303" s="3592"/>
    </row>
    <row r="304" spans="5:5" x14ac:dyDescent="0.35">
      <c r="E304" s="3592"/>
    </row>
    <row r="305" spans="5:5" x14ac:dyDescent="0.35">
      <c r="E305" s="3592"/>
    </row>
    <row r="306" spans="5:5" x14ac:dyDescent="0.35">
      <c r="E306" s="3592"/>
    </row>
    <row r="307" spans="5:5" x14ac:dyDescent="0.35">
      <c r="E307" s="3592"/>
    </row>
    <row r="308" spans="5:5" x14ac:dyDescent="0.35">
      <c r="E308" s="3592"/>
    </row>
    <row r="309" spans="5:5" x14ac:dyDescent="0.35">
      <c r="E309" s="3592"/>
    </row>
    <row r="310" spans="5:5" x14ac:dyDescent="0.35">
      <c r="E310" s="3592"/>
    </row>
    <row r="311" spans="5:5" x14ac:dyDescent="0.35">
      <c r="E311" s="3592"/>
    </row>
    <row r="312" spans="5:5" x14ac:dyDescent="0.35">
      <c r="E312" s="3592"/>
    </row>
    <row r="313" spans="5:5" x14ac:dyDescent="0.35">
      <c r="E313" s="3592"/>
    </row>
    <row r="314" spans="5:5" x14ac:dyDescent="0.35">
      <c r="E314" s="3592"/>
    </row>
    <row r="315" spans="5:5" x14ac:dyDescent="0.35">
      <c r="E315" s="3592"/>
    </row>
    <row r="316" spans="5:5" x14ac:dyDescent="0.35">
      <c r="E316" s="3592"/>
    </row>
    <row r="317" spans="5:5" x14ac:dyDescent="0.35">
      <c r="E317" s="3592"/>
    </row>
    <row r="318" spans="5:5" x14ac:dyDescent="0.35">
      <c r="E318" s="3592"/>
    </row>
    <row r="319" spans="5:5" x14ac:dyDescent="0.35">
      <c r="E319" s="3592"/>
    </row>
    <row r="320" spans="5:5" x14ac:dyDescent="0.35">
      <c r="E320" s="3592"/>
    </row>
    <row r="321" spans="5:5" x14ac:dyDescent="0.35">
      <c r="E321" s="3592"/>
    </row>
    <row r="322" spans="5:5" x14ac:dyDescent="0.35">
      <c r="E322" s="3592"/>
    </row>
    <row r="323" spans="5:5" x14ac:dyDescent="0.35">
      <c r="E323" s="3592"/>
    </row>
    <row r="324" spans="5:5" x14ac:dyDescent="0.35">
      <c r="E324" s="3592"/>
    </row>
    <row r="325" spans="5:5" x14ac:dyDescent="0.35">
      <c r="E325" s="3592"/>
    </row>
    <row r="326" spans="5:5" x14ac:dyDescent="0.35">
      <c r="E326" s="3592"/>
    </row>
    <row r="327" spans="5:5" x14ac:dyDescent="0.35">
      <c r="E327" s="3592"/>
    </row>
    <row r="328" spans="5:5" x14ac:dyDescent="0.35">
      <c r="E328" s="3592"/>
    </row>
    <row r="329" spans="5:5" x14ac:dyDescent="0.35">
      <c r="E329" s="3592"/>
    </row>
    <row r="330" spans="5:5" x14ac:dyDescent="0.35">
      <c r="E330" s="3592"/>
    </row>
    <row r="331" spans="5:5" x14ac:dyDescent="0.35">
      <c r="E331" s="3592"/>
    </row>
    <row r="332" spans="5:5" x14ac:dyDescent="0.35">
      <c r="E332" s="3592"/>
    </row>
    <row r="333" spans="5:5" x14ac:dyDescent="0.35">
      <c r="E333" s="3592"/>
    </row>
    <row r="334" spans="5:5" x14ac:dyDescent="0.35">
      <c r="E334" s="3592"/>
    </row>
    <row r="335" spans="5:5" x14ac:dyDescent="0.35">
      <c r="E335" s="3592"/>
    </row>
    <row r="336" spans="5:5" x14ac:dyDescent="0.35">
      <c r="E336" s="3592"/>
    </row>
    <row r="337" spans="5:5" x14ac:dyDescent="0.35">
      <c r="E337" s="3592"/>
    </row>
    <row r="338" spans="5:5" x14ac:dyDescent="0.35">
      <c r="E338" s="3592"/>
    </row>
    <row r="339" spans="5:5" x14ac:dyDescent="0.35">
      <c r="E339" s="3592"/>
    </row>
    <row r="340" spans="5:5" x14ac:dyDescent="0.35">
      <c r="E340" s="3592"/>
    </row>
    <row r="341" spans="5:5" x14ac:dyDescent="0.35">
      <c r="E341" s="3592"/>
    </row>
    <row r="342" spans="5:5" x14ac:dyDescent="0.35">
      <c r="E342" s="3592"/>
    </row>
    <row r="343" spans="5:5" x14ac:dyDescent="0.35">
      <c r="E343" s="3592"/>
    </row>
    <row r="344" spans="5:5" x14ac:dyDescent="0.35">
      <c r="E344" s="3592"/>
    </row>
    <row r="345" spans="5:5" x14ac:dyDescent="0.35">
      <c r="E345" s="3592"/>
    </row>
    <row r="346" spans="5:5" x14ac:dyDescent="0.35">
      <c r="E346" s="3592"/>
    </row>
    <row r="347" spans="5:5" x14ac:dyDescent="0.35">
      <c r="E347" s="3592"/>
    </row>
    <row r="348" spans="5:5" x14ac:dyDescent="0.35">
      <c r="E348" s="3592"/>
    </row>
    <row r="349" spans="5:5" x14ac:dyDescent="0.35">
      <c r="E349" s="3592"/>
    </row>
    <row r="350" spans="5:5" x14ac:dyDescent="0.35">
      <c r="E350" s="3592"/>
    </row>
    <row r="351" spans="5:5" x14ac:dyDescent="0.35">
      <c r="E351" s="3592"/>
    </row>
    <row r="352" spans="5:5" x14ac:dyDescent="0.35">
      <c r="E352" s="3592"/>
    </row>
    <row r="353" spans="5:5" x14ac:dyDescent="0.35">
      <c r="E353" s="3592"/>
    </row>
    <row r="354" spans="5:5" x14ac:dyDescent="0.35">
      <c r="E354" s="3592"/>
    </row>
    <row r="355" spans="5:5" x14ac:dyDescent="0.35">
      <c r="E355" s="3592"/>
    </row>
    <row r="356" spans="5:5" x14ac:dyDescent="0.35">
      <c r="E356" s="3592"/>
    </row>
    <row r="357" spans="5:5" x14ac:dyDescent="0.35">
      <c r="E357" s="3592"/>
    </row>
    <row r="358" spans="5:5" x14ac:dyDescent="0.35">
      <c r="E358" s="3592"/>
    </row>
    <row r="359" spans="5:5" x14ac:dyDescent="0.35">
      <c r="E359" s="3592"/>
    </row>
    <row r="360" spans="5:5" x14ac:dyDescent="0.35">
      <c r="E360" s="3592"/>
    </row>
    <row r="361" spans="5:5" x14ac:dyDescent="0.35">
      <c r="E361" s="3592"/>
    </row>
    <row r="362" spans="5:5" x14ac:dyDescent="0.35">
      <c r="E362" s="3592"/>
    </row>
    <row r="363" spans="5:5" x14ac:dyDescent="0.35">
      <c r="E363" s="3592"/>
    </row>
    <row r="364" spans="5:5" x14ac:dyDescent="0.35">
      <c r="E364" s="3592"/>
    </row>
    <row r="365" spans="5:5" x14ac:dyDescent="0.35">
      <c r="E365" s="3592"/>
    </row>
    <row r="366" spans="5:5" x14ac:dyDescent="0.35">
      <c r="E366" s="3592"/>
    </row>
    <row r="367" spans="5:5" x14ac:dyDescent="0.35">
      <c r="E367" s="3592"/>
    </row>
    <row r="368" spans="5:5" x14ac:dyDescent="0.35">
      <c r="E368" s="3592"/>
    </row>
    <row r="369" spans="5:5" x14ac:dyDescent="0.35">
      <c r="E369" s="3592"/>
    </row>
    <row r="370" spans="5:5" x14ac:dyDescent="0.35">
      <c r="E370" s="3592"/>
    </row>
    <row r="371" spans="5:5" x14ac:dyDescent="0.35">
      <c r="E371" s="3592"/>
    </row>
    <row r="372" spans="5:5" x14ac:dyDescent="0.35">
      <c r="E372" s="3592"/>
    </row>
    <row r="373" spans="5:5" x14ac:dyDescent="0.35">
      <c r="E373" s="3592"/>
    </row>
    <row r="374" spans="5:5" x14ac:dyDescent="0.35">
      <c r="E374" s="3592"/>
    </row>
    <row r="375" spans="5:5" x14ac:dyDescent="0.35">
      <c r="E375" s="3592"/>
    </row>
    <row r="376" spans="5:5" x14ac:dyDescent="0.35">
      <c r="E376" s="3592"/>
    </row>
    <row r="377" spans="5:5" x14ac:dyDescent="0.35">
      <c r="E377" s="3592"/>
    </row>
    <row r="378" spans="5:5" x14ac:dyDescent="0.35">
      <c r="E378" s="3592"/>
    </row>
    <row r="379" spans="5:5" x14ac:dyDescent="0.35">
      <c r="E379" s="3592"/>
    </row>
    <row r="380" spans="5:5" x14ac:dyDescent="0.35">
      <c r="E380" s="3592"/>
    </row>
    <row r="381" spans="5:5" x14ac:dyDescent="0.35">
      <c r="E381" s="3592"/>
    </row>
    <row r="382" spans="5:5" x14ac:dyDescent="0.35">
      <c r="E382" s="3592"/>
    </row>
    <row r="383" spans="5:5" x14ac:dyDescent="0.35">
      <c r="E383" s="3592"/>
    </row>
    <row r="384" spans="5:5" x14ac:dyDescent="0.35">
      <c r="E384" s="3592"/>
    </row>
    <row r="385" spans="5:5" x14ac:dyDescent="0.35">
      <c r="E385" s="3592"/>
    </row>
    <row r="386" spans="5:5" x14ac:dyDescent="0.35">
      <c r="E386" s="3592"/>
    </row>
    <row r="387" spans="5:5" x14ac:dyDescent="0.35">
      <c r="E387" s="3592"/>
    </row>
    <row r="388" spans="5:5" x14ac:dyDescent="0.35">
      <c r="E388" s="3592"/>
    </row>
    <row r="389" spans="5:5" x14ac:dyDescent="0.35">
      <c r="E389" s="3592"/>
    </row>
    <row r="390" spans="5:5" x14ac:dyDescent="0.35">
      <c r="E390" s="3592"/>
    </row>
    <row r="391" spans="5:5" x14ac:dyDescent="0.35">
      <c r="E391" s="3592"/>
    </row>
    <row r="392" spans="5:5" x14ac:dyDescent="0.35">
      <c r="E392" s="3592"/>
    </row>
    <row r="393" spans="5:5" x14ac:dyDescent="0.35">
      <c r="E393" s="3592"/>
    </row>
    <row r="394" spans="5:5" x14ac:dyDescent="0.35">
      <c r="E394" s="3592"/>
    </row>
    <row r="395" spans="5:5" x14ac:dyDescent="0.35">
      <c r="E395" s="3592"/>
    </row>
    <row r="396" spans="5:5" x14ac:dyDescent="0.35">
      <c r="E396" s="3592"/>
    </row>
    <row r="397" spans="5:5" x14ac:dyDescent="0.35">
      <c r="E397" s="3592"/>
    </row>
    <row r="398" spans="5:5" x14ac:dyDescent="0.35">
      <c r="E398" s="3592"/>
    </row>
    <row r="399" spans="5:5" x14ac:dyDescent="0.35">
      <c r="E399" s="3592"/>
    </row>
    <row r="400" spans="5:5" x14ac:dyDescent="0.35">
      <c r="E400" s="3592"/>
    </row>
    <row r="401" spans="5:5" x14ac:dyDescent="0.35">
      <c r="E401" s="3592"/>
    </row>
    <row r="402" spans="5:5" x14ac:dyDescent="0.35">
      <c r="E402" s="3592"/>
    </row>
    <row r="403" spans="5:5" x14ac:dyDescent="0.35">
      <c r="E403" s="3592"/>
    </row>
    <row r="404" spans="5:5" x14ac:dyDescent="0.35">
      <c r="E404" s="3592"/>
    </row>
    <row r="405" spans="5:5" x14ac:dyDescent="0.35">
      <c r="E405" s="3592"/>
    </row>
    <row r="406" spans="5:5" x14ac:dyDescent="0.35">
      <c r="E406" s="3592"/>
    </row>
    <row r="407" spans="5:5" x14ac:dyDescent="0.35">
      <c r="E407" s="3592"/>
    </row>
    <row r="408" spans="5:5" x14ac:dyDescent="0.35">
      <c r="E408" s="3592"/>
    </row>
    <row r="409" spans="5:5" x14ac:dyDescent="0.35">
      <c r="E409" s="3592"/>
    </row>
    <row r="410" spans="5:5" x14ac:dyDescent="0.35">
      <c r="E410" s="3592"/>
    </row>
    <row r="411" spans="5:5" x14ac:dyDescent="0.35">
      <c r="E411" s="3592"/>
    </row>
    <row r="412" spans="5:5" x14ac:dyDescent="0.35">
      <c r="E412" s="3592"/>
    </row>
    <row r="413" spans="5:5" x14ac:dyDescent="0.35">
      <c r="E413" s="3592"/>
    </row>
    <row r="414" spans="5:5" x14ac:dyDescent="0.35">
      <c r="E414" s="3592"/>
    </row>
    <row r="415" spans="5:5" x14ac:dyDescent="0.35">
      <c r="E415" s="3592"/>
    </row>
    <row r="416" spans="5:5" x14ac:dyDescent="0.35">
      <c r="E416" s="3592"/>
    </row>
    <row r="417" spans="5:5" x14ac:dyDescent="0.35">
      <c r="E417" s="3592"/>
    </row>
    <row r="418" spans="5:5" x14ac:dyDescent="0.35">
      <c r="E418" s="3592"/>
    </row>
    <row r="419" spans="5:5" x14ac:dyDescent="0.35">
      <c r="E419" s="3592"/>
    </row>
    <row r="420" spans="5:5" x14ac:dyDescent="0.35">
      <c r="E420" s="3592"/>
    </row>
    <row r="421" spans="5:5" x14ac:dyDescent="0.35">
      <c r="E421" s="3592"/>
    </row>
    <row r="422" spans="5:5" x14ac:dyDescent="0.35">
      <c r="E422" s="3592"/>
    </row>
    <row r="423" spans="5:5" x14ac:dyDescent="0.35">
      <c r="E423" s="3592"/>
    </row>
    <row r="424" spans="5:5" x14ac:dyDescent="0.35">
      <c r="E424" s="3592"/>
    </row>
    <row r="425" spans="5:5" x14ac:dyDescent="0.35">
      <c r="E425" s="3592"/>
    </row>
    <row r="426" spans="5:5" x14ac:dyDescent="0.35">
      <c r="E426" s="3592"/>
    </row>
    <row r="427" spans="5:5" x14ac:dyDescent="0.35">
      <c r="E427" s="3592"/>
    </row>
    <row r="428" spans="5:5" x14ac:dyDescent="0.35">
      <c r="E428" s="3592"/>
    </row>
    <row r="429" spans="5:5" x14ac:dyDescent="0.35">
      <c r="E429" s="3592"/>
    </row>
    <row r="430" spans="5:5" x14ac:dyDescent="0.35">
      <c r="E430" s="3592"/>
    </row>
    <row r="431" spans="5:5" x14ac:dyDescent="0.35">
      <c r="E431" s="3592"/>
    </row>
    <row r="432" spans="5:5" x14ac:dyDescent="0.35">
      <c r="E432" s="3592"/>
    </row>
    <row r="433" spans="5:5" x14ac:dyDescent="0.35">
      <c r="E433" s="3592"/>
    </row>
    <row r="434" spans="5:5" x14ac:dyDescent="0.35">
      <c r="E434" s="3592"/>
    </row>
    <row r="435" spans="5:5" x14ac:dyDescent="0.35">
      <c r="E435" s="3592"/>
    </row>
    <row r="436" spans="5:5" x14ac:dyDescent="0.35">
      <c r="E436" s="3592"/>
    </row>
    <row r="437" spans="5:5" x14ac:dyDescent="0.35">
      <c r="E437" s="3592"/>
    </row>
    <row r="438" spans="5:5" x14ac:dyDescent="0.35">
      <c r="E438" s="3592"/>
    </row>
    <row r="439" spans="5:5" x14ac:dyDescent="0.35">
      <c r="E439" s="3592"/>
    </row>
    <row r="440" spans="5:5" x14ac:dyDescent="0.35">
      <c r="E440" s="3592"/>
    </row>
    <row r="441" spans="5:5" x14ac:dyDescent="0.35">
      <c r="E441" s="3592"/>
    </row>
    <row r="442" spans="5:5" x14ac:dyDescent="0.35">
      <c r="E442" s="3592"/>
    </row>
    <row r="443" spans="5:5" x14ac:dyDescent="0.35">
      <c r="E443" s="3592"/>
    </row>
    <row r="444" spans="5:5" x14ac:dyDescent="0.35">
      <c r="E444" s="3592"/>
    </row>
    <row r="445" spans="5:5" x14ac:dyDescent="0.35">
      <c r="E445" s="3592"/>
    </row>
    <row r="446" spans="5:5" x14ac:dyDescent="0.35">
      <c r="E446" s="3592"/>
    </row>
    <row r="447" spans="5:5" x14ac:dyDescent="0.35">
      <c r="E447" s="3592"/>
    </row>
    <row r="448" spans="5:5" x14ac:dyDescent="0.35">
      <c r="E448" s="3592"/>
    </row>
    <row r="449" spans="5:5" x14ac:dyDescent="0.35">
      <c r="E449" s="3592"/>
    </row>
    <row r="450" spans="5:5" x14ac:dyDescent="0.35">
      <c r="E450" s="3592"/>
    </row>
    <row r="451" spans="5:5" x14ac:dyDescent="0.35">
      <c r="E451" s="3592"/>
    </row>
    <row r="452" spans="5:5" x14ac:dyDescent="0.35">
      <c r="E452" s="3592"/>
    </row>
    <row r="453" spans="5:5" x14ac:dyDescent="0.35">
      <c r="E453" s="3592"/>
    </row>
    <row r="454" spans="5:5" x14ac:dyDescent="0.35">
      <c r="E454" s="3592"/>
    </row>
    <row r="455" spans="5:5" x14ac:dyDescent="0.35">
      <c r="E455" s="3592"/>
    </row>
    <row r="456" spans="5:5" x14ac:dyDescent="0.35">
      <c r="E456" s="3592"/>
    </row>
    <row r="457" spans="5:5" x14ac:dyDescent="0.35">
      <c r="E457" s="3592"/>
    </row>
    <row r="458" spans="5:5" x14ac:dyDescent="0.35">
      <c r="E458" s="3592"/>
    </row>
    <row r="459" spans="5:5" x14ac:dyDescent="0.35">
      <c r="E459" s="3592"/>
    </row>
    <row r="460" spans="5:5" x14ac:dyDescent="0.35">
      <c r="E460" s="3592"/>
    </row>
    <row r="461" spans="5:5" x14ac:dyDescent="0.35">
      <c r="E461" s="3592"/>
    </row>
    <row r="462" spans="5:5" x14ac:dyDescent="0.35">
      <c r="E462" s="3592"/>
    </row>
    <row r="463" spans="5:5" x14ac:dyDescent="0.35">
      <c r="E463" s="3592"/>
    </row>
    <row r="464" spans="5:5" x14ac:dyDescent="0.35">
      <c r="E464" s="3592"/>
    </row>
    <row r="465" spans="5:5" x14ac:dyDescent="0.35">
      <c r="E465" s="3592"/>
    </row>
    <row r="466" spans="5:5" x14ac:dyDescent="0.35">
      <c r="E466" s="3592"/>
    </row>
    <row r="467" spans="5:5" x14ac:dyDescent="0.35">
      <c r="E467" s="3592"/>
    </row>
    <row r="468" spans="5:5" x14ac:dyDescent="0.35">
      <c r="E468" s="3592"/>
    </row>
    <row r="469" spans="5:5" x14ac:dyDescent="0.35">
      <c r="E469" s="3592"/>
    </row>
    <row r="470" spans="5:5" x14ac:dyDescent="0.35">
      <c r="E470" s="3592"/>
    </row>
    <row r="471" spans="5:5" x14ac:dyDescent="0.35">
      <c r="E471" s="3592"/>
    </row>
    <row r="472" spans="5:5" x14ac:dyDescent="0.35">
      <c r="E472" s="3592"/>
    </row>
    <row r="473" spans="5:5" x14ac:dyDescent="0.35">
      <c r="E473" s="3592"/>
    </row>
    <row r="474" spans="5:5" x14ac:dyDescent="0.35">
      <c r="E474" s="3592"/>
    </row>
    <row r="475" spans="5:5" x14ac:dyDescent="0.35">
      <c r="E475" s="3592"/>
    </row>
    <row r="476" spans="5:5" x14ac:dyDescent="0.35">
      <c r="E476" s="3592"/>
    </row>
    <row r="477" spans="5:5" x14ac:dyDescent="0.35">
      <c r="E477" s="3592"/>
    </row>
    <row r="478" spans="5:5" x14ac:dyDescent="0.35">
      <c r="E478" s="3592"/>
    </row>
    <row r="479" spans="5:5" x14ac:dyDescent="0.35">
      <c r="E479" s="3592"/>
    </row>
    <row r="480" spans="5:5" x14ac:dyDescent="0.35">
      <c r="E480" s="3592"/>
    </row>
    <row r="481" spans="5:5" x14ac:dyDescent="0.35">
      <c r="E481" s="3592"/>
    </row>
  </sheetData>
  <mergeCells count="7">
    <mergeCell ref="D38:AC38"/>
    <mergeCell ref="D2:AC2"/>
    <mergeCell ref="D3:AC3"/>
    <mergeCell ref="D4:AC4"/>
    <mergeCell ref="D35:AC35"/>
    <mergeCell ref="D36:AC36"/>
    <mergeCell ref="D37:AC37"/>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249977111117893"/>
    <pageSetUpPr fitToPage="1"/>
  </sheetPr>
  <dimension ref="A1:AD127"/>
  <sheetViews>
    <sheetView showGridLines="0" view="pageBreakPreview" zoomScaleNormal="100" zoomScaleSheetLayoutView="100" workbookViewId="0">
      <selection activeCell="Y27" sqref="Y27"/>
    </sheetView>
  </sheetViews>
  <sheetFormatPr defaultColWidth="9.1796875" defaultRowHeight="14.5" x14ac:dyDescent="0.35"/>
  <cols>
    <col min="1" max="1" width="3.7265625" style="3423" customWidth="1"/>
    <col min="2" max="2" width="10.1796875" style="3420" customWidth="1"/>
    <col min="3" max="3" width="3.7265625" style="3420" customWidth="1"/>
    <col min="4" max="4" width="23.81640625" style="3422" customWidth="1"/>
    <col min="5" max="5" width="7.54296875" style="3422" customWidth="1"/>
    <col min="6" max="7" width="6.54296875" style="3422" bestFit="1" customWidth="1"/>
    <col min="8" max="8" width="7.54296875" style="3422" customWidth="1"/>
    <col min="9" max="9" width="6.1796875" style="3422" customWidth="1"/>
    <col min="10" max="13" width="6.54296875" style="3422" bestFit="1" customWidth="1"/>
    <col min="14" max="14" width="7" style="3422" customWidth="1"/>
    <col min="15" max="25" width="6.54296875" style="3422" bestFit="1" customWidth="1"/>
    <col min="26" max="26" width="7.08984375" style="3422" customWidth="1"/>
    <col min="27" max="27" width="6.81640625" style="3422" customWidth="1"/>
    <col min="28" max="28" width="6.54296875" style="3422" bestFit="1" customWidth="1"/>
    <col min="29" max="29" width="6.453125" style="3422" customWidth="1"/>
    <col min="30" max="30" width="6.90625" style="3422" customWidth="1"/>
    <col min="31" max="257" width="9.1796875" style="3422"/>
    <col min="258" max="258" width="3.7265625" style="3422" customWidth="1"/>
    <col min="259" max="259" width="14.453125" style="3422" customWidth="1"/>
    <col min="260" max="260" width="3.7265625" style="3422" customWidth="1"/>
    <col min="261" max="261" width="20.453125" style="3422" customWidth="1"/>
    <col min="262" max="276" width="7.54296875" style="3422" customWidth="1"/>
    <col min="277" max="513" width="9.1796875" style="3422"/>
    <col min="514" max="514" width="3.7265625" style="3422" customWidth="1"/>
    <col min="515" max="515" width="14.453125" style="3422" customWidth="1"/>
    <col min="516" max="516" width="3.7265625" style="3422" customWidth="1"/>
    <col min="517" max="517" width="20.453125" style="3422" customWidth="1"/>
    <col min="518" max="532" width="7.54296875" style="3422" customWidth="1"/>
    <col min="533" max="769" width="9.1796875" style="3422"/>
    <col min="770" max="770" width="3.7265625" style="3422" customWidth="1"/>
    <col min="771" max="771" width="14.453125" style="3422" customWidth="1"/>
    <col min="772" max="772" width="3.7265625" style="3422" customWidth="1"/>
    <col min="773" max="773" width="20.453125" style="3422" customWidth="1"/>
    <col min="774" max="788" width="7.54296875" style="3422" customWidth="1"/>
    <col min="789" max="1025" width="9.1796875" style="3422"/>
    <col min="1026" max="1026" width="3.7265625" style="3422" customWidth="1"/>
    <col min="1027" max="1027" width="14.453125" style="3422" customWidth="1"/>
    <col min="1028" max="1028" width="3.7265625" style="3422" customWidth="1"/>
    <col min="1029" max="1029" width="20.453125" style="3422" customWidth="1"/>
    <col min="1030" max="1044" width="7.54296875" style="3422" customWidth="1"/>
    <col min="1045" max="1281" width="9.1796875" style="3422"/>
    <col min="1282" max="1282" width="3.7265625" style="3422" customWidth="1"/>
    <col min="1283" max="1283" width="14.453125" style="3422" customWidth="1"/>
    <col min="1284" max="1284" width="3.7265625" style="3422" customWidth="1"/>
    <col min="1285" max="1285" width="20.453125" style="3422" customWidth="1"/>
    <col min="1286" max="1300" width="7.54296875" style="3422" customWidth="1"/>
    <col min="1301" max="1537" width="9.1796875" style="3422"/>
    <col min="1538" max="1538" width="3.7265625" style="3422" customWidth="1"/>
    <col min="1539" max="1539" width="14.453125" style="3422" customWidth="1"/>
    <col min="1540" max="1540" width="3.7265625" style="3422" customWidth="1"/>
    <col min="1541" max="1541" width="20.453125" style="3422" customWidth="1"/>
    <col min="1542" max="1556" width="7.54296875" style="3422" customWidth="1"/>
    <col min="1557" max="1793" width="9.1796875" style="3422"/>
    <col min="1794" max="1794" width="3.7265625" style="3422" customWidth="1"/>
    <col min="1795" max="1795" width="14.453125" style="3422" customWidth="1"/>
    <col min="1796" max="1796" width="3.7265625" style="3422" customWidth="1"/>
    <col min="1797" max="1797" width="20.453125" style="3422" customWidth="1"/>
    <col min="1798" max="1812" width="7.54296875" style="3422" customWidth="1"/>
    <col min="1813" max="2049" width="9.1796875" style="3422"/>
    <col min="2050" max="2050" width="3.7265625" style="3422" customWidth="1"/>
    <col min="2051" max="2051" width="14.453125" style="3422" customWidth="1"/>
    <col min="2052" max="2052" width="3.7265625" style="3422" customWidth="1"/>
    <col min="2053" max="2053" width="20.453125" style="3422" customWidth="1"/>
    <col min="2054" max="2068" width="7.54296875" style="3422" customWidth="1"/>
    <col min="2069" max="2305" width="9.1796875" style="3422"/>
    <col min="2306" max="2306" width="3.7265625" style="3422" customWidth="1"/>
    <col min="2307" max="2307" width="14.453125" style="3422" customWidth="1"/>
    <col min="2308" max="2308" width="3.7265625" style="3422" customWidth="1"/>
    <col min="2309" max="2309" width="20.453125" style="3422" customWidth="1"/>
    <col min="2310" max="2324" width="7.54296875" style="3422" customWidth="1"/>
    <col min="2325" max="2561" width="9.1796875" style="3422"/>
    <col min="2562" max="2562" width="3.7265625" style="3422" customWidth="1"/>
    <col min="2563" max="2563" width="14.453125" style="3422" customWidth="1"/>
    <col min="2564" max="2564" width="3.7265625" style="3422" customWidth="1"/>
    <col min="2565" max="2565" width="20.453125" style="3422" customWidth="1"/>
    <col min="2566" max="2580" width="7.54296875" style="3422" customWidth="1"/>
    <col min="2581" max="2817" width="9.1796875" style="3422"/>
    <col min="2818" max="2818" width="3.7265625" style="3422" customWidth="1"/>
    <col min="2819" max="2819" width="14.453125" style="3422" customWidth="1"/>
    <col min="2820" max="2820" width="3.7265625" style="3422" customWidth="1"/>
    <col min="2821" max="2821" width="20.453125" style="3422" customWidth="1"/>
    <col min="2822" max="2836" width="7.54296875" style="3422" customWidth="1"/>
    <col min="2837" max="3073" width="9.1796875" style="3422"/>
    <col min="3074" max="3074" width="3.7265625" style="3422" customWidth="1"/>
    <col min="3075" max="3075" width="14.453125" style="3422" customWidth="1"/>
    <col min="3076" max="3076" width="3.7265625" style="3422" customWidth="1"/>
    <col min="3077" max="3077" width="20.453125" style="3422" customWidth="1"/>
    <col min="3078" max="3092" width="7.54296875" style="3422" customWidth="1"/>
    <col min="3093" max="3329" width="9.1796875" style="3422"/>
    <col min="3330" max="3330" width="3.7265625" style="3422" customWidth="1"/>
    <col min="3331" max="3331" width="14.453125" style="3422" customWidth="1"/>
    <col min="3332" max="3332" width="3.7265625" style="3422" customWidth="1"/>
    <col min="3333" max="3333" width="20.453125" style="3422" customWidth="1"/>
    <col min="3334" max="3348" width="7.54296875" style="3422" customWidth="1"/>
    <col min="3349" max="3585" width="9.1796875" style="3422"/>
    <col min="3586" max="3586" width="3.7265625" style="3422" customWidth="1"/>
    <col min="3587" max="3587" width="14.453125" style="3422" customWidth="1"/>
    <col min="3588" max="3588" width="3.7265625" style="3422" customWidth="1"/>
    <col min="3589" max="3589" width="20.453125" style="3422" customWidth="1"/>
    <col min="3590" max="3604" width="7.54296875" style="3422" customWidth="1"/>
    <col min="3605" max="3841" width="9.1796875" style="3422"/>
    <col min="3842" max="3842" width="3.7265625" style="3422" customWidth="1"/>
    <col min="3843" max="3843" width="14.453125" style="3422" customWidth="1"/>
    <col min="3844" max="3844" width="3.7265625" style="3422" customWidth="1"/>
    <col min="3845" max="3845" width="20.453125" style="3422" customWidth="1"/>
    <col min="3846" max="3860" width="7.54296875" style="3422" customWidth="1"/>
    <col min="3861" max="4097" width="9.1796875" style="3422"/>
    <col min="4098" max="4098" width="3.7265625" style="3422" customWidth="1"/>
    <col min="4099" max="4099" width="14.453125" style="3422" customWidth="1"/>
    <col min="4100" max="4100" width="3.7265625" style="3422" customWidth="1"/>
    <col min="4101" max="4101" width="20.453125" style="3422" customWidth="1"/>
    <col min="4102" max="4116" width="7.54296875" style="3422" customWidth="1"/>
    <col min="4117" max="4353" width="9.1796875" style="3422"/>
    <col min="4354" max="4354" width="3.7265625" style="3422" customWidth="1"/>
    <col min="4355" max="4355" width="14.453125" style="3422" customWidth="1"/>
    <col min="4356" max="4356" width="3.7265625" style="3422" customWidth="1"/>
    <col min="4357" max="4357" width="20.453125" style="3422" customWidth="1"/>
    <col min="4358" max="4372" width="7.54296875" style="3422" customWidth="1"/>
    <col min="4373" max="4609" width="9.1796875" style="3422"/>
    <col min="4610" max="4610" width="3.7265625" style="3422" customWidth="1"/>
    <col min="4611" max="4611" width="14.453125" style="3422" customWidth="1"/>
    <col min="4612" max="4612" width="3.7265625" style="3422" customWidth="1"/>
    <col min="4613" max="4613" width="20.453125" style="3422" customWidth="1"/>
    <col min="4614" max="4628" width="7.54296875" style="3422" customWidth="1"/>
    <col min="4629" max="4865" width="9.1796875" style="3422"/>
    <col min="4866" max="4866" width="3.7265625" style="3422" customWidth="1"/>
    <col min="4867" max="4867" width="14.453125" style="3422" customWidth="1"/>
    <col min="4868" max="4868" width="3.7265625" style="3422" customWidth="1"/>
    <col min="4869" max="4869" width="20.453125" style="3422" customWidth="1"/>
    <col min="4870" max="4884" width="7.54296875" style="3422" customWidth="1"/>
    <col min="4885" max="5121" width="9.1796875" style="3422"/>
    <col min="5122" max="5122" width="3.7265625" style="3422" customWidth="1"/>
    <col min="5123" max="5123" width="14.453125" style="3422" customWidth="1"/>
    <col min="5124" max="5124" width="3.7265625" style="3422" customWidth="1"/>
    <col min="5125" max="5125" width="20.453125" style="3422" customWidth="1"/>
    <col min="5126" max="5140" width="7.54296875" style="3422" customWidth="1"/>
    <col min="5141" max="5377" width="9.1796875" style="3422"/>
    <col min="5378" max="5378" width="3.7265625" style="3422" customWidth="1"/>
    <col min="5379" max="5379" width="14.453125" style="3422" customWidth="1"/>
    <col min="5380" max="5380" width="3.7265625" style="3422" customWidth="1"/>
    <col min="5381" max="5381" width="20.453125" style="3422" customWidth="1"/>
    <col min="5382" max="5396" width="7.54296875" style="3422" customWidth="1"/>
    <col min="5397" max="5633" width="9.1796875" style="3422"/>
    <col min="5634" max="5634" width="3.7265625" style="3422" customWidth="1"/>
    <col min="5635" max="5635" width="14.453125" style="3422" customWidth="1"/>
    <col min="5636" max="5636" width="3.7265625" style="3422" customWidth="1"/>
    <col min="5637" max="5637" width="20.453125" style="3422" customWidth="1"/>
    <col min="5638" max="5652" width="7.54296875" style="3422" customWidth="1"/>
    <col min="5653" max="5889" width="9.1796875" style="3422"/>
    <col min="5890" max="5890" width="3.7265625" style="3422" customWidth="1"/>
    <col min="5891" max="5891" width="14.453125" style="3422" customWidth="1"/>
    <col min="5892" max="5892" width="3.7265625" style="3422" customWidth="1"/>
    <col min="5893" max="5893" width="20.453125" style="3422" customWidth="1"/>
    <col min="5894" max="5908" width="7.54296875" style="3422" customWidth="1"/>
    <col min="5909" max="6145" width="9.1796875" style="3422"/>
    <col min="6146" max="6146" width="3.7265625" style="3422" customWidth="1"/>
    <col min="6147" max="6147" width="14.453125" style="3422" customWidth="1"/>
    <col min="6148" max="6148" width="3.7265625" style="3422" customWidth="1"/>
    <col min="6149" max="6149" width="20.453125" style="3422" customWidth="1"/>
    <col min="6150" max="6164" width="7.54296875" style="3422" customWidth="1"/>
    <col min="6165" max="6401" width="9.1796875" style="3422"/>
    <col min="6402" max="6402" width="3.7265625" style="3422" customWidth="1"/>
    <col min="6403" max="6403" width="14.453125" style="3422" customWidth="1"/>
    <col min="6404" max="6404" width="3.7265625" style="3422" customWidth="1"/>
    <col min="6405" max="6405" width="20.453125" style="3422" customWidth="1"/>
    <col min="6406" max="6420" width="7.54296875" style="3422" customWidth="1"/>
    <col min="6421" max="6657" width="9.1796875" style="3422"/>
    <col min="6658" max="6658" width="3.7265625" style="3422" customWidth="1"/>
    <col min="6659" max="6659" width="14.453125" style="3422" customWidth="1"/>
    <col min="6660" max="6660" width="3.7265625" style="3422" customWidth="1"/>
    <col min="6661" max="6661" width="20.453125" style="3422" customWidth="1"/>
    <col min="6662" max="6676" width="7.54296875" style="3422" customWidth="1"/>
    <col min="6677" max="6913" width="9.1796875" style="3422"/>
    <col min="6914" max="6914" width="3.7265625" style="3422" customWidth="1"/>
    <col min="6915" max="6915" width="14.453125" style="3422" customWidth="1"/>
    <col min="6916" max="6916" width="3.7265625" style="3422" customWidth="1"/>
    <col min="6917" max="6917" width="20.453125" style="3422" customWidth="1"/>
    <col min="6918" max="6932" width="7.54296875" style="3422" customWidth="1"/>
    <col min="6933" max="7169" width="9.1796875" style="3422"/>
    <col min="7170" max="7170" width="3.7265625" style="3422" customWidth="1"/>
    <col min="7171" max="7171" width="14.453125" style="3422" customWidth="1"/>
    <col min="7172" max="7172" width="3.7265625" style="3422" customWidth="1"/>
    <col min="7173" max="7173" width="20.453125" style="3422" customWidth="1"/>
    <col min="7174" max="7188" width="7.54296875" style="3422" customWidth="1"/>
    <col min="7189" max="7425" width="9.1796875" style="3422"/>
    <col min="7426" max="7426" width="3.7265625" style="3422" customWidth="1"/>
    <col min="7427" max="7427" width="14.453125" style="3422" customWidth="1"/>
    <col min="7428" max="7428" width="3.7265625" style="3422" customWidth="1"/>
    <col min="7429" max="7429" width="20.453125" style="3422" customWidth="1"/>
    <col min="7430" max="7444" width="7.54296875" style="3422" customWidth="1"/>
    <col min="7445" max="7681" width="9.1796875" style="3422"/>
    <col min="7682" max="7682" width="3.7265625" style="3422" customWidth="1"/>
    <col min="7683" max="7683" width="14.453125" style="3422" customWidth="1"/>
    <col min="7684" max="7684" width="3.7265625" style="3422" customWidth="1"/>
    <col min="7685" max="7685" width="20.453125" style="3422" customWidth="1"/>
    <col min="7686" max="7700" width="7.54296875" style="3422" customWidth="1"/>
    <col min="7701" max="7937" width="9.1796875" style="3422"/>
    <col min="7938" max="7938" width="3.7265625" style="3422" customWidth="1"/>
    <col min="7939" max="7939" width="14.453125" style="3422" customWidth="1"/>
    <col min="7940" max="7940" width="3.7265625" style="3422" customWidth="1"/>
    <col min="7941" max="7941" width="20.453125" style="3422" customWidth="1"/>
    <col min="7942" max="7956" width="7.54296875" style="3422" customWidth="1"/>
    <col min="7957" max="8193" width="9.1796875" style="3422"/>
    <col min="8194" max="8194" width="3.7265625" style="3422" customWidth="1"/>
    <col min="8195" max="8195" width="14.453125" style="3422" customWidth="1"/>
    <col min="8196" max="8196" width="3.7265625" style="3422" customWidth="1"/>
    <col min="8197" max="8197" width="20.453125" style="3422" customWidth="1"/>
    <col min="8198" max="8212" width="7.54296875" style="3422" customWidth="1"/>
    <col min="8213" max="8449" width="9.1796875" style="3422"/>
    <col min="8450" max="8450" width="3.7265625" style="3422" customWidth="1"/>
    <col min="8451" max="8451" width="14.453125" style="3422" customWidth="1"/>
    <col min="8452" max="8452" width="3.7265625" style="3422" customWidth="1"/>
    <col min="8453" max="8453" width="20.453125" style="3422" customWidth="1"/>
    <col min="8454" max="8468" width="7.54296875" style="3422" customWidth="1"/>
    <col min="8469" max="8705" width="9.1796875" style="3422"/>
    <col min="8706" max="8706" width="3.7265625" style="3422" customWidth="1"/>
    <col min="8707" max="8707" width="14.453125" style="3422" customWidth="1"/>
    <col min="8708" max="8708" width="3.7265625" style="3422" customWidth="1"/>
    <col min="8709" max="8709" width="20.453125" style="3422" customWidth="1"/>
    <col min="8710" max="8724" width="7.54296875" style="3422" customWidth="1"/>
    <col min="8725" max="8961" width="9.1796875" style="3422"/>
    <col min="8962" max="8962" width="3.7265625" style="3422" customWidth="1"/>
    <col min="8963" max="8963" width="14.453125" style="3422" customWidth="1"/>
    <col min="8964" max="8964" width="3.7265625" style="3422" customWidth="1"/>
    <col min="8965" max="8965" width="20.453125" style="3422" customWidth="1"/>
    <col min="8966" max="8980" width="7.54296875" style="3422" customWidth="1"/>
    <col min="8981" max="9217" width="9.1796875" style="3422"/>
    <col min="9218" max="9218" width="3.7265625" style="3422" customWidth="1"/>
    <col min="9219" max="9219" width="14.453125" style="3422" customWidth="1"/>
    <col min="9220" max="9220" width="3.7265625" style="3422" customWidth="1"/>
    <col min="9221" max="9221" width="20.453125" style="3422" customWidth="1"/>
    <col min="9222" max="9236" width="7.54296875" style="3422" customWidth="1"/>
    <col min="9237" max="9473" width="9.1796875" style="3422"/>
    <col min="9474" max="9474" width="3.7265625" style="3422" customWidth="1"/>
    <col min="9475" max="9475" width="14.453125" style="3422" customWidth="1"/>
    <col min="9476" max="9476" width="3.7265625" style="3422" customWidth="1"/>
    <col min="9477" max="9477" width="20.453125" style="3422" customWidth="1"/>
    <col min="9478" max="9492" width="7.54296875" style="3422" customWidth="1"/>
    <col min="9493" max="9729" width="9.1796875" style="3422"/>
    <col min="9730" max="9730" width="3.7265625" style="3422" customWidth="1"/>
    <col min="9731" max="9731" width="14.453125" style="3422" customWidth="1"/>
    <col min="9732" max="9732" width="3.7265625" style="3422" customWidth="1"/>
    <col min="9733" max="9733" width="20.453125" style="3422" customWidth="1"/>
    <col min="9734" max="9748" width="7.54296875" style="3422" customWidth="1"/>
    <col min="9749" max="9985" width="9.1796875" style="3422"/>
    <col min="9986" max="9986" width="3.7265625" style="3422" customWidth="1"/>
    <col min="9987" max="9987" width="14.453125" style="3422" customWidth="1"/>
    <col min="9988" max="9988" width="3.7265625" style="3422" customWidth="1"/>
    <col min="9989" max="9989" width="20.453125" style="3422" customWidth="1"/>
    <col min="9990" max="10004" width="7.54296875" style="3422" customWidth="1"/>
    <col min="10005" max="10241" width="9.1796875" style="3422"/>
    <col min="10242" max="10242" width="3.7265625" style="3422" customWidth="1"/>
    <col min="10243" max="10243" width="14.453125" style="3422" customWidth="1"/>
    <col min="10244" max="10244" width="3.7265625" style="3422" customWidth="1"/>
    <col min="10245" max="10245" width="20.453125" style="3422" customWidth="1"/>
    <col min="10246" max="10260" width="7.54296875" style="3422" customWidth="1"/>
    <col min="10261" max="10497" width="9.1796875" style="3422"/>
    <col min="10498" max="10498" width="3.7265625" style="3422" customWidth="1"/>
    <col min="10499" max="10499" width="14.453125" style="3422" customWidth="1"/>
    <col min="10500" max="10500" width="3.7265625" style="3422" customWidth="1"/>
    <col min="10501" max="10501" width="20.453125" style="3422" customWidth="1"/>
    <col min="10502" max="10516" width="7.54296875" style="3422" customWidth="1"/>
    <col min="10517" max="10753" width="9.1796875" style="3422"/>
    <col min="10754" max="10754" width="3.7265625" style="3422" customWidth="1"/>
    <col min="10755" max="10755" width="14.453125" style="3422" customWidth="1"/>
    <col min="10756" max="10756" width="3.7265625" style="3422" customWidth="1"/>
    <col min="10757" max="10757" width="20.453125" style="3422" customWidth="1"/>
    <col min="10758" max="10772" width="7.54296875" style="3422" customWidth="1"/>
    <col min="10773" max="11009" width="9.1796875" style="3422"/>
    <col min="11010" max="11010" width="3.7265625" style="3422" customWidth="1"/>
    <col min="11011" max="11011" width="14.453125" style="3422" customWidth="1"/>
    <col min="11012" max="11012" width="3.7265625" style="3422" customWidth="1"/>
    <col min="11013" max="11013" width="20.453125" style="3422" customWidth="1"/>
    <col min="11014" max="11028" width="7.54296875" style="3422" customWidth="1"/>
    <col min="11029" max="11265" width="9.1796875" style="3422"/>
    <col min="11266" max="11266" width="3.7265625" style="3422" customWidth="1"/>
    <col min="11267" max="11267" width="14.453125" style="3422" customWidth="1"/>
    <col min="11268" max="11268" width="3.7265625" style="3422" customWidth="1"/>
    <col min="11269" max="11269" width="20.453125" style="3422" customWidth="1"/>
    <col min="11270" max="11284" width="7.54296875" style="3422" customWidth="1"/>
    <col min="11285" max="11521" width="9.1796875" style="3422"/>
    <col min="11522" max="11522" width="3.7265625" style="3422" customWidth="1"/>
    <col min="11523" max="11523" width="14.453125" style="3422" customWidth="1"/>
    <col min="11524" max="11524" width="3.7265625" style="3422" customWidth="1"/>
    <col min="11525" max="11525" width="20.453125" style="3422" customWidth="1"/>
    <col min="11526" max="11540" width="7.54296875" style="3422" customWidth="1"/>
    <col min="11541" max="11777" width="9.1796875" style="3422"/>
    <col min="11778" max="11778" width="3.7265625" style="3422" customWidth="1"/>
    <col min="11779" max="11779" width="14.453125" style="3422" customWidth="1"/>
    <col min="11780" max="11780" width="3.7265625" style="3422" customWidth="1"/>
    <col min="11781" max="11781" width="20.453125" style="3422" customWidth="1"/>
    <col min="11782" max="11796" width="7.54296875" style="3422" customWidth="1"/>
    <col min="11797" max="12033" width="9.1796875" style="3422"/>
    <col min="12034" max="12034" width="3.7265625" style="3422" customWidth="1"/>
    <col min="12035" max="12035" width="14.453125" style="3422" customWidth="1"/>
    <col min="12036" max="12036" width="3.7265625" style="3422" customWidth="1"/>
    <col min="12037" max="12037" width="20.453125" style="3422" customWidth="1"/>
    <col min="12038" max="12052" width="7.54296875" style="3422" customWidth="1"/>
    <col min="12053" max="12289" width="9.1796875" style="3422"/>
    <col min="12290" max="12290" width="3.7265625" style="3422" customWidth="1"/>
    <col min="12291" max="12291" width="14.453125" style="3422" customWidth="1"/>
    <col min="12292" max="12292" width="3.7265625" style="3422" customWidth="1"/>
    <col min="12293" max="12293" width="20.453125" style="3422" customWidth="1"/>
    <col min="12294" max="12308" width="7.54296875" style="3422" customWidth="1"/>
    <col min="12309" max="12545" width="9.1796875" style="3422"/>
    <col min="12546" max="12546" width="3.7265625" style="3422" customWidth="1"/>
    <col min="12547" max="12547" width="14.453125" style="3422" customWidth="1"/>
    <col min="12548" max="12548" width="3.7265625" style="3422" customWidth="1"/>
    <col min="12549" max="12549" width="20.453125" style="3422" customWidth="1"/>
    <col min="12550" max="12564" width="7.54296875" style="3422" customWidth="1"/>
    <col min="12565" max="12801" width="9.1796875" style="3422"/>
    <col min="12802" max="12802" width="3.7265625" style="3422" customWidth="1"/>
    <col min="12803" max="12803" width="14.453125" style="3422" customWidth="1"/>
    <col min="12804" max="12804" width="3.7265625" style="3422" customWidth="1"/>
    <col min="12805" max="12805" width="20.453125" style="3422" customWidth="1"/>
    <col min="12806" max="12820" width="7.54296875" style="3422" customWidth="1"/>
    <col min="12821" max="13057" width="9.1796875" style="3422"/>
    <col min="13058" max="13058" width="3.7265625" style="3422" customWidth="1"/>
    <col min="13059" max="13059" width="14.453125" style="3422" customWidth="1"/>
    <col min="13060" max="13060" width="3.7265625" style="3422" customWidth="1"/>
    <col min="13061" max="13061" width="20.453125" style="3422" customWidth="1"/>
    <col min="13062" max="13076" width="7.54296875" style="3422" customWidth="1"/>
    <col min="13077" max="13313" width="9.1796875" style="3422"/>
    <col min="13314" max="13314" width="3.7265625" style="3422" customWidth="1"/>
    <col min="13315" max="13315" width="14.453125" style="3422" customWidth="1"/>
    <col min="13316" max="13316" width="3.7265625" style="3422" customWidth="1"/>
    <col min="13317" max="13317" width="20.453125" style="3422" customWidth="1"/>
    <col min="13318" max="13332" width="7.54296875" style="3422" customWidth="1"/>
    <col min="13333" max="13569" width="9.1796875" style="3422"/>
    <col min="13570" max="13570" width="3.7265625" style="3422" customWidth="1"/>
    <col min="13571" max="13571" width="14.453125" style="3422" customWidth="1"/>
    <col min="13572" max="13572" width="3.7265625" style="3422" customWidth="1"/>
    <col min="13573" max="13573" width="20.453125" style="3422" customWidth="1"/>
    <col min="13574" max="13588" width="7.54296875" style="3422" customWidth="1"/>
    <col min="13589" max="13825" width="9.1796875" style="3422"/>
    <col min="13826" max="13826" width="3.7265625" style="3422" customWidth="1"/>
    <col min="13827" max="13827" width="14.453125" style="3422" customWidth="1"/>
    <col min="13828" max="13828" width="3.7265625" style="3422" customWidth="1"/>
    <col min="13829" max="13829" width="20.453125" style="3422" customWidth="1"/>
    <col min="13830" max="13844" width="7.54296875" style="3422" customWidth="1"/>
    <col min="13845" max="14081" width="9.1796875" style="3422"/>
    <col min="14082" max="14082" width="3.7265625" style="3422" customWidth="1"/>
    <col min="14083" max="14083" width="14.453125" style="3422" customWidth="1"/>
    <col min="14084" max="14084" width="3.7265625" style="3422" customWidth="1"/>
    <col min="14085" max="14085" width="20.453125" style="3422" customWidth="1"/>
    <col min="14086" max="14100" width="7.54296875" style="3422" customWidth="1"/>
    <col min="14101" max="14337" width="9.1796875" style="3422"/>
    <col min="14338" max="14338" width="3.7265625" style="3422" customWidth="1"/>
    <col min="14339" max="14339" width="14.453125" style="3422" customWidth="1"/>
    <col min="14340" max="14340" width="3.7265625" style="3422" customWidth="1"/>
    <col min="14341" max="14341" width="20.453125" style="3422" customWidth="1"/>
    <col min="14342" max="14356" width="7.54296875" style="3422" customWidth="1"/>
    <col min="14357" max="14593" width="9.1796875" style="3422"/>
    <col min="14594" max="14594" width="3.7265625" style="3422" customWidth="1"/>
    <col min="14595" max="14595" width="14.453125" style="3422" customWidth="1"/>
    <col min="14596" max="14596" width="3.7265625" style="3422" customWidth="1"/>
    <col min="14597" max="14597" width="20.453125" style="3422" customWidth="1"/>
    <col min="14598" max="14612" width="7.54296875" style="3422" customWidth="1"/>
    <col min="14613" max="14849" width="9.1796875" style="3422"/>
    <col min="14850" max="14850" width="3.7265625" style="3422" customWidth="1"/>
    <col min="14851" max="14851" width="14.453125" style="3422" customWidth="1"/>
    <col min="14852" max="14852" width="3.7265625" style="3422" customWidth="1"/>
    <col min="14853" max="14853" width="20.453125" style="3422" customWidth="1"/>
    <col min="14854" max="14868" width="7.54296875" style="3422" customWidth="1"/>
    <col min="14869" max="15105" width="9.1796875" style="3422"/>
    <col min="15106" max="15106" width="3.7265625" style="3422" customWidth="1"/>
    <col min="15107" max="15107" width="14.453125" style="3422" customWidth="1"/>
    <col min="15108" max="15108" width="3.7265625" style="3422" customWidth="1"/>
    <col min="15109" max="15109" width="20.453125" style="3422" customWidth="1"/>
    <col min="15110" max="15124" width="7.54296875" style="3422" customWidth="1"/>
    <col min="15125" max="15361" width="9.1796875" style="3422"/>
    <col min="15362" max="15362" width="3.7265625" style="3422" customWidth="1"/>
    <col min="15363" max="15363" width="14.453125" style="3422" customWidth="1"/>
    <col min="15364" max="15364" width="3.7265625" style="3422" customWidth="1"/>
    <col min="15365" max="15365" width="20.453125" style="3422" customWidth="1"/>
    <col min="15366" max="15380" width="7.54296875" style="3422" customWidth="1"/>
    <col min="15381" max="15617" width="9.1796875" style="3422"/>
    <col min="15618" max="15618" width="3.7265625" style="3422" customWidth="1"/>
    <col min="15619" max="15619" width="14.453125" style="3422" customWidth="1"/>
    <col min="15620" max="15620" width="3.7265625" style="3422" customWidth="1"/>
    <col min="15621" max="15621" width="20.453125" style="3422" customWidth="1"/>
    <col min="15622" max="15636" width="7.54296875" style="3422" customWidth="1"/>
    <col min="15637" max="15873" width="9.1796875" style="3422"/>
    <col min="15874" max="15874" width="3.7265625" style="3422" customWidth="1"/>
    <col min="15875" max="15875" width="14.453125" style="3422" customWidth="1"/>
    <col min="15876" max="15876" width="3.7265625" style="3422" customWidth="1"/>
    <col min="15877" max="15877" width="20.453125" style="3422" customWidth="1"/>
    <col min="15878" max="15892" width="7.54296875" style="3422" customWidth="1"/>
    <col min="15893" max="16129" width="9.1796875" style="3422"/>
    <col min="16130" max="16130" width="3.7265625" style="3422" customWidth="1"/>
    <col min="16131" max="16131" width="14.453125" style="3422" customWidth="1"/>
    <col min="16132" max="16132" width="3.7265625" style="3422" customWidth="1"/>
    <col min="16133" max="16133" width="20.453125" style="3422" customWidth="1"/>
    <col min="16134" max="16148" width="7.54296875" style="3422" customWidth="1"/>
    <col min="16149" max="16384" width="9.1796875" style="3422"/>
  </cols>
  <sheetData>
    <row r="1" spans="1:30" x14ac:dyDescent="0.35">
      <c r="D1" s="3421"/>
      <c r="E1" s="3421"/>
      <c r="F1" s="3421"/>
      <c r="G1" s="3421"/>
      <c r="H1" s="3421"/>
      <c r="I1" s="3421"/>
      <c r="J1" s="3421"/>
      <c r="K1" s="3421"/>
      <c r="L1" s="3421"/>
      <c r="M1" s="3421"/>
      <c r="N1" s="3421"/>
      <c r="O1" s="3421"/>
      <c r="P1" s="3421"/>
      <c r="Q1" s="3421"/>
      <c r="R1" s="3421"/>
    </row>
    <row r="2" spans="1:30" ht="15" customHeight="1" x14ac:dyDescent="0.35">
      <c r="A2" s="3423">
        <v>1</v>
      </c>
      <c r="B2" s="3423" t="s">
        <v>0</v>
      </c>
      <c r="C2" s="3423">
        <v>63</v>
      </c>
      <c r="D2" s="4651" t="s">
        <v>1428</v>
      </c>
      <c r="E2" s="4652"/>
      <c r="F2" s="4652"/>
      <c r="G2" s="4652"/>
      <c r="H2" s="4652"/>
      <c r="I2" s="4652"/>
      <c r="J2" s="4652"/>
      <c r="K2" s="4652"/>
      <c r="L2" s="4652"/>
      <c r="M2" s="4652"/>
      <c r="N2" s="4652"/>
      <c r="O2" s="4652"/>
      <c r="P2" s="4652"/>
      <c r="Q2" s="4652"/>
      <c r="R2" s="4652"/>
      <c r="S2" s="4652"/>
      <c r="T2" s="4652"/>
      <c r="U2" s="4652"/>
      <c r="V2" s="4652"/>
      <c r="W2" s="4652"/>
      <c r="X2" s="4652"/>
      <c r="Y2" s="4652"/>
      <c r="Z2" s="4652"/>
      <c r="AA2" s="4652"/>
      <c r="AB2" s="4652"/>
      <c r="AC2" s="4653"/>
    </row>
    <row r="3" spans="1:30" ht="15" customHeight="1" x14ac:dyDescent="0.35">
      <c r="A3" s="3423">
        <v>2</v>
      </c>
      <c r="B3" s="3423" t="s">
        <v>2</v>
      </c>
      <c r="C3" s="3423"/>
      <c r="D3" s="4651" t="s">
        <v>1391</v>
      </c>
      <c r="E3" s="4652"/>
      <c r="F3" s="4652"/>
      <c r="G3" s="4652"/>
      <c r="H3" s="4652"/>
      <c r="I3" s="4652"/>
      <c r="J3" s="4652"/>
      <c r="K3" s="4652"/>
      <c r="L3" s="4652"/>
      <c r="M3" s="4652"/>
      <c r="N3" s="4652"/>
      <c r="O3" s="4652"/>
      <c r="P3" s="4652"/>
      <c r="Q3" s="4652"/>
      <c r="R3" s="4652"/>
      <c r="S3" s="4652"/>
      <c r="T3" s="4652"/>
      <c r="U3" s="4652"/>
      <c r="V3" s="4652"/>
      <c r="W3" s="4652"/>
      <c r="X3" s="4652"/>
      <c r="Y3" s="4652"/>
      <c r="Z3" s="4652"/>
      <c r="AA3" s="4652"/>
      <c r="AB3" s="4652"/>
      <c r="AC3" s="4653"/>
    </row>
    <row r="4" spans="1:30" ht="15" customHeight="1" x14ac:dyDescent="0.35">
      <c r="A4" s="3423">
        <v>3</v>
      </c>
      <c r="B4" s="3423" t="s">
        <v>4</v>
      </c>
      <c r="C4" s="3423"/>
      <c r="D4" s="4651" t="s">
        <v>1429</v>
      </c>
      <c r="E4" s="4652"/>
      <c r="F4" s="4652"/>
      <c r="G4" s="4652"/>
      <c r="H4" s="4652"/>
      <c r="I4" s="4652"/>
      <c r="J4" s="4652"/>
      <c r="K4" s="4652"/>
      <c r="L4" s="4652"/>
      <c r="M4" s="4652"/>
      <c r="N4" s="4652"/>
      <c r="O4" s="4652"/>
      <c r="P4" s="4652"/>
      <c r="Q4" s="4652"/>
      <c r="R4" s="4652"/>
      <c r="S4" s="4652"/>
      <c r="T4" s="4652"/>
      <c r="U4" s="4652"/>
      <c r="V4" s="4652"/>
      <c r="W4" s="4652"/>
      <c r="X4" s="4652"/>
      <c r="Y4" s="4652"/>
      <c r="Z4" s="4652"/>
      <c r="AA4" s="4652"/>
      <c r="AB4" s="4652"/>
      <c r="AC4" s="4653"/>
    </row>
    <row r="5" spans="1:30" ht="15" customHeight="1" x14ac:dyDescent="0.35">
      <c r="B5" s="3423"/>
      <c r="C5" s="3423"/>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row>
    <row r="6" spans="1:30" x14ac:dyDescent="0.35">
      <c r="A6" s="3423">
        <v>4</v>
      </c>
      <c r="B6" s="1192" t="s">
        <v>6</v>
      </c>
      <c r="C6" s="1192"/>
      <c r="D6" s="140"/>
      <c r="E6" s="140"/>
      <c r="F6" s="140"/>
      <c r="G6" s="140"/>
      <c r="H6" s="140"/>
      <c r="I6" s="140"/>
      <c r="J6" s="140"/>
      <c r="K6" s="140"/>
      <c r="L6" s="140"/>
      <c r="M6" s="140"/>
      <c r="N6" s="140"/>
      <c r="O6" s="140"/>
      <c r="P6" s="140"/>
      <c r="Q6" s="326"/>
      <c r="R6" s="326"/>
    </row>
    <row r="7" spans="1:30" x14ac:dyDescent="0.35">
      <c r="D7" s="3596" t="s">
        <v>74</v>
      </c>
      <c r="E7" s="3596" t="s">
        <v>1430</v>
      </c>
      <c r="F7" s="3502"/>
      <c r="G7" s="2040"/>
      <c r="H7" s="2040"/>
      <c r="I7" s="2040"/>
      <c r="J7" s="2040"/>
      <c r="K7" s="2040"/>
      <c r="L7" s="2040"/>
      <c r="M7" s="2040"/>
      <c r="N7" s="2040"/>
      <c r="O7" s="2040"/>
      <c r="P7" s="2040"/>
      <c r="Q7" s="330"/>
      <c r="R7" s="330"/>
    </row>
    <row r="8" spans="1:30" ht="17.25" customHeight="1" x14ac:dyDescent="0.35">
      <c r="D8" s="3597"/>
      <c r="E8" s="3598">
        <v>1994</v>
      </c>
      <c r="F8" s="3598" t="s">
        <v>103</v>
      </c>
      <c r="G8" s="3598" t="s">
        <v>104</v>
      </c>
      <c r="H8" s="3598" t="s">
        <v>105</v>
      </c>
      <c r="I8" s="3598" t="s">
        <v>106</v>
      </c>
      <c r="J8" s="3599" t="s">
        <v>107</v>
      </c>
      <c r="K8" s="3599" t="s">
        <v>108</v>
      </c>
      <c r="L8" s="3598" t="s">
        <v>109</v>
      </c>
      <c r="M8" s="3600" t="s">
        <v>110</v>
      </c>
      <c r="N8" s="3599" t="s">
        <v>111</v>
      </c>
      <c r="O8" s="3600" t="s">
        <v>112</v>
      </c>
      <c r="P8" s="3600" t="s">
        <v>113</v>
      </c>
      <c r="Q8" s="3600" t="s">
        <v>114</v>
      </c>
      <c r="R8" s="3600" t="s">
        <v>115</v>
      </c>
      <c r="S8" s="3600" t="s">
        <v>116</v>
      </c>
      <c r="T8" s="3600" t="s">
        <v>117</v>
      </c>
      <c r="U8" s="4408" t="s">
        <v>118</v>
      </c>
      <c r="V8" s="4408" t="s">
        <v>119</v>
      </c>
      <c r="W8" s="4408" t="s">
        <v>120</v>
      </c>
      <c r="X8" s="4408" t="s">
        <v>121</v>
      </c>
      <c r="Y8" s="4408" t="s">
        <v>122</v>
      </c>
      <c r="Z8" s="4408" t="s">
        <v>123</v>
      </c>
      <c r="AA8" s="4408" t="s">
        <v>124</v>
      </c>
      <c r="AB8" s="4408" t="s">
        <v>125</v>
      </c>
      <c r="AC8" s="4408" t="s">
        <v>126</v>
      </c>
      <c r="AD8" s="4408" t="s">
        <v>302</v>
      </c>
    </row>
    <row r="9" spans="1:30" x14ac:dyDescent="0.35">
      <c r="D9" s="1270" t="s">
        <v>1431</v>
      </c>
      <c r="E9" s="3601">
        <v>596.21430780331923</v>
      </c>
      <c r="F9" s="3601">
        <v>628.89231391176918</v>
      </c>
      <c r="G9" s="3601">
        <v>602.86707629217369</v>
      </c>
      <c r="H9" s="3601">
        <v>611.10328410415855</v>
      </c>
      <c r="I9" s="3601">
        <v>652.69813297770997</v>
      </c>
      <c r="J9" s="3601">
        <v>673.38443050540798</v>
      </c>
      <c r="K9" s="3601">
        <v>693.96165550653086</v>
      </c>
      <c r="L9" s="3601">
        <v>675.27554464906098</v>
      </c>
      <c r="M9" s="3601">
        <v>703.98700093406148</v>
      </c>
      <c r="N9" s="3601">
        <v>645.23084848061387</v>
      </c>
      <c r="O9" s="3601">
        <v>592.79999999999995</v>
      </c>
      <c r="P9" s="3601">
        <v>559.9</v>
      </c>
      <c r="Q9" s="3601">
        <v>526.79999999999995</v>
      </c>
      <c r="R9" s="3601">
        <v>497.1</v>
      </c>
      <c r="S9" s="3601">
        <v>506.5</v>
      </c>
      <c r="T9" s="3601">
        <v>520.20000000000005</v>
      </c>
      <c r="U9" s="3652">
        <f>(246612/51029719.02)*100000</f>
        <v>483.27132646633959</v>
      </c>
      <c r="V9" s="3652">
        <f>(244667/51759547.67)*100000</f>
        <v>472.69926228858793</v>
      </c>
      <c r="W9" s="3652">
        <f>(261319/52517864.18)*100000</f>
        <v>497.58116420034503</v>
      </c>
      <c r="X9" s="3652">
        <f>(259784/53304520.02)*100000</f>
        <v>487.35829513618796</v>
      </c>
      <c r="Y9" s="3652">
        <f>(253716/54120306.16)*100000</f>
        <v>468.80000872485829</v>
      </c>
      <c r="Z9" s="3652">
        <f>(250606/54965281.74)*100000</f>
        <v>455.93507768309314</v>
      </c>
      <c r="AA9" s="4409">
        <f>(246654/55843010.66)*100000</f>
        <v>441.69180186532594</v>
      </c>
      <c r="AB9" s="3652">
        <f>(228094/56753326.89)*100000</f>
        <v>401.90419222840382</v>
      </c>
      <c r="AC9" s="3652">
        <f>(220865/57698414.32)*100000</f>
        <v>382.79214880163795</v>
      </c>
      <c r="AD9" s="3652">
        <f>(205959/58678234.75)*100000</f>
        <v>350.99726649496728</v>
      </c>
    </row>
    <row r="10" spans="1:30" x14ac:dyDescent="0.35">
      <c r="D10" s="1270" t="s">
        <v>1432</v>
      </c>
      <c r="E10" s="3601">
        <v>225.74992268838264</v>
      </c>
      <c r="F10" s="3601">
        <v>220.7716408105513</v>
      </c>
      <c r="G10" s="3601">
        <v>214.74945047347111</v>
      </c>
      <c r="H10" s="3601">
        <v>219.33054799844541</v>
      </c>
      <c r="I10" s="3601">
        <v>224.50228614974282</v>
      </c>
      <c r="J10" s="3601">
        <v>216.18510779885509</v>
      </c>
      <c r="K10" s="3601">
        <v>209.32479528369225</v>
      </c>
      <c r="L10" s="3601">
        <v>194.36508587793543</v>
      </c>
      <c r="M10" s="3601">
        <v>162.75013248817814</v>
      </c>
      <c r="N10" s="3601">
        <v>139.33183369458916</v>
      </c>
      <c r="O10" s="3601">
        <v>120.3</v>
      </c>
      <c r="P10" s="3601">
        <v>116</v>
      </c>
      <c r="Q10" s="3601">
        <v>123.3</v>
      </c>
      <c r="R10" s="3601">
        <v>131.69999999999999</v>
      </c>
      <c r="S10" s="3601">
        <v>143.80000000000001</v>
      </c>
      <c r="T10" s="3601">
        <v>145.5</v>
      </c>
      <c r="U10" s="3652">
        <f>(68907/51029719.02)*100000</f>
        <v>135.03307743668623</v>
      </c>
      <c r="V10" s="3652">
        <f>(69902/51759547.67)*100000</f>
        <v>135.05141205187815</v>
      </c>
      <c r="W10" s="3652">
        <f>(73492/52517864.18)*100000</f>
        <v>139.93714547894243</v>
      </c>
      <c r="X10" s="3652">
        <f>(73464/53304520.02)*100000</f>
        <v>137.81945690991327</v>
      </c>
      <c r="Y10" s="3652">
        <f>(74358/54120306.16)*100000</f>
        <v>137.39390124691786</v>
      </c>
      <c r="Z10" s="3652">
        <f>(75008/54965281.74)*100000</f>
        <v>136.46432370674864</v>
      </c>
      <c r="AA10" s="4409">
        <f>(75618/55843010.66)*100000</f>
        <v>135.4117536040454</v>
      </c>
      <c r="AB10" s="3652">
        <f>(71195/56753326.89)*100000</f>
        <v>125.44639037283406</v>
      </c>
      <c r="AC10" s="3652">
        <f>(71224/57698414.32)*100000</f>
        <v>123.44186723223626</v>
      </c>
      <c r="AD10" s="3652">
        <f>(69713/58678234.75)*100000</f>
        <v>118.80555080945069</v>
      </c>
    </row>
    <row r="11" spans="1:30" x14ac:dyDescent="0.35">
      <c r="D11" s="1270" t="s">
        <v>1433</v>
      </c>
      <c r="E11" s="3601">
        <v>272.82496649829915</v>
      </c>
      <c r="F11" s="3601">
        <v>249.3026428824094</v>
      </c>
      <c r="G11" s="3601">
        <v>239.83102719910835</v>
      </c>
      <c r="H11" s="3601">
        <v>249.15225417800232</v>
      </c>
      <c r="I11" s="3601">
        <v>255.87730996380265</v>
      </c>
      <c r="J11" s="3601">
        <v>239.32797246045558</v>
      </c>
      <c r="K11" s="3601">
        <v>228.97653531880079</v>
      </c>
      <c r="L11" s="3601">
        <v>216.10771923055933</v>
      </c>
      <c r="M11" s="3601">
        <v>204.89906169680964</v>
      </c>
      <c r="N11" s="3601">
        <v>190.02715730052867</v>
      </c>
      <c r="O11" s="3601">
        <v>180</v>
      </c>
      <c r="P11" s="3601">
        <v>183.3</v>
      </c>
      <c r="Q11" s="3601">
        <v>182.1</v>
      </c>
      <c r="R11" s="3601">
        <v>167.7</v>
      </c>
      <c r="S11" s="3601">
        <v>156</v>
      </c>
      <c r="T11" s="3601">
        <v>145.5</v>
      </c>
      <c r="U11" s="3652">
        <f>(64162/51029719.02)*100000</f>
        <v>125.73457434647656</v>
      </c>
      <c r="V11" s="3652">
        <f>(58800/51759547.67)*100000</f>
        <v>113.60222924451998</v>
      </c>
      <c r="W11" s="3652">
        <f>(58102/52517864.18)*100000</f>
        <v>110.63283114648551</v>
      </c>
      <c r="X11" s="3652">
        <f>(56645/53304520.02)*100000</f>
        <v>106.26678559106553</v>
      </c>
      <c r="Y11" s="3652">
        <f>(55090/54120306.16)*100000</f>
        <v>101.79173753587651</v>
      </c>
      <c r="Z11" s="3652">
        <f>(53809/54965281.74)*100000</f>
        <v>97.896341648043375</v>
      </c>
      <c r="AA11" s="4409">
        <f>(53307/55843010.66)*100000</f>
        <v>95.458678480928455</v>
      </c>
      <c r="AB11" s="3652">
        <f>(50663/56753326.89)*100000</f>
        <v>89.268775552481102</v>
      </c>
      <c r="AC11" s="3652">
        <f>(48324/57698414.32)*100000</f>
        <v>83.752734922646653</v>
      </c>
      <c r="AD11" s="3652">
        <f>(46921/58678234.75)*100000</f>
        <v>79.963209868033729</v>
      </c>
    </row>
    <row r="12" spans="1:30" x14ac:dyDescent="0.35">
      <c r="D12" s="1270" t="s">
        <v>1434</v>
      </c>
      <c r="E12" s="3601">
        <v>472.54664467580665</v>
      </c>
      <c r="F12" s="3601">
        <v>484.69604325635459</v>
      </c>
      <c r="G12" s="3601">
        <v>430.40813582382208</v>
      </c>
      <c r="H12" s="3601">
        <v>435.26768363777688</v>
      </c>
      <c r="I12" s="3601">
        <v>452.53143455896355</v>
      </c>
      <c r="J12" s="3601">
        <v>453.87096812404855</v>
      </c>
      <c r="K12" s="3601">
        <v>459.03351575077238</v>
      </c>
      <c r="L12" s="3601">
        <v>444.62960079811188</v>
      </c>
      <c r="M12" s="3601">
        <v>430.9847915363859</v>
      </c>
      <c r="N12" s="3601">
        <v>370.77113095456895</v>
      </c>
      <c r="O12" s="3601">
        <v>318.8</v>
      </c>
      <c r="P12" s="3601">
        <v>296.60000000000002</v>
      </c>
      <c r="Q12" s="3601">
        <v>261.7</v>
      </c>
      <c r="R12" s="3601">
        <v>233.4</v>
      </c>
      <c r="S12" s="3601">
        <v>225</v>
      </c>
      <c r="T12" s="3601">
        <v>245.1</v>
      </c>
      <c r="U12" s="3652">
        <f>(122334/51029719.02)*100000</f>
        <v>239.73089084040186</v>
      </c>
      <c r="V12" s="3652">
        <f>(129644/51759547.67)*100000</f>
        <v>250.47359537715221</v>
      </c>
      <c r="W12" s="3652">
        <f>(138956/52517864.18)*100000</f>
        <v>264.58806383241608</v>
      </c>
      <c r="X12" s="3652">
        <f>(143801/53304520.02)*100000</f>
        <v>269.77261955655064</v>
      </c>
      <c r="Y12" s="3652">
        <f>(145358/54120306.16)*100000</f>
        <v>268.5831073650379</v>
      </c>
      <c r="Z12" s="3652">
        <f>(139386/54965281.74)*100000</f>
        <v>253.58916681139164</v>
      </c>
      <c r="AA12" s="4409">
        <f>(138172/55843010.66)*100000</f>
        <v>247.42935305057208</v>
      </c>
      <c r="AB12" s="3652">
        <f>(129174/56753326.89)*100000</f>
        <v>227.60604017164781</v>
      </c>
      <c r="AC12" s="3652">
        <f>(125076/57698414.32)*100000</f>
        <v>216.77545470542492</v>
      </c>
      <c r="AD12" s="3652">
        <f>(118213/58678234.75)*100000</f>
        <v>201.45970734063366</v>
      </c>
    </row>
    <row r="13" spans="1:30" s="3595" customFormat="1" ht="13" x14ac:dyDescent="0.3">
      <c r="A13" s="3423"/>
      <c r="B13" s="3603"/>
      <c r="C13" s="3603"/>
      <c r="D13" s="1270" t="s">
        <v>1435</v>
      </c>
      <c r="E13" s="3601">
        <v>121.86114833522318</v>
      </c>
      <c r="F13" s="3601">
        <v>109.73015311536712</v>
      </c>
      <c r="G13" s="3601">
        <v>103.47043617869724</v>
      </c>
      <c r="H13" s="3601">
        <v>100.983773804897</v>
      </c>
      <c r="I13" s="3601">
        <v>98.80929700895409</v>
      </c>
      <c r="J13" s="3601">
        <v>96.22498394876034</v>
      </c>
      <c r="K13" s="3601">
        <v>95.079169959029386</v>
      </c>
      <c r="L13" s="3601">
        <v>92.894257530682111</v>
      </c>
      <c r="M13" s="3601">
        <v>102.69923872319238</v>
      </c>
      <c r="N13" s="3601">
        <v>88.979293692874379</v>
      </c>
      <c r="O13" s="3601">
        <v>70.099999999999994</v>
      </c>
      <c r="P13" s="3601">
        <v>61.3</v>
      </c>
      <c r="Q13" s="3601">
        <v>60.8</v>
      </c>
      <c r="R13" s="3601">
        <v>60.1</v>
      </c>
      <c r="S13" s="3601">
        <v>61.7</v>
      </c>
      <c r="T13" s="3604">
        <v>65.7</v>
      </c>
      <c r="U13" s="4410">
        <f>(26942/51029719.02)*100000</f>
        <v>52.796684985548637</v>
      </c>
      <c r="V13" s="4410">
        <f>(27611/51759547.67)*100000</f>
        <v>53.344747477388452</v>
      </c>
      <c r="W13" s="4410">
        <f>(26465/52517864.18)*100000</f>
        <v>50.392376790673971</v>
      </c>
      <c r="X13" s="4410">
        <f>(24534/53304520.02)*100000</f>
        <v>46.026115591688615</v>
      </c>
      <c r="Y13" s="4410">
        <f>(24965/54120306.16)*100000</f>
        <v>46.128711700547413</v>
      </c>
      <c r="Z13" s="4410">
        <f>(24715/54965281.74)*100000</f>
        <v>44.964747232459104</v>
      </c>
      <c r="AA13" s="4411">
        <f>(26902/55843010.66)*100000</f>
        <v>48.17433673802573</v>
      </c>
      <c r="AB13" s="4410">
        <f>(28849/56753326.89)*100000</f>
        <v>50.832262319908551</v>
      </c>
      <c r="AC13" s="4410">
        <f>(29672/57698414.32)*100000</f>
        <v>51.426023313980046</v>
      </c>
      <c r="AD13" s="4410">
        <f>(28418/58678234.75)*100000</f>
        <v>48.43022309903418</v>
      </c>
    </row>
    <row r="14" spans="1:30" s="3595" customFormat="1" ht="13" x14ac:dyDescent="0.3">
      <c r="A14" s="3423"/>
      <c r="B14" s="3603"/>
      <c r="C14" s="3603"/>
      <c r="D14" s="3175" t="s">
        <v>232</v>
      </c>
      <c r="E14" s="3605">
        <v>1689.1</v>
      </c>
      <c r="F14" s="3605">
        <v>1693.4</v>
      </c>
      <c r="G14" s="3605">
        <v>1591.3</v>
      </c>
      <c r="H14" s="3605">
        <v>1615.9</v>
      </c>
      <c r="I14" s="3605">
        <v>1684.8</v>
      </c>
      <c r="J14" s="3605">
        <v>1679</v>
      </c>
      <c r="K14" s="3605">
        <v>1686.4</v>
      </c>
      <c r="L14" s="3605">
        <v>1623.3</v>
      </c>
      <c r="M14" s="3605">
        <v>1605.4</v>
      </c>
      <c r="N14" s="3605">
        <v>1434.3</v>
      </c>
      <c r="O14" s="3605">
        <f t="shared" ref="O14:T14" si="0">SUM(O9:O13)</f>
        <v>1281.9999999999998</v>
      </c>
      <c r="P14" s="3605">
        <f t="shared" si="0"/>
        <v>1217.1000000000001</v>
      </c>
      <c r="Q14" s="3605">
        <f t="shared" si="0"/>
        <v>1154.6999999999998</v>
      </c>
      <c r="R14" s="3605">
        <f t="shared" si="0"/>
        <v>1090</v>
      </c>
      <c r="S14" s="3605">
        <f t="shared" si="0"/>
        <v>1093</v>
      </c>
      <c r="T14" s="3606">
        <f t="shared" si="0"/>
        <v>1122</v>
      </c>
      <c r="U14" s="4412">
        <f>(528957/51029719.02)*100000</f>
        <v>1036.566554075453</v>
      </c>
      <c r="V14" s="4412">
        <f>(530624/51759547.67)*100000</f>
        <v>1025.1712464395266</v>
      </c>
      <c r="W14" s="4412">
        <f>(558228/52517864.18)*100000</f>
        <v>1062.9297453657416</v>
      </c>
      <c r="X14" s="4412">
        <f>(558338/53304520.02)*100000</f>
        <v>1047.4496342721218</v>
      </c>
      <c r="Y14" s="4412">
        <f>(553487/54120306.16)*100000</f>
        <v>1022.6974665732379</v>
      </c>
      <c r="Z14" s="4412">
        <f>(543524/54965281.74)*100000</f>
        <v>988.84965708173593</v>
      </c>
      <c r="AA14" s="4413">
        <f>(540653/55843010.66)*100000</f>
        <v>968.1659237388975</v>
      </c>
      <c r="AB14" s="4412">
        <f>(507975/56753326.89)*100000</f>
        <v>895.05766064527529</v>
      </c>
      <c r="AC14" s="4412">
        <f>(495161/57698414.32)*100000</f>
        <v>858.18822897592588</v>
      </c>
      <c r="AD14" s="4412">
        <f>(469224/58678234.75)*100000</f>
        <v>799.65595761211966</v>
      </c>
    </row>
    <row r="15" spans="1:30" x14ac:dyDescent="0.35">
      <c r="B15" s="2023"/>
      <c r="C15" s="2023"/>
      <c r="D15" s="2040"/>
      <c r="E15" s="5027"/>
      <c r="F15" s="5027"/>
      <c r="G15" s="5027"/>
      <c r="H15" s="5027"/>
      <c r="I15" s="5027"/>
      <c r="J15" s="5027"/>
      <c r="K15" s="5027"/>
      <c r="L15" s="109"/>
      <c r="M15" s="109"/>
      <c r="N15" s="109"/>
      <c r="O15" s="586"/>
      <c r="P15" s="586"/>
      <c r="Q15" s="586"/>
      <c r="R15" s="586"/>
      <c r="S15" s="586"/>
      <c r="T15" s="586"/>
      <c r="U15" s="586"/>
      <c r="V15" s="586"/>
    </row>
    <row r="16" spans="1:30" x14ac:dyDescent="0.35">
      <c r="A16" s="3423">
        <v>5</v>
      </c>
      <c r="B16" s="3423" t="s">
        <v>56</v>
      </c>
      <c r="C16" s="3423"/>
      <c r="D16" s="2078"/>
      <c r="E16" s="109"/>
      <c r="F16" s="109"/>
      <c r="G16" s="109"/>
      <c r="H16" s="109"/>
      <c r="I16" s="109"/>
      <c r="J16" s="109"/>
      <c r="K16" s="109"/>
      <c r="L16" s="109"/>
      <c r="M16" s="109"/>
      <c r="N16" s="109"/>
      <c r="O16" s="109"/>
      <c r="P16" s="109"/>
      <c r="Q16" s="330"/>
      <c r="R16" s="330"/>
    </row>
    <row r="17" spans="2:29" x14ac:dyDescent="0.35">
      <c r="D17" s="2078"/>
      <c r="E17" s="109"/>
      <c r="F17" s="109"/>
      <c r="G17" s="109"/>
      <c r="H17" s="109"/>
      <c r="I17" s="109"/>
      <c r="J17" s="109"/>
      <c r="K17" s="109"/>
      <c r="L17" s="109"/>
      <c r="M17" s="109"/>
      <c r="N17" s="109"/>
      <c r="O17" s="109"/>
      <c r="P17" s="109"/>
      <c r="Q17" s="330"/>
      <c r="R17" s="330"/>
      <c r="AC17" s="3607"/>
    </row>
    <row r="18" spans="2:29" x14ac:dyDescent="0.35">
      <c r="D18" s="2078"/>
      <c r="E18" s="109"/>
      <c r="F18" s="109"/>
      <c r="G18" s="109"/>
      <c r="H18" s="109"/>
      <c r="I18" s="109"/>
      <c r="J18" s="109"/>
      <c r="K18" s="109"/>
      <c r="L18" s="109"/>
      <c r="M18" s="109"/>
      <c r="N18" s="109"/>
      <c r="O18" s="109"/>
      <c r="P18" s="109"/>
      <c r="Q18" s="330"/>
      <c r="R18" s="330"/>
    </row>
    <row r="19" spans="2:29" x14ac:dyDescent="0.35">
      <c r="D19" s="2078"/>
      <c r="E19" s="109"/>
      <c r="F19" s="109"/>
      <c r="G19" s="109"/>
      <c r="H19" s="109"/>
      <c r="I19" s="109"/>
      <c r="J19" s="109"/>
      <c r="K19" s="109"/>
      <c r="L19" s="109"/>
      <c r="M19" s="109"/>
      <c r="N19" s="109"/>
      <c r="O19" s="109"/>
      <c r="P19" s="109"/>
      <c r="Q19" s="330"/>
      <c r="R19" s="330"/>
    </row>
    <row r="20" spans="2:29" x14ac:dyDescent="0.35">
      <c r="D20" s="2078"/>
      <c r="E20" s="109"/>
      <c r="F20" s="109"/>
      <c r="G20" s="109"/>
      <c r="H20" s="109"/>
      <c r="I20" s="109"/>
      <c r="J20" s="109"/>
      <c r="K20" s="109"/>
      <c r="L20" s="109"/>
      <c r="M20" s="109"/>
      <c r="N20" s="109"/>
      <c r="O20" s="109"/>
      <c r="P20" s="109"/>
      <c r="Q20" s="330"/>
      <c r="R20" s="330"/>
    </row>
    <row r="21" spans="2:29" x14ac:dyDescent="0.35">
      <c r="D21" s="2078"/>
      <c r="E21" s="2078"/>
      <c r="F21" s="2078"/>
      <c r="G21" s="2078"/>
      <c r="H21" s="2078"/>
      <c r="I21" s="2078"/>
      <c r="J21" s="2078"/>
      <c r="K21" s="2078"/>
      <c r="L21" s="2078"/>
      <c r="M21" s="2078"/>
      <c r="N21" s="2078"/>
      <c r="O21" s="2078"/>
      <c r="P21" s="2078"/>
      <c r="Q21" s="3421"/>
      <c r="R21" s="3421"/>
    </row>
    <row r="22" spans="2:29" x14ac:dyDescent="0.35">
      <c r="B22" s="3608"/>
      <c r="C22" s="3608"/>
      <c r="D22" s="2078"/>
      <c r="E22" s="2078"/>
      <c r="F22" s="2078"/>
      <c r="G22" s="2078"/>
      <c r="H22" s="2078"/>
      <c r="I22" s="2078"/>
      <c r="J22" s="327"/>
      <c r="K22" s="2078"/>
      <c r="L22" s="2078"/>
      <c r="M22" s="2078"/>
      <c r="N22" s="2078"/>
      <c r="O22" s="2078"/>
      <c r="P22" s="2078"/>
      <c r="Q22" s="3421"/>
      <c r="R22" s="3421"/>
    </row>
    <row r="23" spans="2:29" x14ac:dyDescent="0.35">
      <c r="B23" s="3608"/>
      <c r="C23" s="3608"/>
      <c r="D23" s="2078"/>
      <c r="E23" s="2078"/>
      <c r="F23" s="2078"/>
      <c r="G23" s="2078"/>
      <c r="H23" s="2078"/>
      <c r="I23" s="2078"/>
      <c r="J23" s="327"/>
      <c r="K23" s="2078"/>
      <c r="L23" s="2078"/>
      <c r="M23" s="2078"/>
      <c r="N23" s="2078"/>
      <c r="O23" s="2078"/>
      <c r="P23" s="2078"/>
      <c r="Q23" s="3421"/>
      <c r="R23" s="3421"/>
    </row>
    <row r="24" spans="2:29" x14ac:dyDescent="0.35">
      <c r="D24" s="2078"/>
      <c r="E24" s="2078"/>
      <c r="F24" s="2078"/>
      <c r="G24" s="2078"/>
      <c r="H24" s="2078"/>
      <c r="I24" s="2078"/>
      <c r="J24" s="2078"/>
      <c r="K24" s="2078"/>
      <c r="L24" s="2078"/>
      <c r="M24" s="2078"/>
      <c r="N24" s="2078"/>
      <c r="O24" s="2078"/>
      <c r="P24" s="2078"/>
      <c r="Q24" s="3421"/>
      <c r="R24" s="3421"/>
    </row>
    <row r="25" spans="2:29" x14ac:dyDescent="0.35">
      <c r="D25" s="2078"/>
      <c r="E25" s="2078"/>
      <c r="F25" s="2078"/>
      <c r="G25" s="2078"/>
      <c r="H25" s="2078"/>
      <c r="I25" s="2078"/>
      <c r="J25" s="2078"/>
      <c r="K25" s="2078"/>
      <c r="L25" s="2078"/>
      <c r="M25" s="2078"/>
      <c r="N25" s="2078"/>
      <c r="O25" s="2078"/>
      <c r="P25" s="2078"/>
      <c r="Q25" s="3421"/>
      <c r="R25" s="3421"/>
    </row>
    <row r="26" spans="2:29" x14ac:dyDescent="0.35">
      <c r="D26" s="2078"/>
      <c r="E26" s="2078"/>
      <c r="F26" s="2078"/>
      <c r="G26" s="2078"/>
      <c r="H26" s="2078"/>
      <c r="I26" s="2078"/>
      <c r="J26" s="2078"/>
      <c r="K26" s="2078"/>
      <c r="L26" s="2078"/>
      <c r="M26" s="2078"/>
      <c r="N26" s="2078"/>
      <c r="O26" s="2078"/>
      <c r="P26" s="2078"/>
      <c r="Q26" s="3421"/>
      <c r="R26" s="3421"/>
    </row>
    <row r="27" spans="2:29" x14ac:dyDescent="0.35">
      <c r="D27" s="2078"/>
      <c r="E27" s="2078"/>
      <c r="F27" s="2078"/>
      <c r="G27" s="2078"/>
      <c r="H27" s="2078"/>
      <c r="I27" s="2078"/>
      <c r="J27" s="2078"/>
      <c r="K27" s="2078"/>
      <c r="L27" s="2078"/>
      <c r="M27" s="2078"/>
      <c r="N27" s="2078"/>
      <c r="O27" s="2078"/>
      <c r="P27" s="2078"/>
      <c r="Q27" s="3421"/>
      <c r="R27" s="3421"/>
    </row>
    <row r="28" spans="2:29" x14ac:dyDescent="0.35">
      <c r="D28" s="2078"/>
      <c r="E28" s="2078"/>
      <c r="F28" s="2078"/>
      <c r="G28" s="2078"/>
      <c r="H28" s="2078"/>
      <c r="I28" s="2078"/>
      <c r="J28" s="2078"/>
      <c r="K28" s="2078"/>
      <c r="L28" s="2078"/>
      <c r="M28" s="2078"/>
      <c r="N28" s="2078"/>
      <c r="O28" s="2078"/>
      <c r="P28" s="2078"/>
      <c r="Q28" s="3421"/>
      <c r="R28" s="3421"/>
    </row>
    <row r="29" spans="2:29" x14ac:dyDescent="0.35">
      <c r="D29" s="2078"/>
      <c r="E29" s="2078"/>
      <c r="F29" s="2078"/>
      <c r="G29" s="2078"/>
      <c r="H29" s="2078"/>
      <c r="I29" s="2078"/>
      <c r="J29" s="2078"/>
      <c r="K29" s="2078"/>
      <c r="L29" s="2078"/>
      <c r="M29" s="2078"/>
      <c r="N29" s="2078"/>
      <c r="O29" s="2078"/>
      <c r="P29" s="2078"/>
      <c r="Q29" s="3421"/>
      <c r="R29" s="3421"/>
    </row>
    <row r="30" spans="2:29" ht="35.25" customHeight="1" x14ac:dyDescent="0.35">
      <c r="D30" s="2078"/>
      <c r="E30" s="2078"/>
      <c r="F30" s="2078"/>
      <c r="G30" s="2078"/>
      <c r="H30" s="2078"/>
      <c r="I30" s="2078"/>
      <c r="J30" s="2078"/>
      <c r="K30" s="2078"/>
      <c r="L30" s="2078"/>
      <c r="M30" s="2078"/>
      <c r="N30" s="2078"/>
      <c r="O30" s="2078"/>
      <c r="P30" s="2078"/>
      <c r="Q30" s="3421"/>
      <c r="R30" s="3421"/>
    </row>
    <row r="31" spans="2:29" ht="17.25" customHeight="1" x14ac:dyDescent="0.35">
      <c r="D31" s="2078"/>
      <c r="E31" s="2078"/>
      <c r="F31" s="2078"/>
      <c r="G31" s="2078"/>
      <c r="H31" s="2078"/>
      <c r="I31" s="2078"/>
      <c r="J31" s="2078"/>
      <c r="K31" s="2078"/>
      <c r="L31" s="2078"/>
      <c r="M31" s="2078"/>
      <c r="N31" s="2078"/>
      <c r="O31" s="2078"/>
      <c r="P31" s="2078"/>
      <c r="Q31" s="3421"/>
      <c r="R31" s="3421"/>
    </row>
    <row r="32" spans="2:29" ht="22.5" customHeight="1" x14ac:dyDescent="0.35">
      <c r="D32" s="2078"/>
      <c r="E32" s="2078"/>
      <c r="F32" s="2078"/>
      <c r="G32" s="2078"/>
      <c r="H32" s="2078"/>
      <c r="I32" s="2078"/>
      <c r="J32" s="2078"/>
      <c r="K32" s="2078"/>
      <c r="L32" s="2078"/>
      <c r="M32" s="2078"/>
      <c r="N32" s="2078"/>
      <c r="O32" s="2078"/>
      <c r="P32" s="2078"/>
      <c r="Q32" s="3421"/>
      <c r="R32" s="3421"/>
    </row>
    <row r="33" spans="1:30" ht="25.5" customHeight="1" x14ac:dyDescent="0.35">
      <c r="A33" s="3423">
        <v>6</v>
      </c>
      <c r="B33" s="3511" t="s">
        <v>1436</v>
      </c>
      <c r="C33" s="3511"/>
      <c r="D33" s="4651" t="s">
        <v>1437</v>
      </c>
      <c r="E33" s="4652"/>
      <c r="F33" s="4652"/>
      <c r="G33" s="4652"/>
      <c r="H33" s="4652"/>
      <c r="I33" s="4652"/>
      <c r="J33" s="4652"/>
      <c r="K33" s="4652"/>
      <c r="L33" s="4652"/>
      <c r="M33" s="4652"/>
      <c r="N33" s="4652"/>
      <c r="O33" s="4652"/>
      <c r="P33" s="4652"/>
      <c r="Q33" s="4652"/>
      <c r="R33" s="4652"/>
      <c r="S33" s="4652"/>
      <c r="T33" s="4652"/>
      <c r="U33" s="4652"/>
      <c r="V33" s="4652"/>
      <c r="W33" s="4652"/>
      <c r="X33" s="4652"/>
      <c r="Y33" s="4652"/>
      <c r="Z33" s="4652"/>
      <c r="AA33" s="4652"/>
      <c r="AB33" s="4652"/>
      <c r="AC33" s="4653"/>
    </row>
    <row r="34" spans="1:30" ht="21.75" customHeight="1" x14ac:dyDescent="0.35">
      <c r="A34" s="3423">
        <v>7</v>
      </c>
      <c r="B34" s="3511" t="s">
        <v>60</v>
      </c>
      <c r="C34" s="3511"/>
      <c r="D34" s="4651" t="s">
        <v>1438</v>
      </c>
      <c r="E34" s="4652"/>
      <c r="F34" s="4652"/>
      <c r="G34" s="4652"/>
      <c r="H34" s="4652"/>
      <c r="I34" s="4652"/>
      <c r="J34" s="4652"/>
      <c r="K34" s="4652"/>
      <c r="L34" s="4652"/>
      <c r="M34" s="4652"/>
      <c r="N34" s="4652"/>
      <c r="O34" s="4652"/>
      <c r="P34" s="4652"/>
      <c r="Q34" s="4652"/>
      <c r="R34" s="4652"/>
      <c r="S34" s="4652"/>
      <c r="T34" s="4652"/>
      <c r="U34" s="4652"/>
      <c r="V34" s="4652"/>
      <c r="W34" s="4652"/>
      <c r="X34" s="4652"/>
      <c r="Y34" s="4652"/>
      <c r="Z34" s="4652"/>
      <c r="AA34" s="4652"/>
      <c r="AB34" s="4652"/>
      <c r="AC34" s="4653"/>
    </row>
    <row r="35" spans="1:30" ht="24.75" customHeight="1" x14ac:dyDescent="0.35">
      <c r="A35" s="3423">
        <v>8</v>
      </c>
      <c r="B35" s="3511" t="s">
        <v>62</v>
      </c>
      <c r="C35" s="3423"/>
      <c r="D35" s="4651" t="s">
        <v>1439</v>
      </c>
      <c r="E35" s="4652"/>
      <c r="F35" s="4652"/>
      <c r="G35" s="4652"/>
      <c r="H35" s="4652"/>
      <c r="I35" s="4652"/>
      <c r="J35" s="4652"/>
      <c r="K35" s="4652"/>
      <c r="L35" s="4652"/>
      <c r="M35" s="4652"/>
      <c r="N35" s="4652"/>
      <c r="O35" s="4652"/>
      <c r="P35" s="4652"/>
      <c r="Q35" s="4652"/>
      <c r="R35" s="4652"/>
      <c r="S35" s="4652"/>
      <c r="T35" s="4652"/>
      <c r="U35" s="4652"/>
      <c r="V35" s="4652"/>
      <c r="W35" s="4652"/>
      <c r="X35" s="4652"/>
      <c r="Y35" s="4652"/>
      <c r="Z35" s="4652"/>
      <c r="AA35" s="4652"/>
      <c r="AB35" s="4652"/>
      <c r="AC35" s="4653"/>
    </row>
    <row r="36" spans="1:30" ht="27" customHeight="1" x14ac:dyDescent="0.35">
      <c r="A36" s="3423">
        <v>9</v>
      </c>
      <c r="B36" s="3511" t="s">
        <v>64</v>
      </c>
      <c r="D36" s="4651" t="s">
        <v>1440</v>
      </c>
      <c r="E36" s="4652"/>
      <c r="F36" s="4652"/>
      <c r="G36" s="4652"/>
      <c r="H36" s="4652"/>
      <c r="I36" s="4652"/>
      <c r="J36" s="4652"/>
      <c r="K36" s="4652"/>
      <c r="L36" s="4652"/>
      <c r="M36" s="4652"/>
      <c r="N36" s="4652"/>
      <c r="O36" s="4652"/>
      <c r="P36" s="4652"/>
      <c r="Q36" s="4652"/>
      <c r="R36" s="4652"/>
      <c r="S36" s="4652"/>
      <c r="T36" s="4652"/>
      <c r="U36" s="4652"/>
      <c r="V36" s="4652"/>
      <c r="W36" s="4652"/>
      <c r="X36" s="4652"/>
      <c r="Y36" s="4652"/>
      <c r="Z36" s="4652"/>
      <c r="AA36" s="4652"/>
      <c r="AB36" s="4652"/>
      <c r="AC36" s="4653"/>
    </row>
    <row r="39" spans="1:30" x14ac:dyDescent="0.35">
      <c r="D39" s="3596" t="s">
        <v>74</v>
      </c>
      <c r="E39" s="3596" t="s">
        <v>1441</v>
      </c>
      <c r="F39" s="3502"/>
      <c r="G39" s="2040"/>
      <c r="H39" s="2040"/>
      <c r="I39" s="2040"/>
      <c r="J39" s="2040"/>
      <c r="K39" s="2040"/>
      <c r="L39" s="2040"/>
      <c r="M39" s="2040"/>
      <c r="N39" s="2040"/>
      <c r="O39" s="2040"/>
      <c r="P39" s="2040"/>
      <c r="Q39" s="330"/>
      <c r="R39" s="330"/>
    </row>
    <row r="40" spans="1:30" x14ac:dyDescent="0.35">
      <c r="D40" s="3538"/>
      <c r="E40" s="3539">
        <v>1994</v>
      </c>
      <c r="F40" s="3539" t="s">
        <v>103</v>
      </c>
      <c r="G40" s="3539" t="s">
        <v>104</v>
      </c>
      <c r="H40" s="3539" t="s">
        <v>105</v>
      </c>
      <c r="I40" s="3539" t="s">
        <v>106</v>
      </c>
      <c r="J40" s="3540" t="s">
        <v>107</v>
      </c>
      <c r="K40" s="3540" t="s">
        <v>108</v>
      </c>
      <c r="L40" s="3539" t="s">
        <v>109</v>
      </c>
      <c r="M40" s="3541" t="s">
        <v>110</v>
      </c>
      <c r="N40" s="3540" t="s">
        <v>111</v>
      </c>
      <c r="O40" s="3541" t="s">
        <v>112</v>
      </c>
      <c r="P40" s="3541" t="s">
        <v>113</v>
      </c>
      <c r="Q40" s="3541" t="s">
        <v>114</v>
      </c>
      <c r="R40" s="3541" t="s">
        <v>115</v>
      </c>
      <c r="S40" s="3541" t="s">
        <v>116</v>
      </c>
      <c r="T40" s="3541" t="s">
        <v>117</v>
      </c>
      <c r="U40" s="3541" t="s">
        <v>118</v>
      </c>
      <c r="V40" s="3541" t="s">
        <v>119</v>
      </c>
      <c r="W40" s="3541" t="s">
        <v>120</v>
      </c>
      <c r="X40" s="3609" t="s">
        <v>121</v>
      </c>
      <c r="Y40" s="3609" t="s">
        <v>122</v>
      </c>
      <c r="Z40" s="3609" t="s">
        <v>123</v>
      </c>
      <c r="AA40" s="3609" t="s">
        <v>124</v>
      </c>
      <c r="AB40" s="3610" t="s">
        <v>125</v>
      </c>
      <c r="AC40" s="3611" t="s">
        <v>126</v>
      </c>
      <c r="AD40" s="3611" t="s">
        <v>302</v>
      </c>
    </row>
    <row r="41" spans="1:30" x14ac:dyDescent="0.35">
      <c r="D41" s="1270" t="s">
        <v>1431</v>
      </c>
      <c r="E41" s="3601">
        <v>596.21430780331923</v>
      </c>
      <c r="F41" s="3601">
        <v>628.89231391176918</v>
      </c>
      <c r="G41" s="3601">
        <v>602.86707629217369</v>
      </c>
      <c r="H41" s="3601">
        <v>611.10328410415855</v>
      </c>
      <c r="I41" s="3601">
        <v>652.69813297770997</v>
      </c>
      <c r="J41" s="3601">
        <v>673.38443050540798</v>
      </c>
      <c r="K41" s="3601">
        <v>693.96165550653086</v>
      </c>
      <c r="L41" s="3601">
        <v>675.27554464906098</v>
      </c>
      <c r="M41" s="3601">
        <v>703.98700093406148</v>
      </c>
      <c r="N41" s="3601">
        <v>645.23084848061387</v>
      </c>
      <c r="O41" s="3601">
        <v>592.79999999999995</v>
      </c>
      <c r="P41" s="3601">
        <v>559.9</v>
      </c>
      <c r="Q41" s="3601">
        <v>526.79999999999995</v>
      </c>
      <c r="R41" s="3601">
        <v>497.1</v>
      </c>
      <c r="S41" s="3601">
        <v>506.5</v>
      </c>
      <c r="T41" s="3601">
        <v>520.20000000000005</v>
      </c>
      <c r="U41" s="3601">
        <v>495.3</v>
      </c>
      <c r="V41" s="3601">
        <v>485.4</v>
      </c>
      <c r="W41" s="3601">
        <v>501.4</v>
      </c>
      <c r="X41" s="3612">
        <v>491.60100457530933</v>
      </c>
      <c r="Y41" s="3613">
        <v>469.82744365139098</v>
      </c>
      <c r="Z41" s="3614">
        <v>456</v>
      </c>
      <c r="AA41" s="3615">
        <f>(246654/55910000)*100000</f>
        <v>441.16258272223217</v>
      </c>
      <c r="AB41" s="3616">
        <f>(228094/56753327)*100000</f>
        <v>401.90419144942814</v>
      </c>
      <c r="AC41" s="3616">
        <f>(220865/57698414)*100000</f>
        <v>382.79215092463369</v>
      </c>
      <c r="AD41" s="3616">
        <f>AD9</f>
        <v>350.99726649496728</v>
      </c>
    </row>
    <row r="42" spans="1:30" x14ac:dyDescent="0.35">
      <c r="D42" s="1270" t="s">
        <v>1432</v>
      </c>
      <c r="E42" s="3601">
        <v>225.74992268838264</v>
      </c>
      <c r="F42" s="3601">
        <v>220.7716408105513</v>
      </c>
      <c r="G42" s="3601">
        <v>214.74945047347111</v>
      </c>
      <c r="H42" s="3601">
        <v>219.33054799844541</v>
      </c>
      <c r="I42" s="3601">
        <v>224.50228614974282</v>
      </c>
      <c r="J42" s="3601">
        <v>216.18510779885509</v>
      </c>
      <c r="K42" s="3601">
        <v>209.32479528369225</v>
      </c>
      <c r="L42" s="3601">
        <v>194.36508587793543</v>
      </c>
      <c r="M42" s="3601">
        <v>162.75013248817814</v>
      </c>
      <c r="N42" s="3601">
        <v>139.33183369458916</v>
      </c>
      <c r="O42" s="3601">
        <v>120.3</v>
      </c>
      <c r="P42" s="3601">
        <v>116</v>
      </c>
      <c r="Q42" s="3601">
        <v>123.3</v>
      </c>
      <c r="R42" s="3601">
        <v>131.69999999999999</v>
      </c>
      <c r="S42" s="3601">
        <v>143.80000000000001</v>
      </c>
      <c r="T42" s="3601">
        <v>145.5</v>
      </c>
      <c r="U42" s="3601">
        <v>138.19999999999999</v>
      </c>
      <c r="V42" s="3601">
        <v>138.5</v>
      </c>
      <c r="W42" s="3601">
        <v>140.9</v>
      </c>
      <c r="X42" s="3612">
        <v>138.9</v>
      </c>
      <c r="Y42" s="3613">
        <v>137.69501748029299</v>
      </c>
      <c r="Z42" s="3614">
        <v>136.5</v>
      </c>
      <c r="AA42" s="3615">
        <f>(75618/55910000)*100000</f>
        <v>135.24950813807905</v>
      </c>
      <c r="AB42" s="3616">
        <f>(71195/56753327)*100000</f>
        <v>125.4463901296923</v>
      </c>
      <c r="AC42" s="3616">
        <f>(71224/57698414)*100000</f>
        <v>123.4418679168547</v>
      </c>
      <c r="AD42" s="3616">
        <f>AD10</f>
        <v>118.80555080945069</v>
      </c>
    </row>
    <row r="43" spans="1:30" x14ac:dyDescent="0.35">
      <c r="D43" s="1270" t="s">
        <v>1433</v>
      </c>
      <c r="E43" s="3601">
        <v>272.82496649829915</v>
      </c>
      <c r="F43" s="3601">
        <v>249.3026428824094</v>
      </c>
      <c r="G43" s="3601">
        <v>239.83102719910835</v>
      </c>
      <c r="H43" s="3601">
        <v>249.15225417800232</v>
      </c>
      <c r="I43" s="3601">
        <v>255.87730996380265</v>
      </c>
      <c r="J43" s="3601">
        <v>239.32797246045558</v>
      </c>
      <c r="K43" s="3601">
        <v>228.97653531880079</v>
      </c>
      <c r="L43" s="3601">
        <v>216.10771923055933</v>
      </c>
      <c r="M43" s="3601">
        <v>204.89906169680964</v>
      </c>
      <c r="N43" s="3601">
        <v>190.02715730052867</v>
      </c>
      <c r="O43" s="3601">
        <v>180</v>
      </c>
      <c r="P43" s="3601">
        <v>183.3</v>
      </c>
      <c r="Q43" s="3601">
        <v>182.1</v>
      </c>
      <c r="R43" s="3601">
        <v>167.7</v>
      </c>
      <c r="S43" s="3601">
        <v>156</v>
      </c>
      <c r="T43" s="3601">
        <v>145.5</v>
      </c>
      <c r="U43" s="3601">
        <v>129</v>
      </c>
      <c r="V43" s="3601">
        <v>116.8</v>
      </c>
      <c r="W43" s="3601">
        <v>111.7</v>
      </c>
      <c r="X43" s="3612">
        <v>107.3</v>
      </c>
      <c r="Y43" s="3613">
        <v>102.01482709310852</v>
      </c>
      <c r="Z43" s="3614">
        <v>97.9</v>
      </c>
      <c r="AA43" s="3615">
        <f>(53307/55910000)*100000</f>
        <v>95.344303344661057</v>
      </c>
      <c r="AB43" s="3616">
        <f>(50663/56753327)*100000</f>
        <v>89.268775379459242</v>
      </c>
      <c r="AC43" s="3616">
        <f>(48324/57698414)*100000</f>
        <v>83.752735387145989</v>
      </c>
      <c r="AD43" s="3616">
        <f>AD11</f>
        <v>79.963209868033729</v>
      </c>
    </row>
    <row r="44" spans="1:30" x14ac:dyDescent="0.35">
      <c r="D44" s="1270" t="s">
        <v>1442</v>
      </c>
      <c r="E44" s="3601">
        <v>472.54664467580665</v>
      </c>
      <c r="F44" s="3601">
        <v>484.69604325635459</v>
      </c>
      <c r="G44" s="3601">
        <v>430.40813582382208</v>
      </c>
      <c r="H44" s="3601">
        <v>435.26768363777688</v>
      </c>
      <c r="I44" s="3601">
        <v>452.53143455896355</v>
      </c>
      <c r="J44" s="3601">
        <v>453.87096812404855</v>
      </c>
      <c r="K44" s="3601">
        <v>459.03351575077238</v>
      </c>
      <c r="L44" s="3601">
        <v>444.62960079811188</v>
      </c>
      <c r="M44" s="3601">
        <v>430.9847915363859</v>
      </c>
      <c r="N44" s="3601">
        <v>370.77113095456895</v>
      </c>
      <c r="O44" s="3601">
        <v>318.8</v>
      </c>
      <c r="P44" s="3601">
        <v>296.60000000000002</v>
      </c>
      <c r="Q44" s="3601">
        <v>261.7</v>
      </c>
      <c r="R44" s="3601">
        <v>233.4</v>
      </c>
      <c r="S44" s="3601">
        <v>225</v>
      </c>
      <c r="T44" s="3601">
        <v>245.1</v>
      </c>
      <c r="U44" s="3601">
        <v>246.2</v>
      </c>
      <c r="V44" s="3601">
        <v>257.89999999999998</v>
      </c>
      <c r="W44" s="3601">
        <v>267.2</v>
      </c>
      <c r="X44" s="3612">
        <v>271.39999999999998</v>
      </c>
      <c r="Y44" s="3613">
        <v>269.17174145217041</v>
      </c>
      <c r="Z44" s="3614">
        <v>253.6</v>
      </c>
      <c r="AA44" s="3615">
        <f>(138172/55910000)*100000</f>
        <v>247.13289214809515</v>
      </c>
      <c r="AB44" s="3616">
        <f>(129174/56753327)*100000</f>
        <v>227.60603973049896</v>
      </c>
      <c r="AC44" s="3616">
        <f>(125076/57698414)*100000</f>
        <v>216.77545590767883</v>
      </c>
      <c r="AD44" s="3616">
        <f>AD12</f>
        <v>201.45970734063366</v>
      </c>
    </row>
    <row r="45" spans="1:30" x14ac:dyDescent="0.35">
      <c r="D45" s="1270" t="s">
        <v>1435</v>
      </c>
      <c r="E45" s="3601">
        <v>121.86114833522318</v>
      </c>
      <c r="F45" s="3601">
        <v>109.73015311536712</v>
      </c>
      <c r="G45" s="3601">
        <v>103.47043617869724</v>
      </c>
      <c r="H45" s="3601">
        <v>100.983773804897</v>
      </c>
      <c r="I45" s="3601">
        <v>98.80929700895409</v>
      </c>
      <c r="J45" s="3601">
        <v>96.22498394876034</v>
      </c>
      <c r="K45" s="3601">
        <v>95.079169959029386</v>
      </c>
      <c r="L45" s="3601">
        <v>92.894257530682111</v>
      </c>
      <c r="M45" s="3601">
        <v>102.69923872319238</v>
      </c>
      <c r="N45" s="3601">
        <v>88.979293692874379</v>
      </c>
      <c r="O45" s="3601">
        <v>70.099999999999994</v>
      </c>
      <c r="P45" s="3601">
        <v>61.3</v>
      </c>
      <c r="Q45" s="3601">
        <v>60.8</v>
      </c>
      <c r="R45" s="3601">
        <v>60.1</v>
      </c>
      <c r="S45" s="3601">
        <v>61.7</v>
      </c>
      <c r="T45" s="3601">
        <v>65.7</v>
      </c>
      <c r="U45" s="3601">
        <v>60.3</v>
      </c>
      <c r="V45" s="3601">
        <v>61.2</v>
      </c>
      <c r="W45" s="3601">
        <v>57.2</v>
      </c>
      <c r="X45" s="3612">
        <v>52.9</v>
      </c>
      <c r="Y45" s="3613">
        <v>46.229808647294504</v>
      </c>
      <c r="Z45" s="3614">
        <v>45</v>
      </c>
      <c r="AA45" s="3613">
        <f>(26902/55910000)*100000</f>
        <v>48.116615989983899</v>
      </c>
      <c r="AB45" s="3616">
        <f>(28849/56753327)*100000</f>
        <v>50.832262221384831</v>
      </c>
      <c r="AC45" s="3616">
        <f>(29672/57698414)*100000</f>
        <v>51.426023599192867</v>
      </c>
      <c r="AD45" s="3616">
        <f>AD13</f>
        <v>48.43022309903418</v>
      </c>
    </row>
    <row r="46" spans="1:30" s="2051" customFormat="1" ht="12.5" x14ac:dyDescent="0.25">
      <c r="A46" s="2047"/>
      <c r="B46" s="2047"/>
      <c r="C46" s="2047"/>
      <c r="X46" s="3617"/>
      <c r="Y46" s="3617"/>
      <c r="Z46" s="3617"/>
      <c r="AA46" s="3617"/>
      <c r="AB46" s="3617"/>
      <c r="AC46" s="3618"/>
    </row>
    <row r="47" spans="1:30" s="2051" customFormat="1" ht="12.5" x14ac:dyDescent="0.25">
      <c r="A47" s="2047"/>
      <c r="B47" s="2047"/>
      <c r="C47" s="2047"/>
      <c r="G47" s="3619"/>
      <c r="H47" s="3619"/>
      <c r="J47" s="3620"/>
      <c r="K47" s="3619"/>
      <c r="L47" s="3619"/>
      <c r="M47" s="3619"/>
      <c r="X47" s="3617"/>
      <c r="Y47" s="3617"/>
      <c r="Z47" s="3617"/>
      <c r="AA47" s="3617"/>
      <c r="AB47" s="3621"/>
    </row>
    <row r="48" spans="1:30" s="2051" customFormat="1" x14ac:dyDescent="0.35">
      <c r="A48" s="2047"/>
      <c r="B48" s="3622"/>
      <c r="C48" s="3622"/>
      <c r="D48" s="3596" t="s">
        <v>74</v>
      </c>
      <c r="E48" s="3596" t="s">
        <v>1441</v>
      </c>
      <c r="F48" s="3502"/>
      <c r="G48" s="2040"/>
      <c r="H48" s="2040"/>
      <c r="I48" s="2040"/>
      <c r="J48" s="2040"/>
      <c r="K48" s="2040"/>
      <c r="L48" s="2040"/>
      <c r="M48" s="2040"/>
      <c r="N48" s="2040"/>
      <c r="O48" s="2040"/>
      <c r="P48" s="2040"/>
      <c r="Q48" s="330"/>
      <c r="R48" s="330"/>
      <c r="S48" s="3422"/>
      <c r="T48" s="3422"/>
      <c r="U48" s="3422"/>
      <c r="V48" s="3422"/>
      <c r="X48" s="3617"/>
      <c r="Y48" s="3617"/>
      <c r="Z48" s="3617"/>
      <c r="AA48" s="3617"/>
      <c r="AB48" s="3617"/>
    </row>
    <row r="49" spans="1:30" s="2051" customFormat="1" ht="12.5" x14ac:dyDescent="0.25">
      <c r="A49" s="2047"/>
      <c r="B49" s="3622"/>
      <c r="C49" s="3622"/>
      <c r="D49" s="3538"/>
      <c r="E49" s="3539" t="s">
        <v>102</v>
      </c>
      <c r="F49" s="3539" t="s">
        <v>103</v>
      </c>
      <c r="G49" s="3539" t="s">
        <v>104</v>
      </c>
      <c r="H49" s="3539" t="s">
        <v>105</v>
      </c>
      <c r="I49" s="3539" t="s">
        <v>106</v>
      </c>
      <c r="J49" s="3540" t="s">
        <v>107</v>
      </c>
      <c r="K49" s="3540" t="s">
        <v>108</v>
      </c>
      <c r="L49" s="3539" t="s">
        <v>109</v>
      </c>
      <c r="M49" s="3541" t="s">
        <v>110</v>
      </c>
      <c r="N49" s="3540" t="s">
        <v>111</v>
      </c>
      <c r="O49" s="3540" t="s">
        <v>112</v>
      </c>
      <c r="P49" s="3539" t="s">
        <v>113</v>
      </c>
      <c r="Q49" s="3540" t="s">
        <v>114</v>
      </c>
      <c r="R49" s="3540" t="s">
        <v>115</v>
      </c>
      <c r="S49" s="3540" t="s">
        <v>116</v>
      </c>
      <c r="T49" s="3540" t="s">
        <v>117</v>
      </c>
      <c r="U49" s="3540" t="s">
        <v>118</v>
      </c>
      <c r="V49" s="3540" t="s">
        <v>119</v>
      </c>
      <c r="W49" s="3541" t="s">
        <v>120</v>
      </c>
      <c r="X49" s="3609" t="s">
        <v>121</v>
      </c>
      <c r="Y49" s="3609" t="s">
        <v>122</v>
      </c>
      <c r="Z49" s="3609" t="s">
        <v>123</v>
      </c>
      <c r="AA49" s="3609" t="s">
        <v>124</v>
      </c>
      <c r="AB49" s="3610" t="s">
        <v>125</v>
      </c>
      <c r="AC49" s="3611" t="s">
        <v>126</v>
      </c>
      <c r="AD49" s="3611" t="s">
        <v>302</v>
      </c>
    </row>
    <row r="50" spans="1:30" s="2051" customFormat="1" ht="12.5" x14ac:dyDescent="0.25">
      <c r="A50" s="2047"/>
      <c r="B50" s="3622"/>
      <c r="C50" s="3622"/>
      <c r="D50" s="1270" t="s">
        <v>1431</v>
      </c>
      <c r="E50" s="3623">
        <f>E41/E41*100</f>
        <v>100</v>
      </c>
      <c r="F50" s="3624">
        <f>F41/E41*100</f>
        <v>105.48091612038768</v>
      </c>
      <c r="G50" s="3624">
        <f>G41/E41*100</f>
        <v>101.11583509516331</v>
      </c>
      <c r="H50" s="3624">
        <f>H41/E41*100</f>
        <v>102.49725243188075</v>
      </c>
      <c r="I50" s="3624">
        <f>I41/E41*100</f>
        <v>109.47374533538094</v>
      </c>
      <c r="J50" s="3624">
        <f>J41/E41*100</f>
        <v>112.94335303465172</v>
      </c>
      <c r="K50" s="3624">
        <f>K41/E41*100</f>
        <v>116.39466655259416</v>
      </c>
      <c r="L50" s="3624">
        <f>L41/E41*100</f>
        <v>113.26054001237131</v>
      </c>
      <c r="M50" s="3624">
        <f>M41/E41*100</f>
        <v>118.07616686151292</v>
      </c>
      <c r="N50" s="3624">
        <f>N41/E41*100</f>
        <v>108.2212956039063</v>
      </c>
      <c r="O50" s="3624">
        <f>O41/E41*100</f>
        <v>99.427335480106322</v>
      </c>
      <c r="P50" s="3624">
        <f>P41/E41*100</f>
        <v>93.909185450930394</v>
      </c>
      <c r="Q50" s="3624">
        <f>Q41/E41*100</f>
        <v>88.35749043677464</v>
      </c>
      <c r="R50" s="3624">
        <f>R41/E41*100</f>
        <v>83.376060167275398</v>
      </c>
      <c r="S50" s="3624">
        <f>S41/E41*100</f>
        <v>84.952674461325671</v>
      </c>
      <c r="T50" s="3624">
        <f>T41/E41*100</f>
        <v>87.250505932441484</v>
      </c>
      <c r="U50" s="3624">
        <f>U41/E41*100</f>
        <v>83.074155302457271</v>
      </c>
      <c r="V50" s="3624">
        <f>V41/E41*100</f>
        <v>81.413678545957509</v>
      </c>
      <c r="W50" s="3624">
        <f>W41/E41*100</f>
        <v>84.097277344340952</v>
      </c>
      <c r="X50" s="3625">
        <f>X41/E41*100</f>
        <v>82.453741572649406</v>
      </c>
      <c r="Y50" s="3625">
        <f>Y41/E41*100</f>
        <v>78.801772701902166</v>
      </c>
      <c r="Z50" s="3626">
        <f>Z41/E41*100</f>
        <v>76.482565753927943</v>
      </c>
      <c r="AA50" s="3626">
        <f>AA41/E41*100</f>
        <v>73.99396105531973</v>
      </c>
      <c r="AB50" s="3626">
        <f>AB41/E41*100</f>
        <v>67.40935032743451</v>
      </c>
      <c r="AC50" s="3627">
        <f>AC41/F41*100</f>
        <v>60.867678369867583</v>
      </c>
      <c r="AD50" s="3628">
        <f>AD41/G41*100</f>
        <v>58.22133606195802</v>
      </c>
    </row>
    <row r="51" spans="1:30" s="2051" customFormat="1" ht="12.5" x14ac:dyDescent="0.25">
      <c r="A51" s="2047"/>
      <c r="B51" s="3622"/>
      <c r="C51" s="3622"/>
      <c r="D51" s="1270" t="s">
        <v>1432</v>
      </c>
      <c r="E51" s="3623">
        <f>E42/E42*100</f>
        <v>100</v>
      </c>
      <c r="F51" s="3624">
        <f>F42/E42*100</f>
        <v>97.794780251285758</v>
      </c>
      <c r="G51" s="3624">
        <f>G42/E42*100</f>
        <v>95.12714242206134</v>
      </c>
      <c r="H51" s="3624">
        <f>H42/E42*100</f>
        <v>97.156422197850176</v>
      </c>
      <c r="I51" s="3624">
        <f>I42/E42*100</f>
        <v>99.447336892176025</v>
      </c>
      <c r="J51" s="3624">
        <f>J42/E42*100</f>
        <v>95.76309272861613</v>
      </c>
      <c r="K51" s="3624">
        <f>K42/E42*100</f>
        <v>92.724193563794458</v>
      </c>
      <c r="L51" s="3624">
        <f>L42/E42*100</f>
        <v>86.097520461271756</v>
      </c>
      <c r="M51" s="3624">
        <f>M42/E42*100</f>
        <v>72.093106633233617</v>
      </c>
      <c r="N51" s="3624">
        <f>N42/E42*100</f>
        <v>61.719548797772127</v>
      </c>
      <c r="O51" s="3624">
        <f>O42/E42*100</f>
        <v>53.289054794520553</v>
      </c>
      <c r="P51" s="3624">
        <f>P42/E42*100</f>
        <v>51.384292237442921</v>
      </c>
      <c r="Q51" s="3624">
        <f>Q42/E42*100</f>
        <v>54.617958904109585</v>
      </c>
      <c r="R51" s="3624">
        <f>R42/E42*100</f>
        <v>58.338890410958896</v>
      </c>
      <c r="S51" s="3624">
        <f>S42/E42*100</f>
        <v>63.698803652968039</v>
      </c>
      <c r="T51" s="3624">
        <f>T42/E42*100</f>
        <v>64.4518493150685</v>
      </c>
      <c r="U51" s="3624">
        <f>U42/E42*100</f>
        <v>61.218182648401822</v>
      </c>
      <c r="V51" s="3624">
        <f>V42/E42*100</f>
        <v>61.351073059360729</v>
      </c>
      <c r="W51" s="3624">
        <f>W42/E42*100</f>
        <v>62.414196347031968</v>
      </c>
      <c r="X51" s="3625">
        <f>X42/E42*100</f>
        <v>61.528260273972599</v>
      </c>
      <c r="Y51" s="3625">
        <f>Y42/E42*100</f>
        <v>60.994491533165409</v>
      </c>
      <c r="Z51" s="3626">
        <f>Z42/E42*100</f>
        <v>60.465136986301374</v>
      </c>
      <c r="AA51" s="3626">
        <f>AA42/E42*100</f>
        <v>59.911209061529902</v>
      </c>
      <c r="AB51" s="3626">
        <f t="shared" ref="AB51:AC54" si="1">AB42/E42*100</f>
        <v>55.568741125486078</v>
      </c>
      <c r="AC51" s="3627">
        <f t="shared" si="1"/>
        <v>55.913824558101965</v>
      </c>
      <c r="AD51" s="3628">
        <f>AD42/G42*100</f>
        <v>55.322866041106465</v>
      </c>
    </row>
    <row r="52" spans="1:30" s="2051" customFormat="1" ht="12.5" x14ac:dyDescent="0.25">
      <c r="A52" s="2047"/>
      <c r="B52" s="3622"/>
      <c r="C52" s="3622"/>
      <c r="D52" s="1270" t="s">
        <v>1443</v>
      </c>
      <c r="E52" s="3623">
        <f>E43/E43*100</f>
        <v>100</v>
      </c>
      <c r="F52" s="3624">
        <f>F43/E43*100</f>
        <v>91.37823641369846</v>
      </c>
      <c r="G52" s="3624">
        <f>G43/E43*100</f>
        <v>87.906554256134584</v>
      </c>
      <c r="H52" s="3624">
        <f>H43/E43*100</f>
        <v>91.323113634307219</v>
      </c>
      <c r="I52" s="3624">
        <f>I43/E43*100</f>
        <v>93.788084444023127</v>
      </c>
      <c r="J52" s="3624">
        <f>J43/E43*100</f>
        <v>87.722166901447281</v>
      </c>
      <c r="K52" s="3624">
        <f>K43/E43*100</f>
        <v>83.927999060242996</v>
      </c>
      <c r="L52" s="3624">
        <f>L43/E43*100</f>
        <v>79.21112279579684</v>
      </c>
      <c r="M52" s="3624">
        <f>M43/E43*100</f>
        <v>75.102753361132386</v>
      </c>
      <c r="N52" s="3624">
        <f>N43/E43*100</f>
        <v>69.651674382855049</v>
      </c>
      <c r="O52" s="3624">
        <f>O43/E43*100</f>
        <v>65.976366573153115</v>
      </c>
      <c r="P52" s="3624">
        <f>P43/E43*100</f>
        <v>67.185933293660909</v>
      </c>
      <c r="Q52" s="3624">
        <f>Q43/E43*100</f>
        <v>66.746090849839888</v>
      </c>
      <c r="R52" s="3624">
        <f>R43/E43*100</f>
        <v>61.467981523987639</v>
      </c>
      <c r="S52" s="3624">
        <f>S43/E43*100</f>
        <v>57.179517696732695</v>
      </c>
      <c r="T52" s="3624">
        <f>T43/E43*100</f>
        <v>53.330896313298759</v>
      </c>
      <c r="U52" s="3624">
        <f>U43/E43*100</f>
        <v>47.283062710759729</v>
      </c>
      <c r="V52" s="3624">
        <f>V43/E43*100</f>
        <v>42.811331198579353</v>
      </c>
      <c r="W52" s="3624">
        <f>W43/E43*100</f>
        <v>40.942000812340012</v>
      </c>
      <c r="X52" s="3625">
        <f>X43/E43*100</f>
        <v>39.329245184996267</v>
      </c>
      <c r="Y52" s="3625">
        <f>Y43/E43*100</f>
        <v>37.392042378843101</v>
      </c>
      <c r="Z52" s="3626">
        <f>Z43/E43*100</f>
        <v>35.883812708398274</v>
      </c>
      <c r="AA52" s="3626">
        <f>AA43/E43*100</f>
        <v>34.947059489607028</v>
      </c>
      <c r="AB52" s="3626">
        <f t="shared" si="1"/>
        <v>32.7201635998426</v>
      </c>
      <c r="AC52" s="3627">
        <f t="shared" si="1"/>
        <v>33.594804458872233</v>
      </c>
      <c r="AD52" s="3628">
        <f>AD43/G43*100</f>
        <v>33.341478290733448</v>
      </c>
    </row>
    <row r="53" spans="1:30" s="2051" customFormat="1" ht="12.5" x14ac:dyDescent="0.25">
      <c r="A53" s="2047"/>
      <c r="B53" s="2047"/>
      <c r="C53" s="2047"/>
      <c r="D53" s="1270" t="s">
        <v>1434</v>
      </c>
      <c r="E53" s="3623">
        <f>E44/E44*100</f>
        <v>100</v>
      </c>
      <c r="F53" s="3624">
        <f>F44/E44*100</f>
        <v>102.57104747593395</v>
      </c>
      <c r="G53" s="3624">
        <f>G44/E44*100</f>
        <v>91.082677376559531</v>
      </c>
      <c r="H53" s="3624">
        <f>H44/E44*100</f>
        <v>92.111051584419741</v>
      </c>
      <c r="I53" s="3624">
        <f>I44/E44*100</f>
        <v>95.764394829091486</v>
      </c>
      <c r="J53" s="3624">
        <f>J44/E44*100</f>
        <v>96.047866012344528</v>
      </c>
      <c r="K53" s="3624">
        <f>K44/E44*100</f>
        <v>97.140360834790172</v>
      </c>
      <c r="L53" s="3624">
        <f>L44/E44*100</f>
        <v>94.09221413542204</v>
      </c>
      <c r="M53" s="3624">
        <f>M44/E44*100</f>
        <v>91.204708866796736</v>
      </c>
      <c r="N53" s="3624">
        <f>N44/E44*100</f>
        <v>78.462334910649645</v>
      </c>
      <c r="O53" s="3624">
        <f>O44/E44*100</f>
        <v>67.464239476023494</v>
      </c>
      <c r="P53" s="3624">
        <f>P44/E44*100</f>
        <v>62.766290553916463</v>
      </c>
      <c r="Q53" s="3624">
        <f>Q44/E44*100</f>
        <v>55.380776257450904</v>
      </c>
      <c r="R53" s="3624">
        <f>R44/E44*100</f>
        <v>49.391949478368517</v>
      </c>
      <c r="S53" s="3624">
        <f>S44/E44*100</f>
        <v>47.614347183517211</v>
      </c>
      <c r="T53" s="3624">
        <f>T44/E44*100</f>
        <v>51.867895531911415</v>
      </c>
      <c r="U53" s="3624">
        <f>U44/E44*100</f>
        <v>52.100676784808599</v>
      </c>
      <c r="V53" s="3624">
        <f>V44/E44*100</f>
        <v>54.576622838351497</v>
      </c>
      <c r="W53" s="3624">
        <f>W44/E44*100</f>
        <v>56.544682521936871</v>
      </c>
      <c r="X53" s="3625">
        <f>X44/E44*100</f>
        <v>57.433483669362531</v>
      </c>
      <c r="Y53" s="3625">
        <f>Y44/E44*100</f>
        <v>56.961941108869205</v>
      </c>
      <c r="Z53" s="3626">
        <f>Z44/E44*100</f>
        <v>53.666659758844283</v>
      </c>
      <c r="AA53" s="3626">
        <f>AA44/E44*100</f>
        <v>52.298094787582741</v>
      </c>
      <c r="AB53" s="3626">
        <f t="shared" si="1"/>
        <v>48.165835541303949</v>
      </c>
      <c r="AC53" s="3627">
        <f t="shared" si="1"/>
        <v>44.72399948869127</v>
      </c>
      <c r="AD53" s="3628">
        <f>AD44/G44*100</f>
        <v>46.806668037310679</v>
      </c>
    </row>
    <row r="54" spans="1:30" s="2051" customFormat="1" ht="12.5" x14ac:dyDescent="0.25">
      <c r="A54" s="2047"/>
      <c r="B54" s="2047"/>
      <c r="C54" s="2047"/>
      <c r="D54" s="1272" t="s">
        <v>1435</v>
      </c>
      <c r="E54" s="3629">
        <f>E45/E45*100</f>
        <v>100</v>
      </c>
      <c r="F54" s="3630">
        <f>F45/E45*100</f>
        <v>90.045231490445687</v>
      </c>
      <c r="G54" s="3630">
        <f>G45/E45*100</f>
        <v>84.908469674078873</v>
      </c>
      <c r="H54" s="3630">
        <f>H45/E45*100</f>
        <v>82.867899395716009</v>
      </c>
      <c r="I54" s="3630">
        <f>I45/E45*100</f>
        <v>81.083510502579031</v>
      </c>
      <c r="J54" s="3630">
        <f>J45/E45*100</f>
        <v>78.9628074766362</v>
      </c>
      <c r="K54" s="3630">
        <f>K45/E45*100</f>
        <v>78.022545542964792</v>
      </c>
      <c r="L54" s="3630">
        <f>L45/E45*100</f>
        <v>76.229593106363026</v>
      </c>
      <c r="M54" s="3630">
        <f>M45/E45*100</f>
        <v>84.275620348399286</v>
      </c>
      <c r="N54" s="3630">
        <f>N45/E45*100</f>
        <v>73.01694995365105</v>
      </c>
      <c r="O54" s="3630">
        <f>O45/E45*100</f>
        <v>57.524486645378218</v>
      </c>
      <c r="P54" s="3630">
        <f>P45/E45*100</f>
        <v>50.303153086471966</v>
      </c>
      <c r="Q54" s="3630">
        <f>Q45/E45*100</f>
        <v>49.892850043352297</v>
      </c>
      <c r="R54" s="3630">
        <f>R45/E45*100</f>
        <v>49.318425782984754</v>
      </c>
      <c r="S54" s="3630">
        <f>S45/E45*100</f>
        <v>50.6313955209677</v>
      </c>
      <c r="T54" s="3630">
        <f>T45/E45*100</f>
        <v>53.913819865925092</v>
      </c>
      <c r="U54" s="3630">
        <f>U45/E45*100</f>
        <v>49.482547000232621</v>
      </c>
      <c r="V54" s="3630">
        <f>V45/E45*100</f>
        <v>50.221092477848039</v>
      </c>
      <c r="W54" s="3630">
        <f>W45/E45*100</f>
        <v>46.938668132890648</v>
      </c>
      <c r="X54" s="3631">
        <f>X45/E45*100</f>
        <v>43.410061962061455</v>
      </c>
      <c r="Y54" s="3631">
        <f>Y45/E45*100</f>
        <v>37.936462341650262</v>
      </c>
      <c r="Z54" s="3631">
        <f>Z45/E45*100</f>
        <v>36.927273880770613</v>
      </c>
      <c r="AA54" s="3631">
        <f>AA45/E45*100</f>
        <v>39.484787930622268</v>
      </c>
      <c r="AB54" s="3631">
        <f t="shared" si="1"/>
        <v>41.713263756182819</v>
      </c>
      <c r="AC54" s="3632">
        <f t="shared" si="1"/>
        <v>46.865899790666496</v>
      </c>
      <c r="AD54" s="3633">
        <f>AD45/G45*100</f>
        <v>46.805855747426648</v>
      </c>
    </row>
    <row r="55" spans="1:30" s="2051" customFormat="1" ht="12.5" x14ac:dyDescent="0.25">
      <c r="A55" s="2047"/>
      <c r="B55" s="2047"/>
      <c r="C55" s="2047"/>
      <c r="G55" s="3619"/>
      <c r="H55" s="3619"/>
      <c r="J55" s="3620"/>
      <c r="K55" s="3619"/>
      <c r="L55" s="3619"/>
      <c r="M55" s="3619"/>
      <c r="AB55" s="3634"/>
    </row>
    <row r="56" spans="1:30" s="2051" customFormat="1" ht="12.5" x14ac:dyDescent="0.25">
      <c r="A56" s="2047"/>
      <c r="B56" s="3635"/>
      <c r="C56" s="3635"/>
      <c r="D56" s="3636"/>
      <c r="E56" s="3636"/>
      <c r="F56" s="3636"/>
      <c r="G56" s="3636"/>
      <c r="H56" s="3636"/>
      <c r="I56" s="3636"/>
      <c r="J56" s="3636"/>
      <c r="K56" s="3636"/>
      <c r="L56" s="3636"/>
      <c r="M56" s="3636"/>
      <c r="AB56" s="3637"/>
    </row>
    <row r="57" spans="1:30" s="2051" customFormat="1" ht="12.5" x14ac:dyDescent="0.25">
      <c r="A57" s="2047"/>
      <c r="B57" s="3635"/>
      <c r="C57" s="3635"/>
      <c r="D57" s="3636"/>
      <c r="E57" s="3636"/>
      <c r="F57" s="3636"/>
      <c r="G57" s="3636"/>
      <c r="H57" s="3636"/>
      <c r="I57" s="3636"/>
      <c r="J57" s="3636"/>
      <c r="K57" s="3636"/>
      <c r="L57" s="3636"/>
      <c r="M57" s="3636"/>
    </row>
    <row r="58" spans="1:30" s="2051" customFormat="1" ht="12.5" x14ac:dyDescent="0.25">
      <c r="A58" s="2047"/>
      <c r="B58" s="3635"/>
      <c r="C58" s="3635"/>
      <c r="D58" s="3636"/>
      <c r="E58" s="3636"/>
      <c r="F58" s="3636"/>
      <c r="G58" s="3636"/>
      <c r="H58" s="3636"/>
      <c r="I58" s="3636"/>
      <c r="J58" s="3636"/>
      <c r="K58" s="3636"/>
      <c r="L58" s="3636"/>
      <c r="M58" s="3636"/>
    </row>
    <row r="59" spans="1:30" s="2051" customFormat="1" ht="12.5" x14ac:dyDescent="0.25">
      <c r="A59" s="2047"/>
      <c r="B59" s="3635"/>
      <c r="C59" s="3635"/>
      <c r="D59" s="3636"/>
      <c r="E59" s="3636"/>
      <c r="F59" s="3636"/>
      <c r="G59" s="3636"/>
      <c r="H59" s="3636"/>
      <c r="I59" s="3636"/>
      <c r="J59" s="3636"/>
      <c r="K59" s="3636"/>
      <c r="L59" s="3636"/>
      <c r="M59" s="3636"/>
    </row>
    <row r="60" spans="1:30" s="2051" customFormat="1" ht="12.5" x14ac:dyDescent="0.25">
      <c r="A60" s="2047"/>
      <c r="B60" s="3635"/>
      <c r="C60" s="3635"/>
      <c r="D60" s="3636"/>
      <c r="E60" s="3636"/>
      <c r="F60" s="3636"/>
      <c r="G60" s="3636"/>
      <c r="H60" s="3636"/>
      <c r="I60" s="3636"/>
      <c r="J60" s="3636"/>
      <c r="K60" s="3636"/>
      <c r="L60" s="3636"/>
      <c r="M60" s="3636"/>
    </row>
    <row r="61" spans="1:30" s="2051" customFormat="1" ht="12.5" x14ac:dyDescent="0.25">
      <c r="A61" s="2047"/>
      <c r="B61" s="3635"/>
      <c r="C61" s="3635"/>
      <c r="D61" s="3636"/>
      <c r="E61" s="3636"/>
      <c r="F61" s="3636"/>
      <c r="G61" s="3636"/>
      <c r="H61" s="3636"/>
      <c r="I61" s="3636"/>
      <c r="J61" s="3636"/>
      <c r="K61" s="3636"/>
      <c r="L61" s="3636"/>
      <c r="M61" s="3636"/>
    </row>
    <row r="62" spans="1:30" s="2051" customFormat="1" ht="12.5" x14ac:dyDescent="0.25">
      <c r="A62" s="2047"/>
      <c r="B62" s="3635"/>
      <c r="C62" s="3635"/>
      <c r="D62" s="3636"/>
      <c r="E62" s="3636"/>
      <c r="F62" s="3636"/>
      <c r="G62" s="3636"/>
      <c r="H62" s="3636"/>
      <c r="I62" s="3636"/>
      <c r="J62" s="3636"/>
      <c r="K62" s="3636"/>
      <c r="L62" s="3636"/>
      <c r="M62" s="3636"/>
    </row>
    <row r="63" spans="1:30" s="2051" customFormat="1" ht="12.5" x14ac:dyDescent="0.25">
      <c r="A63" s="2047"/>
      <c r="B63" s="3635"/>
      <c r="C63" s="3635"/>
      <c r="D63" s="3636"/>
      <c r="E63" s="3636"/>
      <c r="F63" s="3636"/>
      <c r="G63" s="3636"/>
      <c r="H63" s="3636"/>
      <c r="I63" s="3636"/>
      <c r="J63" s="3636"/>
      <c r="K63" s="3636"/>
      <c r="L63" s="3636"/>
      <c r="M63" s="3636"/>
    </row>
    <row r="64" spans="1:30" s="2051" customFormat="1" ht="12.5" x14ac:dyDescent="0.25">
      <c r="A64" s="2047"/>
      <c r="B64" s="3635"/>
      <c r="C64" s="3635"/>
      <c r="D64" s="3636"/>
      <c r="E64" s="3636"/>
      <c r="F64" s="3636"/>
      <c r="G64" s="3636"/>
      <c r="H64" s="3636"/>
      <c r="I64" s="3636"/>
      <c r="J64" s="3636"/>
      <c r="K64" s="3636"/>
      <c r="L64" s="3636"/>
      <c r="M64" s="3636"/>
    </row>
    <row r="65" spans="1:13" s="2051" customFormat="1" ht="12.5" x14ac:dyDescent="0.25">
      <c r="A65" s="2047"/>
      <c r="B65" s="3635"/>
      <c r="C65" s="3635"/>
      <c r="D65" s="3636"/>
      <c r="E65" s="3636"/>
      <c r="F65" s="3636"/>
      <c r="G65" s="3636"/>
      <c r="H65" s="3636"/>
      <c r="I65" s="3636"/>
      <c r="J65" s="3636"/>
      <c r="K65" s="3636"/>
      <c r="L65" s="3636"/>
      <c r="M65" s="3636"/>
    </row>
    <row r="66" spans="1:13" s="2051" customFormat="1" ht="12.5" x14ac:dyDescent="0.25">
      <c r="A66" s="2047"/>
      <c r="B66" s="3635"/>
      <c r="C66" s="3635"/>
      <c r="D66" s="3636"/>
      <c r="E66" s="3636"/>
      <c r="F66" s="3636"/>
      <c r="G66" s="3636"/>
      <c r="H66" s="3636"/>
      <c r="I66" s="3636"/>
      <c r="J66" s="3636"/>
      <c r="K66" s="3636"/>
      <c r="L66" s="3636"/>
      <c r="M66" s="3636"/>
    </row>
    <row r="67" spans="1:13" s="2051" customFormat="1" ht="12.5" x14ac:dyDescent="0.25">
      <c r="A67" s="2047"/>
      <c r="B67" s="3635"/>
      <c r="C67" s="3635"/>
      <c r="D67" s="3636"/>
      <c r="E67" s="3636"/>
      <c r="F67" s="3636"/>
      <c r="G67" s="3636"/>
      <c r="H67" s="3636"/>
      <c r="I67" s="3636"/>
      <c r="J67" s="3636"/>
      <c r="K67" s="3636"/>
      <c r="L67" s="3636"/>
      <c r="M67" s="3636"/>
    </row>
    <row r="68" spans="1:13" s="2051" customFormat="1" ht="12.5" x14ac:dyDescent="0.25">
      <c r="A68" s="2047"/>
      <c r="B68" s="3635"/>
      <c r="C68" s="3635"/>
      <c r="D68" s="3636"/>
      <c r="E68" s="3636"/>
      <c r="F68" s="3636"/>
      <c r="G68" s="3636"/>
      <c r="H68" s="3636"/>
      <c r="I68" s="3636"/>
      <c r="J68" s="3636"/>
      <c r="K68" s="3636"/>
      <c r="L68" s="3636"/>
      <c r="M68" s="3636"/>
    </row>
    <row r="69" spans="1:13" s="2051" customFormat="1" ht="12.5" x14ac:dyDescent="0.25">
      <c r="A69" s="2047"/>
      <c r="B69" s="3635"/>
      <c r="C69" s="3635"/>
      <c r="D69" s="3636"/>
      <c r="E69" s="3636"/>
      <c r="F69" s="3636"/>
      <c r="G69" s="3636"/>
      <c r="H69" s="3636"/>
      <c r="I69" s="3636"/>
      <c r="J69" s="3636"/>
      <c r="K69" s="3636"/>
      <c r="L69" s="3636"/>
      <c r="M69" s="3636"/>
    </row>
    <row r="70" spans="1:13" s="2051" customFormat="1" ht="12.5" x14ac:dyDescent="0.25">
      <c r="A70" s="2047"/>
      <c r="B70" s="3635"/>
      <c r="C70" s="3635"/>
      <c r="D70" s="3636"/>
      <c r="E70" s="3636"/>
      <c r="F70" s="3636"/>
      <c r="G70" s="3636"/>
      <c r="H70" s="3636"/>
      <c r="I70" s="3636"/>
      <c r="J70" s="3636"/>
      <c r="K70" s="3636"/>
      <c r="L70" s="3636"/>
      <c r="M70" s="3636"/>
    </row>
    <row r="71" spans="1:13" s="2051" customFormat="1" ht="12.5" x14ac:dyDescent="0.25">
      <c r="A71" s="2047"/>
      <c r="B71" s="3635"/>
      <c r="C71" s="3635"/>
      <c r="D71" s="3636"/>
      <c r="E71" s="3636"/>
      <c r="F71" s="3636"/>
      <c r="G71" s="3636"/>
      <c r="H71" s="3636"/>
      <c r="I71" s="3636"/>
      <c r="J71" s="3636"/>
      <c r="K71" s="3636"/>
      <c r="L71" s="3636"/>
      <c r="M71" s="3636"/>
    </row>
    <row r="72" spans="1:13" s="2051" customFormat="1" ht="12.5" x14ac:dyDescent="0.25">
      <c r="A72" s="2047"/>
      <c r="B72" s="3635"/>
      <c r="C72" s="3635"/>
      <c r="D72" s="3636"/>
      <c r="E72" s="3636"/>
      <c r="F72" s="3636"/>
      <c r="G72" s="3636"/>
      <c r="H72" s="3636"/>
      <c r="I72" s="3636"/>
      <c r="J72" s="3636"/>
      <c r="K72" s="3636"/>
      <c r="L72" s="3636"/>
      <c r="M72" s="3636"/>
    </row>
    <row r="73" spans="1:13" s="2051" customFormat="1" ht="12.5" x14ac:dyDescent="0.25">
      <c r="A73" s="2047"/>
      <c r="B73" s="3635"/>
      <c r="C73" s="3635"/>
      <c r="D73" s="3636"/>
      <c r="E73" s="3636"/>
      <c r="F73" s="3636"/>
      <c r="G73" s="3636"/>
      <c r="H73" s="3636"/>
      <c r="I73" s="3636"/>
      <c r="J73" s="3636"/>
      <c r="K73" s="3636"/>
      <c r="L73" s="3636"/>
      <c r="M73" s="3636"/>
    </row>
    <row r="74" spans="1:13" s="2051" customFormat="1" ht="12.5" x14ac:dyDescent="0.25">
      <c r="A74" s="2047"/>
      <c r="B74" s="3635"/>
      <c r="C74" s="3635"/>
      <c r="D74" s="3636"/>
      <c r="E74" s="3636"/>
      <c r="F74" s="3636"/>
      <c r="G74" s="3636"/>
      <c r="H74" s="3636"/>
      <c r="I74" s="3636"/>
      <c r="J74" s="3636"/>
      <c r="K74" s="3636"/>
      <c r="L74" s="3636"/>
      <c r="M74" s="3636"/>
    </row>
    <row r="75" spans="1:13" s="2051" customFormat="1" ht="12.5" x14ac:dyDescent="0.25">
      <c r="A75" s="2047"/>
      <c r="B75" s="3635"/>
      <c r="C75" s="3635"/>
      <c r="D75" s="3636"/>
      <c r="E75" s="3636"/>
      <c r="F75" s="3636"/>
      <c r="G75" s="3636"/>
      <c r="H75" s="3636"/>
      <c r="I75" s="3636"/>
      <c r="J75" s="3636"/>
      <c r="K75" s="3636"/>
      <c r="L75" s="3636"/>
      <c r="M75" s="3636"/>
    </row>
    <row r="76" spans="1:13" s="2051" customFormat="1" ht="12.5" x14ac:dyDescent="0.25">
      <c r="A76" s="2047"/>
      <c r="B76" s="3635"/>
      <c r="C76" s="3635"/>
      <c r="D76" s="3636"/>
      <c r="E76" s="3636"/>
      <c r="F76" s="3636"/>
      <c r="G76" s="3636"/>
      <c r="H76" s="3636"/>
      <c r="I76" s="3636"/>
      <c r="J76" s="3636"/>
      <c r="K76" s="3636"/>
      <c r="L76" s="3636"/>
      <c r="M76" s="3636"/>
    </row>
    <row r="77" spans="1:13" s="2051" customFormat="1" ht="12.5" x14ac:dyDescent="0.25">
      <c r="A77" s="2047"/>
      <c r="B77" s="3635"/>
      <c r="C77" s="3635"/>
      <c r="D77" s="3636"/>
      <c r="E77" s="3636"/>
      <c r="F77" s="3636"/>
      <c r="G77" s="3636"/>
      <c r="H77" s="3636"/>
      <c r="I77" s="3636"/>
      <c r="J77" s="3636"/>
      <c r="K77" s="3636"/>
      <c r="L77" s="3636"/>
      <c r="M77" s="3636"/>
    </row>
    <row r="78" spans="1:13" s="2051" customFormat="1" ht="12.5" x14ac:dyDescent="0.25">
      <c r="A78" s="2047"/>
      <c r="B78" s="3635"/>
      <c r="C78" s="3635"/>
      <c r="D78" s="3636"/>
      <c r="E78" s="3636"/>
      <c r="F78" s="3636"/>
      <c r="G78" s="3636"/>
      <c r="H78" s="3636"/>
      <c r="I78" s="3636"/>
      <c r="J78" s="3636"/>
      <c r="K78" s="3636"/>
      <c r="L78" s="3636"/>
      <c r="M78" s="3636"/>
    </row>
    <row r="79" spans="1:13" s="2051" customFormat="1" ht="12.5" x14ac:dyDescent="0.25">
      <c r="A79" s="2047"/>
      <c r="B79" s="3635"/>
      <c r="C79" s="3635"/>
      <c r="D79" s="3636"/>
      <c r="E79" s="3636"/>
      <c r="F79" s="3636"/>
      <c r="G79" s="3636"/>
      <c r="H79" s="3636"/>
      <c r="I79" s="3636"/>
      <c r="J79" s="3636"/>
      <c r="K79" s="3636"/>
      <c r="L79" s="3636"/>
      <c r="M79" s="3636"/>
    </row>
    <row r="80" spans="1:13" s="2051" customFormat="1" ht="12.5" x14ac:dyDescent="0.25">
      <c r="A80" s="2047"/>
      <c r="B80" s="3635"/>
      <c r="C80" s="3635"/>
      <c r="D80" s="3636"/>
      <c r="E80" s="3636"/>
      <c r="F80" s="3636"/>
      <c r="G80" s="3636"/>
      <c r="H80" s="3636"/>
      <c r="I80" s="3636"/>
      <c r="J80" s="3636"/>
      <c r="K80" s="3636"/>
      <c r="L80" s="3636"/>
      <c r="M80" s="3636"/>
    </row>
    <row r="81" spans="1:13" s="2051" customFormat="1" ht="12.5" x14ac:dyDescent="0.25">
      <c r="A81" s="2047"/>
      <c r="B81" s="3635"/>
      <c r="C81" s="3635"/>
      <c r="D81" s="3636"/>
      <c r="E81" s="3636"/>
      <c r="F81" s="3636"/>
      <c r="G81" s="3636"/>
      <c r="H81" s="3636"/>
      <c r="I81" s="3636"/>
      <c r="J81" s="3636"/>
      <c r="K81" s="3636"/>
      <c r="L81" s="3636"/>
      <c r="M81" s="3636"/>
    </row>
    <row r="82" spans="1:13" s="2051" customFormat="1" ht="12.5" x14ac:dyDescent="0.25">
      <c r="A82" s="2047"/>
      <c r="B82" s="3635"/>
      <c r="C82" s="3635"/>
      <c r="D82" s="3636"/>
      <c r="E82" s="3636"/>
      <c r="F82" s="3636"/>
      <c r="G82" s="3636"/>
      <c r="H82" s="3636"/>
      <c r="I82" s="3636"/>
      <c r="J82" s="3636"/>
      <c r="K82" s="3636"/>
      <c r="L82" s="3636"/>
      <c r="M82" s="3636"/>
    </row>
    <row r="83" spans="1:13" s="2051" customFormat="1" ht="12.5" x14ac:dyDescent="0.25">
      <c r="A83" s="2047"/>
      <c r="B83" s="3635"/>
      <c r="C83" s="3635"/>
      <c r="D83" s="3636"/>
      <c r="E83" s="3636"/>
      <c r="F83" s="3636"/>
      <c r="G83" s="3636"/>
      <c r="H83" s="3636"/>
      <c r="I83" s="3636"/>
      <c r="J83" s="3636"/>
      <c r="K83" s="3636"/>
      <c r="L83" s="3636"/>
      <c r="M83" s="3636"/>
    </row>
    <row r="84" spans="1:13" s="2051" customFormat="1" ht="12.5" x14ac:dyDescent="0.25">
      <c r="A84" s="2047"/>
      <c r="B84" s="3635"/>
      <c r="C84" s="3635"/>
      <c r="D84" s="3636"/>
      <c r="E84" s="3636"/>
      <c r="F84" s="3636"/>
      <c r="G84" s="3636"/>
      <c r="H84" s="3636"/>
      <c r="I84" s="3636"/>
      <c r="J84" s="3636"/>
      <c r="K84" s="3636"/>
      <c r="L84" s="3636"/>
      <c r="M84" s="3636"/>
    </row>
    <row r="85" spans="1:13" s="2051" customFormat="1" ht="12.5" x14ac:dyDescent="0.25">
      <c r="A85" s="2047"/>
      <c r="B85" s="3635"/>
      <c r="C85" s="3635"/>
      <c r="D85" s="3636"/>
      <c r="E85" s="3636"/>
      <c r="F85" s="3636"/>
      <c r="G85" s="3636"/>
      <c r="H85" s="3636"/>
      <c r="I85" s="3636"/>
      <c r="J85" s="3636"/>
      <c r="K85" s="3636"/>
      <c r="L85" s="3636"/>
      <c r="M85" s="3636"/>
    </row>
    <row r="86" spans="1:13" s="2051" customFormat="1" ht="12.5" x14ac:dyDescent="0.25">
      <c r="A86" s="2047"/>
      <c r="B86" s="3635"/>
      <c r="C86" s="3635"/>
      <c r="D86" s="3636"/>
      <c r="E86" s="3636"/>
      <c r="F86" s="3636"/>
      <c r="G86" s="3636"/>
      <c r="H86" s="3636"/>
      <c r="I86" s="3636"/>
      <c r="J86" s="3636"/>
      <c r="K86" s="3636"/>
      <c r="L86" s="3636"/>
      <c r="M86" s="3636"/>
    </row>
    <row r="87" spans="1:13" s="2051" customFormat="1" ht="12.5" x14ac:dyDescent="0.25">
      <c r="A87" s="2047"/>
      <c r="B87" s="3635"/>
      <c r="C87" s="3635"/>
      <c r="D87" s="3636"/>
      <c r="E87" s="3636"/>
      <c r="F87" s="3636"/>
      <c r="G87" s="3636"/>
      <c r="H87" s="3636"/>
      <c r="I87" s="3636"/>
      <c r="J87" s="3636"/>
      <c r="K87" s="3636"/>
      <c r="L87" s="3636"/>
      <c r="M87" s="3636"/>
    </row>
    <row r="88" spans="1:13" s="2051" customFormat="1" ht="12.5" x14ac:dyDescent="0.25">
      <c r="A88" s="2047"/>
      <c r="B88" s="3635"/>
      <c r="C88" s="3635"/>
      <c r="D88" s="3636"/>
      <c r="E88" s="3636"/>
      <c r="F88" s="3636"/>
      <c r="G88" s="3636"/>
      <c r="H88" s="3636"/>
      <c r="I88" s="3636"/>
      <c r="J88" s="3636"/>
      <c r="K88" s="3636"/>
      <c r="L88" s="3636"/>
      <c r="M88" s="3636"/>
    </row>
    <row r="89" spans="1:13" s="2051" customFormat="1" ht="12.5" x14ac:dyDescent="0.25">
      <c r="A89" s="2047"/>
      <c r="B89" s="3635"/>
      <c r="C89" s="3635"/>
      <c r="D89" s="3636"/>
      <c r="E89" s="3636"/>
      <c r="F89" s="3636"/>
      <c r="G89" s="3636"/>
      <c r="H89" s="3636"/>
      <c r="I89" s="3636"/>
      <c r="J89" s="3636"/>
      <c r="K89" s="3636"/>
      <c r="L89" s="3636"/>
      <c r="M89" s="3636"/>
    </row>
    <row r="90" spans="1:13" s="2051" customFormat="1" ht="12.5" x14ac:dyDescent="0.25">
      <c r="A90" s="2047"/>
      <c r="B90" s="3635"/>
      <c r="C90" s="3635"/>
      <c r="D90" s="3636"/>
      <c r="E90" s="3636"/>
      <c r="F90" s="3636"/>
      <c r="G90" s="3636"/>
      <c r="H90" s="3636"/>
      <c r="I90" s="3636"/>
      <c r="J90" s="3636"/>
      <c r="K90" s="3636"/>
      <c r="L90" s="3636"/>
      <c r="M90" s="3636"/>
    </row>
    <row r="91" spans="1:13" s="2051" customFormat="1" ht="12.5" x14ac:dyDescent="0.25">
      <c r="A91" s="2047"/>
      <c r="B91" s="3635"/>
      <c r="C91" s="3635"/>
      <c r="D91" s="3636"/>
      <c r="E91" s="3636"/>
      <c r="F91" s="3636"/>
      <c r="G91" s="3636"/>
      <c r="H91" s="3636"/>
      <c r="I91" s="3636"/>
      <c r="J91" s="3636"/>
      <c r="K91" s="3636"/>
      <c r="L91" s="3636"/>
      <c r="M91" s="3636"/>
    </row>
    <row r="92" spans="1:13" s="2051" customFormat="1" ht="12.5" x14ac:dyDescent="0.25">
      <c r="A92" s="2047"/>
      <c r="B92" s="3635"/>
      <c r="C92" s="3635"/>
      <c r="D92" s="3636"/>
      <c r="E92" s="3636"/>
      <c r="F92" s="3636"/>
      <c r="G92" s="3636"/>
      <c r="H92" s="3636"/>
      <c r="I92" s="3636"/>
      <c r="J92" s="3636"/>
      <c r="K92" s="3636"/>
      <c r="L92" s="3636"/>
      <c r="M92" s="3636"/>
    </row>
    <row r="93" spans="1:13" s="2051" customFormat="1" ht="12.5" x14ac:dyDescent="0.25">
      <c r="A93" s="2047"/>
      <c r="B93" s="3635"/>
      <c r="C93" s="3635"/>
      <c r="D93" s="3636"/>
      <c r="E93" s="3636"/>
      <c r="F93" s="3636"/>
      <c r="G93" s="3636"/>
      <c r="H93" s="3636"/>
      <c r="I93" s="3636"/>
      <c r="J93" s="3636"/>
      <c r="K93" s="3636"/>
      <c r="L93" s="3636"/>
      <c r="M93" s="3636"/>
    </row>
    <row r="94" spans="1:13" s="2051" customFormat="1" ht="12.5" x14ac:dyDescent="0.25">
      <c r="A94" s="2047"/>
      <c r="B94" s="3635"/>
      <c r="C94" s="3635"/>
      <c r="D94" s="3636"/>
      <c r="E94" s="3636"/>
      <c r="F94" s="3636"/>
      <c r="G94" s="3636"/>
      <c r="H94" s="3636"/>
      <c r="I94" s="3636"/>
      <c r="J94" s="3636"/>
      <c r="K94" s="3636"/>
      <c r="L94" s="3636"/>
      <c r="M94" s="3636"/>
    </row>
    <row r="95" spans="1:13" s="2051" customFormat="1" ht="12.5" x14ac:dyDescent="0.25">
      <c r="A95" s="2047"/>
      <c r="B95" s="3635"/>
      <c r="C95" s="3635"/>
      <c r="D95" s="3636"/>
      <c r="E95" s="3636"/>
      <c r="F95" s="3636"/>
      <c r="G95" s="3636"/>
      <c r="H95" s="3636"/>
      <c r="I95" s="3636"/>
      <c r="J95" s="3636"/>
      <c r="K95" s="3636"/>
      <c r="L95" s="3636"/>
      <c r="M95" s="3636"/>
    </row>
    <row r="96" spans="1:13" s="2051" customFormat="1" ht="12.5" x14ac:dyDescent="0.25">
      <c r="A96" s="2047"/>
      <c r="B96" s="3635"/>
      <c r="C96" s="3635"/>
      <c r="D96" s="3636"/>
      <c r="E96" s="3636"/>
      <c r="F96" s="3636"/>
      <c r="G96" s="3636"/>
      <c r="H96" s="3636"/>
      <c r="I96" s="3636"/>
      <c r="J96" s="3636"/>
      <c r="K96" s="3636"/>
      <c r="L96" s="3636"/>
      <c r="M96" s="3636"/>
    </row>
    <row r="97" spans="1:13" s="2051" customFormat="1" ht="12.5" x14ac:dyDescent="0.25">
      <c r="A97" s="2047"/>
      <c r="B97" s="3635"/>
      <c r="C97" s="3635"/>
      <c r="D97" s="3636"/>
      <c r="E97" s="3636"/>
      <c r="F97" s="3636"/>
      <c r="G97" s="3636"/>
      <c r="H97" s="3636"/>
      <c r="I97" s="3636"/>
      <c r="J97" s="3636"/>
      <c r="K97" s="3636"/>
      <c r="L97" s="3636"/>
      <c r="M97" s="3636"/>
    </row>
    <row r="98" spans="1:13" s="2051" customFormat="1" ht="12.5" x14ac:dyDescent="0.25">
      <c r="A98" s="2047"/>
      <c r="B98" s="3635"/>
      <c r="C98" s="3635"/>
      <c r="D98" s="3636"/>
      <c r="E98" s="3636"/>
      <c r="F98" s="3636"/>
      <c r="G98" s="3636"/>
      <c r="H98" s="3636"/>
      <c r="I98" s="3636"/>
      <c r="J98" s="3636"/>
      <c r="K98" s="3636"/>
      <c r="L98" s="3636"/>
      <c r="M98" s="3636"/>
    </row>
    <row r="99" spans="1:13" s="2051" customFormat="1" ht="12.5" x14ac:dyDescent="0.25">
      <c r="A99" s="2047"/>
      <c r="B99" s="3635"/>
      <c r="C99" s="3635"/>
      <c r="D99" s="3636"/>
      <c r="E99" s="3636"/>
      <c r="F99" s="3636"/>
      <c r="G99" s="3636"/>
      <c r="H99" s="3636"/>
      <c r="I99" s="3636"/>
      <c r="J99" s="3636"/>
      <c r="K99" s="3636"/>
      <c r="L99" s="3636"/>
      <c r="M99" s="3636"/>
    </row>
    <row r="100" spans="1:13" s="2051" customFormat="1" ht="12.5" x14ac:dyDescent="0.25">
      <c r="A100" s="2047"/>
      <c r="B100" s="3635"/>
      <c r="C100" s="3635"/>
      <c r="D100" s="3636"/>
      <c r="E100" s="3636"/>
      <c r="F100" s="3636"/>
      <c r="G100" s="3636"/>
      <c r="H100" s="3636"/>
      <c r="I100" s="3636"/>
      <c r="J100" s="3636"/>
      <c r="K100" s="3636"/>
      <c r="L100" s="3636"/>
      <c r="M100" s="3636"/>
    </row>
    <row r="101" spans="1:13" s="2051" customFormat="1" ht="12.5" x14ac:dyDescent="0.25">
      <c r="A101" s="2047"/>
      <c r="B101" s="3635"/>
      <c r="C101" s="3635"/>
      <c r="D101" s="3636"/>
      <c r="E101" s="3636"/>
      <c r="F101" s="3636"/>
      <c r="G101" s="3636"/>
      <c r="H101" s="3636"/>
      <c r="I101" s="3636"/>
      <c r="J101" s="3636"/>
      <c r="K101" s="3636"/>
      <c r="L101" s="3636"/>
      <c r="M101" s="3636"/>
    </row>
    <row r="102" spans="1:13" s="2051" customFormat="1" ht="12.5" x14ac:dyDescent="0.25">
      <c r="A102" s="2047"/>
      <c r="B102" s="3635"/>
      <c r="C102" s="3635"/>
      <c r="D102" s="3636"/>
      <c r="E102" s="3636"/>
      <c r="F102" s="3636"/>
      <c r="G102" s="3636"/>
      <c r="H102" s="3636"/>
      <c r="I102" s="3636"/>
      <c r="J102" s="3636"/>
      <c r="K102" s="3636"/>
      <c r="L102" s="3636"/>
      <c r="M102" s="3636"/>
    </row>
    <row r="103" spans="1:13" s="2051" customFormat="1" ht="12.5" x14ac:dyDescent="0.25">
      <c r="A103" s="2047"/>
      <c r="B103" s="3635"/>
      <c r="C103" s="3635"/>
      <c r="D103" s="3636"/>
      <c r="E103" s="3636"/>
      <c r="F103" s="3636"/>
      <c r="G103" s="3636"/>
      <c r="H103" s="3636"/>
      <c r="I103" s="3636"/>
      <c r="J103" s="3636"/>
      <c r="K103" s="3636"/>
      <c r="L103" s="3636"/>
      <c r="M103" s="3636"/>
    </row>
    <row r="104" spans="1:13" s="2051" customFormat="1" ht="12.5" x14ac:dyDescent="0.25">
      <c r="A104" s="2047"/>
      <c r="B104" s="3635"/>
      <c r="C104" s="3635"/>
      <c r="D104" s="3636"/>
      <c r="E104" s="3636"/>
      <c r="F104" s="3636"/>
      <c r="G104" s="3636"/>
      <c r="H104" s="3636"/>
      <c r="I104" s="3636"/>
      <c r="J104" s="3636"/>
      <c r="K104" s="3636"/>
      <c r="L104" s="3636"/>
      <c r="M104" s="3636"/>
    </row>
    <row r="105" spans="1:13" s="2051" customFormat="1" ht="12.5" x14ac:dyDescent="0.25">
      <c r="A105" s="2047"/>
      <c r="B105" s="3635"/>
      <c r="C105" s="3635"/>
      <c r="D105" s="3636"/>
      <c r="E105" s="3636"/>
      <c r="F105" s="3636"/>
      <c r="G105" s="3636"/>
      <c r="H105" s="3636"/>
      <c r="I105" s="3636"/>
      <c r="J105" s="3636"/>
      <c r="K105" s="3636"/>
      <c r="L105" s="3636"/>
      <c r="M105" s="3636"/>
    </row>
    <row r="106" spans="1:13" s="2051" customFormat="1" ht="12.5" x14ac:dyDescent="0.25">
      <c r="A106" s="2047"/>
      <c r="B106" s="3635"/>
      <c r="C106" s="3635"/>
      <c r="D106" s="3636"/>
      <c r="E106" s="3636"/>
      <c r="F106" s="3636"/>
      <c r="G106" s="3636"/>
      <c r="H106" s="3636"/>
      <c r="I106" s="3636"/>
      <c r="J106" s="3636"/>
      <c r="K106" s="3636"/>
      <c r="L106" s="3636"/>
      <c r="M106" s="3636"/>
    </row>
    <row r="107" spans="1:13" s="2051" customFormat="1" ht="12.5" x14ac:dyDescent="0.25">
      <c r="A107" s="2047"/>
      <c r="B107" s="3635"/>
      <c r="C107" s="3635"/>
      <c r="D107" s="3636"/>
      <c r="E107" s="3636"/>
      <c r="F107" s="3636"/>
      <c r="G107" s="3636"/>
      <c r="H107" s="3636"/>
      <c r="I107" s="3636"/>
      <c r="J107" s="3636"/>
      <c r="K107" s="3636"/>
      <c r="L107" s="3636"/>
      <c r="M107" s="3636"/>
    </row>
    <row r="108" spans="1:13" s="2051" customFormat="1" ht="12.5" x14ac:dyDescent="0.25">
      <c r="A108" s="2047"/>
      <c r="B108" s="3635"/>
      <c r="C108" s="3635"/>
      <c r="D108" s="3636"/>
      <c r="E108" s="3636"/>
      <c r="F108" s="3636"/>
      <c r="G108" s="3636"/>
      <c r="H108" s="3636"/>
      <c r="I108" s="3636"/>
      <c r="J108" s="3636"/>
      <c r="K108" s="3636"/>
      <c r="L108" s="3636"/>
      <c r="M108" s="3636"/>
    </row>
    <row r="109" spans="1:13" s="2051" customFormat="1" ht="12.5" x14ac:dyDescent="0.25">
      <c r="A109" s="2047"/>
      <c r="B109" s="3635"/>
      <c r="C109" s="3635"/>
      <c r="D109" s="3636"/>
      <c r="E109" s="3636"/>
      <c r="F109" s="3636"/>
      <c r="G109" s="3636"/>
      <c r="H109" s="3636"/>
      <c r="I109" s="3636"/>
      <c r="J109" s="3636"/>
      <c r="K109" s="3636"/>
      <c r="L109" s="3636"/>
      <c r="M109" s="3636"/>
    </row>
    <row r="110" spans="1:13" s="2040" customFormat="1" x14ac:dyDescent="0.25">
      <c r="A110" s="1980"/>
      <c r="B110" s="1980"/>
      <c r="C110" s="1980"/>
    </row>
    <row r="111" spans="1:13" s="2040" customFormat="1" x14ac:dyDescent="0.25">
      <c r="A111" s="1980"/>
      <c r="B111" s="1980"/>
      <c r="C111" s="1980"/>
    </row>
    <row r="112" spans="1:13" s="1981" customFormat="1" x14ac:dyDescent="0.35">
      <c r="A112" s="3638"/>
      <c r="B112" s="3638"/>
      <c r="C112" s="3638"/>
    </row>
    <row r="113" spans="1:16" s="1981" customFormat="1" x14ac:dyDescent="0.35">
      <c r="A113" s="3638"/>
      <c r="B113" s="3638"/>
      <c r="C113" s="3638"/>
      <c r="N113" s="3639"/>
    </row>
    <row r="114" spans="1:16" s="1981" customFormat="1" x14ac:dyDescent="0.35">
      <c r="A114" s="3638"/>
      <c r="B114" s="3640"/>
      <c r="C114" s="3640"/>
      <c r="D114" s="3641"/>
      <c r="E114" s="3641"/>
      <c r="F114" s="3641"/>
      <c r="G114" s="3642"/>
      <c r="H114" s="3642"/>
      <c r="I114" s="3641"/>
      <c r="J114" s="3643"/>
      <c r="K114" s="3642"/>
      <c r="L114" s="3642"/>
      <c r="M114" s="3641"/>
      <c r="N114" s="3644"/>
      <c r="O114" s="802"/>
      <c r="P114" s="3645"/>
    </row>
    <row r="115" spans="1:16" s="1981" customFormat="1" x14ac:dyDescent="0.35">
      <c r="A115" s="3638"/>
      <c r="B115" s="3646"/>
      <c r="C115" s="3646"/>
      <c r="D115" s="3647"/>
      <c r="E115" s="3647"/>
      <c r="F115" s="3647"/>
      <c r="G115" s="3647"/>
      <c r="H115" s="3647"/>
      <c r="I115" s="3647"/>
      <c r="J115" s="3647"/>
      <c r="K115" s="3647"/>
      <c r="L115" s="3647"/>
      <c r="M115" s="3647"/>
      <c r="N115" s="3648"/>
      <c r="O115" s="3649"/>
      <c r="P115" s="3601"/>
    </row>
    <row r="116" spans="1:16" s="1981" customFormat="1" x14ac:dyDescent="0.35">
      <c r="A116" s="3638"/>
      <c r="B116" s="3646"/>
      <c r="C116" s="3646"/>
      <c r="D116" s="3647"/>
      <c r="E116" s="3647"/>
      <c r="F116" s="3647"/>
      <c r="G116" s="3647"/>
      <c r="H116" s="3647"/>
      <c r="I116" s="3647"/>
      <c r="J116" s="3647"/>
      <c r="K116" s="3647"/>
      <c r="L116" s="3647"/>
      <c r="M116" s="3647"/>
      <c r="N116" s="3648"/>
      <c r="O116" s="3649"/>
      <c r="P116" s="3601"/>
    </row>
    <row r="117" spans="1:16" s="1981" customFormat="1" x14ac:dyDescent="0.35">
      <c r="A117" s="3638"/>
      <c r="B117" s="3646"/>
      <c r="C117" s="3646"/>
      <c r="D117" s="3647"/>
      <c r="E117" s="3647"/>
      <c r="F117" s="3647"/>
      <c r="G117" s="3647"/>
      <c r="H117" s="3647"/>
      <c r="I117" s="3647"/>
      <c r="J117" s="3647"/>
      <c r="K117" s="3647"/>
      <c r="L117" s="3647"/>
      <c r="M117" s="3647"/>
      <c r="N117" s="3648"/>
      <c r="O117" s="3649"/>
      <c r="P117" s="3601"/>
    </row>
    <row r="118" spans="1:16" s="1981" customFormat="1" x14ac:dyDescent="0.35">
      <c r="A118" s="3638"/>
      <c r="B118" s="3646"/>
      <c r="C118" s="3646"/>
      <c r="D118" s="3647"/>
      <c r="E118" s="3647"/>
      <c r="F118" s="3647"/>
      <c r="G118" s="3647"/>
      <c r="H118" s="3647"/>
      <c r="I118" s="3647"/>
      <c r="J118" s="3647"/>
      <c r="K118" s="3647"/>
      <c r="L118" s="3650"/>
      <c r="M118" s="3650"/>
      <c r="N118" s="3651"/>
      <c r="O118" s="3649"/>
      <c r="P118" s="3652"/>
    </row>
    <row r="119" spans="1:16" s="1981" customFormat="1" x14ac:dyDescent="0.35">
      <c r="A119" s="3638"/>
      <c r="B119" s="3646"/>
      <c r="C119" s="3646"/>
      <c r="D119" s="3647"/>
      <c r="E119" s="3647"/>
      <c r="F119" s="3647"/>
      <c r="G119" s="3647"/>
      <c r="H119" s="3647"/>
      <c r="I119" s="3647"/>
      <c r="J119" s="3647"/>
      <c r="K119" s="3647"/>
      <c r="L119" s="3650"/>
      <c r="M119" s="3650"/>
      <c r="N119" s="3651"/>
      <c r="O119" s="3649"/>
      <c r="P119" s="3652"/>
    </row>
    <row r="120" spans="1:16" s="1981" customFormat="1" x14ac:dyDescent="0.35">
      <c r="A120" s="3638"/>
      <c r="B120" s="3638"/>
      <c r="C120" s="3638"/>
      <c r="N120" s="3639"/>
    </row>
    <row r="121" spans="1:16" s="1981" customFormat="1" x14ac:dyDescent="0.35">
      <c r="A121" s="3638"/>
      <c r="B121" s="3638"/>
      <c r="C121" s="3638"/>
      <c r="N121" s="3639"/>
    </row>
    <row r="122" spans="1:16" s="1981" customFormat="1" x14ac:dyDescent="0.35">
      <c r="A122" s="3638"/>
      <c r="B122" s="3640"/>
      <c r="C122" s="3640"/>
      <c r="D122" s="3641"/>
      <c r="E122" s="3641"/>
      <c r="F122" s="3641"/>
      <c r="G122" s="3642"/>
      <c r="H122" s="3642"/>
      <c r="I122" s="3641"/>
      <c r="J122" s="3643"/>
      <c r="K122" s="3642"/>
      <c r="L122" s="3642"/>
      <c r="M122" s="3641"/>
      <c r="N122" s="3653"/>
      <c r="O122" s="802"/>
      <c r="P122" s="3641"/>
    </row>
    <row r="123" spans="1:16" s="2040" customFormat="1" x14ac:dyDescent="0.35">
      <c r="A123" s="3638"/>
      <c r="B123" s="3654"/>
      <c r="C123" s="3654"/>
      <c r="D123" s="3655"/>
      <c r="E123" s="3655"/>
      <c r="F123" s="3655"/>
      <c r="G123" s="3655"/>
      <c r="H123" s="3655"/>
      <c r="I123" s="3655"/>
      <c r="J123" s="3655"/>
      <c r="K123" s="3655"/>
      <c r="L123" s="3655"/>
      <c r="M123" s="3655"/>
      <c r="N123" s="3656"/>
      <c r="O123" s="3506"/>
      <c r="P123" s="3590"/>
    </row>
    <row r="124" spans="1:16" s="2040" customFormat="1" x14ac:dyDescent="0.35">
      <c r="A124" s="1980"/>
      <c r="B124" s="3506"/>
      <c r="C124" s="3506"/>
      <c r="D124" s="3590"/>
      <c r="E124" s="3590"/>
      <c r="F124" s="3590"/>
      <c r="G124" s="3590"/>
      <c r="H124" s="3590"/>
      <c r="I124" s="3590"/>
      <c r="J124" s="3590"/>
      <c r="K124" s="3590"/>
      <c r="L124" s="3590"/>
      <c r="M124" s="3590"/>
      <c r="N124" s="3656"/>
      <c r="O124" s="3506"/>
      <c r="P124" s="3590"/>
    </row>
    <row r="125" spans="1:16" s="2040" customFormat="1" x14ac:dyDescent="0.35">
      <c r="A125" s="1980"/>
      <c r="B125" s="3506"/>
      <c r="C125" s="3506"/>
      <c r="D125" s="3590"/>
      <c r="E125" s="3590"/>
      <c r="F125" s="3590"/>
      <c r="G125" s="3590"/>
      <c r="H125" s="3590"/>
      <c r="I125" s="3590"/>
      <c r="J125" s="3590"/>
      <c r="K125" s="3590"/>
      <c r="L125" s="3590"/>
      <c r="M125" s="3590"/>
      <c r="N125" s="3656"/>
      <c r="O125" s="3506"/>
      <c r="P125" s="3590"/>
    </row>
    <row r="126" spans="1:16" s="2040" customFormat="1" x14ac:dyDescent="0.35">
      <c r="A126" s="1980"/>
      <c r="B126" s="3506"/>
      <c r="C126" s="3506"/>
      <c r="D126" s="3590"/>
      <c r="E126" s="3590"/>
      <c r="F126" s="3590"/>
      <c r="G126" s="3590"/>
      <c r="H126" s="3590"/>
      <c r="I126" s="3590"/>
      <c r="J126" s="3590"/>
      <c r="K126" s="3590"/>
      <c r="L126" s="3590"/>
      <c r="M126" s="3590"/>
      <c r="N126" s="3656"/>
      <c r="O126" s="3506"/>
      <c r="P126" s="3590"/>
    </row>
    <row r="127" spans="1:16" s="2040" customFormat="1" x14ac:dyDescent="0.35">
      <c r="A127" s="1980"/>
      <c r="B127" s="3506"/>
      <c r="C127" s="3506"/>
      <c r="D127" s="3590"/>
      <c r="E127" s="3590"/>
      <c r="F127" s="3590"/>
      <c r="G127" s="3590"/>
      <c r="H127" s="3590"/>
      <c r="I127" s="3590"/>
      <c r="J127" s="3590"/>
      <c r="K127" s="3590"/>
      <c r="L127" s="3590"/>
      <c r="M127" s="3590"/>
      <c r="N127" s="3656"/>
      <c r="O127" s="3506"/>
      <c r="P127" s="3590"/>
    </row>
  </sheetData>
  <mergeCells count="8">
    <mergeCell ref="D35:AC35"/>
    <mergeCell ref="D36:AC36"/>
    <mergeCell ref="D2:AC2"/>
    <mergeCell ref="D3:AC3"/>
    <mergeCell ref="D4:AC4"/>
    <mergeCell ref="E15:K15"/>
    <mergeCell ref="D33:AC33"/>
    <mergeCell ref="D34:AC34"/>
  </mergeCells>
  <pageMargins left="0.74803149606299213" right="0.74803149606299213" top="0.98425196850393704" bottom="0.98425196850393704" header="0.51181102362204722" footer="0.51181102362204722"/>
  <pageSetup paperSize="9" scale="58"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5" tint="-0.249977111117893"/>
    <pageSetUpPr fitToPage="1"/>
  </sheetPr>
  <dimension ref="A1:AC40"/>
  <sheetViews>
    <sheetView showGridLines="0" view="pageBreakPreview" zoomScaleNormal="100" zoomScaleSheetLayoutView="100" workbookViewId="0">
      <selection activeCell="Y27" sqref="Y27"/>
    </sheetView>
  </sheetViews>
  <sheetFormatPr defaultColWidth="9.1796875" defaultRowHeight="14.5" x14ac:dyDescent="0.35"/>
  <cols>
    <col min="1" max="1" width="3.7265625" style="3423" customWidth="1"/>
    <col min="2" max="2" width="13.7265625" style="3420" customWidth="1"/>
    <col min="3" max="3" width="3.7265625" style="3420" customWidth="1"/>
    <col min="4" max="4" width="20.26953125" style="3422" customWidth="1"/>
    <col min="5" max="5" width="8.7265625" style="3422" customWidth="1"/>
    <col min="6" max="7" width="6.54296875" style="3422" bestFit="1" customWidth="1"/>
    <col min="8" max="8" width="6.54296875" style="3677" bestFit="1" customWidth="1"/>
    <col min="9" max="9" width="6.81640625" style="3422" customWidth="1"/>
    <col min="10" max="10" width="6.54296875" style="3422" customWidth="1"/>
    <col min="11" max="11" width="6.81640625" style="3422" customWidth="1"/>
    <col min="12" max="12" width="6.7265625" style="3422" customWidth="1"/>
    <col min="13" max="15" width="6.54296875" style="3422" bestFit="1" customWidth="1"/>
    <col min="16" max="16" width="6.81640625" style="3422" customWidth="1"/>
    <col min="17" max="17" width="6.26953125" style="3422" customWidth="1"/>
    <col min="18" max="18" width="6.453125" style="3422" customWidth="1"/>
    <col min="19" max="19" width="6.54296875" style="3422" bestFit="1" customWidth="1"/>
    <col min="20" max="20" width="6.90625" style="3422" customWidth="1"/>
    <col min="21" max="22" width="6.26953125" style="3422" customWidth="1"/>
    <col min="23" max="23" width="6.54296875" style="3422" bestFit="1" customWidth="1"/>
    <col min="24" max="24" width="6.1796875" style="3422" customWidth="1"/>
    <col min="25" max="25" width="6.36328125" style="3422" customWidth="1"/>
    <col min="26" max="26" width="6" style="3422" customWidth="1"/>
    <col min="27" max="27" width="6.453125" style="3422" customWidth="1"/>
    <col min="28" max="28" width="5.81640625" style="3422" customWidth="1"/>
    <col min="29" max="29" width="6.90625" style="3422" customWidth="1"/>
    <col min="30" max="264" width="9.1796875" style="3422"/>
    <col min="265" max="265" width="3.7265625" style="3422" customWidth="1"/>
    <col min="266" max="266" width="14.453125" style="3422" customWidth="1"/>
    <col min="267" max="267" width="3.7265625" style="3422" customWidth="1"/>
    <col min="268" max="268" width="20.26953125" style="3422" customWidth="1"/>
    <col min="269" max="282" width="9.54296875" style="3422" customWidth="1"/>
    <col min="283" max="284" width="9" style="3422" customWidth="1"/>
    <col min="285" max="520" width="9.1796875" style="3422"/>
    <col min="521" max="521" width="3.7265625" style="3422" customWidth="1"/>
    <col min="522" max="522" width="14.453125" style="3422" customWidth="1"/>
    <col min="523" max="523" width="3.7265625" style="3422" customWidth="1"/>
    <col min="524" max="524" width="20.26953125" style="3422" customWidth="1"/>
    <col min="525" max="538" width="9.54296875" style="3422" customWidth="1"/>
    <col min="539" max="540" width="9" style="3422" customWidth="1"/>
    <col min="541" max="776" width="9.1796875" style="3422"/>
    <col min="777" max="777" width="3.7265625" style="3422" customWidth="1"/>
    <col min="778" max="778" width="14.453125" style="3422" customWidth="1"/>
    <col min="779" max="779" width="3.7265625" style="3422" customWidth="1"/>
    <col min="780" max="780" width="20.26953125" style="3422" customWidth="1"/>
    <col min="781" max="794" width="9.54296875" style="3422" customWidth="1"/>
    <col min="795" max="796" width="9" style="3422" customWidth="1"/>
    <col min="797" max="1032" width="9.1796875" style="3422"/>
    <col min="1033" max="1033" width="3.7265625" style="3422" customWidth="1"/>
    <col min="1034" max="1034" width="14.453125" style="3422" customWidth="1"/>
    <col min="1035" max="1035" width="3.7265625" style="3422" customWidth="1"/>
    <col min="1036" max="1036" width="20.26953125" style="3422" customWidth="1"/>
    <col min="1037" max="1050" width="9.54296875" style="3422" customWidth="1"/>
    <col min="1051" max="1052" width="9" style="3422" customWidth="1"/>
    <col min="1053" max="1288" width="9.1796875" style="3422"/>
    <col min="1289" max="1289" width="3.7265625" style="3422" customWidth="1"/>
    <col min="1290" max="1290" width="14.453125" style="3422" customWidth="1"/>
    <col min="1291" max="1291" width="3.7265625" style="3422" customWidth="1"/>
    <col min="1292" max="1292" width="20.26953125" style="3422" customWidth="1"/>
    <col min="1293" max="1306" width="9.54296875" style="3422" customWidth="1"/>
    <col min="1307" max="1308" width="9" style="3422" customWidth="1"/>
    <col min="1309" max="1544" width="9.1796875" style="3422"/>
    <col min="1545" max="1545" width="3.7265625" style="3422" customWidth="1"/>
    <col min="1546" max="1546" width="14.453125" style="3422" customWidth="1"/>
    <col min="1547" max="1547" width="3.7265625" style="3422" customWidth="1"/>
    <col min="1548" max="1548" width="20.26953125" style="3422" customWidth="1"/>
    <col min="1549" max="1562" width="9.54296875" style="3422" customWidth="1"/>
    <col min="1563" max="1564" width="9" style="3422" customWidth="1"/>
    <col min="1565" max="1800" width="9.1796875" style="3422"/>
    <col min="1801" max="1801" width="3.7265625" style="3422" customWidth="1"/>
    <col min="1802" max="1802" width="14.453125" style="3422" customWidth="1"/>
    <col min="1803" max="1803" width="3.7265625" style="3422" customWidth="1"/>
    <col min="1804" max="1804" width="20.26953125" style="3422" customWidth="1"/>
    <col min="1805" max="1818" width="9.54296875" style="3422" customWidth="1"/>
    <col min="1819" max="1820" width="9" style="3422" customWidth="1"/>
    <col min="1821" max="2056" width="9.1796875" style="3422"/>
    <col min="2057" max="2057" width="3.7265625" style="3422" customWidth="1"/>
    <col min="2058" max="2058" width="14.453125" style="3422" customWidth="1"/>
    <col min="2059" max="2059" width="3.7265625" style="3422" customWidth="1"/>
    <col min="2060" max="2060" width="20.26953125" style="3422" customWidth="1"/>
    <col min="2061" max="2074" width="9.54296875" style="3422" customWidth="1"/>
    <col min="2075" max="2076" width="9" style="3422" customWidth="1"/>
    <col min="2077" max="2312" width="9.1796875" style="3422"/>
    <col min="2313" max="2313" width="3.7265625" style="3422" customWidth="1"/>
    <col min="2314" max="2314" width="14.453125" style="3422" customWidth="1"/>
    <col min="2315" max="2315" width="3.7265625" style="3422" customWidth="1"/>
    <col min="2316" max="2316" width="20.26953125" style="3422" customWidth="1"/>
    <col min="2317" max="2330" width="9.54296875" style="3422" customWidth="1"/>
    <col min="2331" max="2332" width="9" style="3422" customWidth="1"/>
    <col min="2333" max="2568" width="9.1796875" style="3422"/>
    <col min="2569" max="2569" width="3.7265625" style="3422" customWidth="1"/>
    <col min="2570" max="2570" width="14.453125" style="3422" customWidth="1"/>
    <col min="2571" max="2571" width="3.7265625" style="3422" customWidth="1"/>
    <col min="2572" max="2572" width="20.26953125" style="3422" customWidth="1"/>
    <col min="2573" max="2586" width="9.54296875" style="3422" customWidth="1"/>
    <col min="2587" max="2588" width="9" style="3422" customWidth="1"/>
    <col min="2589" max="2824" width="9.1796875" style="3422"/>
    <col min="2825" max="2825" width="3.7265625" style="3422" customWidth="1"/>
    <col min="2826" max="2826" width="14.453125" style="3422" customWidth="1"/>
    <col min="2827" max="2827" width="3.7265625" style="3422" customWidth="1"/>
    <col min="2828" max="2828" width="20.26953125" style="3422" customWidth="1"/>
    <col min="2829" max="2842" width="9.54296875" style="3422" customWidth="1"/>
    <col min="2843" max="2844" width="9" style="3422" customWidth="1"/>
    <col min="2845" max="3080" width="9.1796875" style="3422"/>
    <col min="3081" max="3081" width="3.7265625" style="3422" customWidth="1"/>
    <col min="3082" max="3082" width="14.453125" style="3422" customWidth="1"/>
    <col min="3083" max="3083" width="3.7265625" style="3422" customWidth="1"/>
    <col min="3084" max="3084" width="20.26953125" style="3422" customWidth="1"/>
    <col min="3085" max="3098" width="9.54296875" style="3422" customWidth="1"/>
    <col min="3099" max="3100" width="9" style="3422" customWidth="1"/>
    <col min="3101" max="3336" width="9.1796875" style="3422"/>
    <col min="3337" max="3337" width="3.7265625" style="3422" customWidth="1"/>
    <col min="3338" max="3338" width="14.453125" style="3422" customWidth="1"/>
    <col min="3339" max="3339" width="3.7265625" style="3422" customWidth="1"/>
    <col min="3340" max="3340" width="20.26953125" style="3422" customWidth="1"/>
    <col min="3341" max="3354" width="9.54296875" style="3422" customWidth="1"/>
    <col min="3355" max="3356" width="9" style="3422" customWidth="1"/>
    <col min="3357" max="3592" width="9.1796875" style="3422"/>
    <col min="3593" max="3593" width="3.7265625" style="3422" customWidth="1"/>
    <col min="3594" max="3594" width="14.453125" style="3422" customWidth="1"/>
    <col min="3595" max="3595" width="3.7265625" style="3422" customWidth="1"/>
    <col min="3596" max="3596" width="20.26953125" style="3422" customWidth="1"/>
    <col min="3597" max="3610" width="9.54296875" style="3422" customWidth="1"/>
    <col min="3611" max="3612" width="9" style="3422" customWidth="1"/>
    <col min="3613" max="3848" width="9.1796875" style="3422"/>
    <col min="3849" max="3849" width="3.7265625" style="3422" customWidth="1"/>
    <col min="3850" max="3850" width="14.453125" style="3422" customWidth="1"/>
    <col min="3851" max="3851" width="3.7265625" style="3422" customWidth="1"/>
    <col min="3852" max="3852" width="20.26953125" style="3422" customWidth="1"/>
    <col min="3853" max="3866" width="9.54296875" style="3422" customWidth="1"/>
    <col min="3867" max="3868" width="9" style="3422" customWidth="1"/>
    <col min="3869" max="4104" width="9.1796875" style="3422"/>
    <col min="4105" max="4105" width="3.7265625" style="3422" customWidth="1"/>
    <col min="4106" max="4106" width="14.453125" style="3422" customWidth="1"/>
    <col min="4107" max="4107" width="3.7265625" style="3422" customWidth="1"/>
    <col min="4108" max="4108" width="20.26953125" style="3422" customWidth="1"/>
    <col min="4109" max="4122" width="9.54296875" style="3422" customWidth="1"/>
    <col min="4123" max="4124" width="9" style="3422" customWidth="1"/>
    <col min="4125" max="4360" width="9.1796875" style="3422"/>
    <col min="4361" max="4361" width="3.7265625" style="3422" customWidth="1"/>
    <col min="4362" max="4362" width="14.453125" style="3422" customWidth="1"/>
    <col min="4363" max="4363" width="3.7265625" style="3422" customWidth="1"/>
    <col min="4364" max="4364" width="20.26953125" style="3422" customWidth="1"/>
    <col min="4365" max="4378" width="9.54296875" style="3422" customWidth="1"/>
    <col min="4379" max="4380" width="9" style="3422" customWidth="1"/>
    <col min="4381" max="4616" width="9.1796875" style="3422"/>
    <col min="4617" max="4617" width="3.7265625" style="3422" customWidth="1"/>
    <col min="4618" max="4618" width="14.453125" style="3422" customWidth="1"/>
    <col min="4619" max="4619" width="3.7265625" style="3422" customWidth="1"/>
    <col min="4620" max="4620" width="20.26953125" style="3422" customWidth="1"/>
    <col min="4621" max="4634" width="9.54296875" style="3422" customWidth="1"/>
    <col min="4635" max="4636" width="9" style="3422" customWidth="1"/>
    <col min="4637" max="4872" width="9.1796875" style="3422"/>
    <col min="4873" max="4873" width="3.7265625" style="3422" customWidth="1"/>
    <col min="4874" max="4874" width="14.453125" style="3422" customWidth="1"/>
    <col min="4875" max="4875" width="3.7265625" style="3422" customWidth="1"/>
    <col min="4876" max="4876" width="20.26953125" style="3422" customWidth="1"/>
    <col min="4877" max="4890" width="9.54296875" style="3422" customWidth="1"/>
    <col min="4891" max="4892" width="9" style="3422" customWidth="1"/>
    <col min="4893" max="5128" width="9.1796875" style="3422"/>
    <col min="5129" max="5129" width="3.7265625" style="3422" customWidth="1"/>
    <col min="5130" max="5130" width="14.453125" style="3422" customWidth="1"/>
    <col min="5131" max="5131" width="3.7265625" style="3422" customWidth="1"/>
    <col min="5132" max="5132" width="20.26953125" style="3422" customWidth="1"/>
    <col min="5133" max="5146" width="9.54296875" style="3422" customWidth="1"/>
    <col min="5147" max="5148" width="9" style="3422" customWidth="1"/>
    <col min="5149" max="5384" width="9.1796875" style="3422"/>
    <col min="5385" max="5385" width="3.7265625" style="3422" customWidth="1"/>
    <col min="5386" max="5386" width="14.453125" style="3422" customWidth="1"/>
    <col min="5387" max="5387" width="3.7265625" style="3422" customWidth="1"/>
    <col min="5388" max="5388" width="20.26953125" style="3422" customWidth="1"/>
    <col min="5389" max="5402" width="9.54296875" style="3422" customWidth="1"/>
    <col min="5403" max="5404" width="9" style="3422" customWidth="1"/>
    <col min="5405" max="5640" width="9.1796875" style="3422"/>
    <col min="5641" max="5641" width="3.7265625" style="3422" customWidth="1"/>
    <col min="5642" max="5642" width="14.453125" style="3422" customWidth="1"/>
    <col min="5643" max="5643" width="3.7265625" style="3422" customWidth="1"/>
    <col min="5644" max="5644" width="20.26953125" style="3422" customWidth="1"/>
    <col min="5645" max="5658" width="9.54296875" style="3422" customWidth="1"/>
    <col min="5659" max="5660" width="9" style="3422" customWidth="1"/>
    <col min="5661" max="5896" width="9.1796875" style="3422"/>
    <col min="5897" max="5897" width="3.7265625" style="3422" customWidth="1"/>
    <col min="5898" max="5898" width="14.453125" style="3422" customWidth="1"/>
    <col min="5899" max="5899" width="3.7265625" style="3422" customWidth="1"/>
    <col min="5900" max="5900" width="20.26953125" style="3422" customWidth="1"/>
    <col min="5901" max="5914" width="9.54296875" style="3422" customWidth="1"/>
    <col min="5915" max="5916" width="9" style="3422" customWidth="1"/>
    <col min="5917" max="6152" width="9.1796875" style="3422"/>
    <col min="6153" max="6153" width="3.7265625" style="3422" customWidth="1"/>
    <col min="6154" max="6154" width="14.453125" style="3422" customWidth="1"/>
    <col min="6155" max="6155" width="3.7265625" style="3422" customWidth="1"/>
    <col min="6156" max="6156" width="20.26953125" style="3422" customWidth="1"/>
    <col min="6157" max="6170" width="9.54296875" style="3422" customWidth="1"/>
    <col min="6171" max="6172" width="9" style="3422" customWidth="1"/>
    <col min="6173" max="6408" width="9.1796875" style="3422"/>
    <col min="6409" max="6409" width="3.7265625" style="3422" customWidth="1"/>
    <col min="6410" max="6410" width="14.453125" style="3422" customWidth="1"/>
    <col min="6411" max="6411" width="3.7265625" style="3422" customWidth="1"/>
    <col min="6412" max="6412" width="20.26953125" style="3422" customWidth="1"/>
    <col min="6413" max="6426" width="9.54296875" style="3422" customWidth="1"/>
    <col min="6427" max="6428" width="9" style="3422" customWidth="1"/>
    <col min="6429" max="6664" width="9.1796875" style="3422"/>
    <col min="6665" max="6665" width="3.7265625" style="3422" customWidth="1"/>
    <col min="6666" max="6666" width="14.453125" style="3422" customWidth="1"/>
    <col min="6667" max="6667" width="3.7265625" style="3422" customWidth="1"/>
    <col min="6668" max="6668" width="20.26953125" style="3422" customWidth="1"/>
    <col min="6669" max="6682" width="9.54296875" style="3422" customWidth="1"/>
    <col min="6683" max="6684" width="9" style="3422" customWidth="1"/>
    <col min="6685" max="6920" width="9.1796875" style="3422"/>
    <col min="6921" max="6921" width="3.7265625" style="3422" customWidth="1"/>
    <col min="6922" max="6922" width="14.453125" style="3422" customWidth="1"/>
    <col min="6923" max="6923" width="3.7265625" style="3422" customWidth="1"/>
    <col min="6924" max="6924" width="20.26953125" style="3422" customWidth="1"/>
    <col min="6925" max="6938" width="9.54296875" style="3422" customWidth="1"/>
    <col min="6939" max="6940" width="9" style="3422" customWidth="1"/>
    <col min="6941" max="7176" width="9.1796875" style="3422"/>
    <col min="7177" max="7177" width="3.7265625" style="3422" customWidth="1"/>
    <col min="7178" max="7178" width="14.453125" style="3422" customWidth="1"/>
    <col min="7179" max="7179" width="3.7265625" style="3422" customWidth="1"/>
    <col min="7180" max="7180" width="20.26953125" style="3422" customWidth="1"/>
    <col min="7181" max="7194" width="9.54296875" style="3422" customWidth="1"/>
    <col min="7195" max="7196" width="9" style="3422" customWidth="1"/>
    <col min="7197" max="7432" width="9.1796875" style="3422"/>
    <col min="7433" max="7433" width="3.7265625" style="3422" customWidth="1"/>
    <col min="7434" max="7434" width="14.453125" style="3422" customWidth="1"/>
    <col min="7435" max="7435" width="3.7265625" style="3422" customWidth="1"/>
    <col min="7436" max="7436" width="20.26953125" style="3422" customWidth="1"/>
    <col min="7437" max="7450" width="9.54296875" style="3422" customWidth="1"/>
    <col min="7451" max="7452" width="9" style="3422" customWidth="1"/>
    <col min="7453" max="7688" width="9.1796875" style="3422"/>
    <col min="7689" max="7689" width="3.7265625" style="3422" customWidth="1"/>
    <col min="7690" max="7690" width="14.453125" style="3422" customWidth="1"/>
    <col min="7691" max="7691" width="3.7265625" style="3422" customWidth="1"/>
    <col min="7692" max="7692" width="20.26953125" style="3422" customWidth="1"/>
    <col min="7693" max="7706" width="9.54296875" style="3422" customWidth="1"/>
    <col min="7707" max="7708" width="9" style="3422" customWidth="1"/>
    <col min="7709" max="7944" width="9.1796875" style="3422"/>
    <col min="7945" max="7945" width="3.7265625" style="3422" customWidth="1"/>
    <col min="7946" max="7946" width="14.453125" style="3422" customWidth="1"/>
    <col min="7947" max="7947" width="3.7265625" style="3422" customWidth="1"/>
    <col min="7948" max="7948" width="20.26953125" style="3422" customWidth="1"/>
    <col min="7949" max="7962" width="9.54296875" style="3422" customWidth="1"/>
    <col min="7963" max="7964" width="9" style="3422" customWidth="1"/>
    <col min="7965" max="8200" width="9.1796875" style="3422"/>
    <col min="8201" max="8201" width="3.7265625" style="3422" customWidth="1"/>
    <col min="8202" max="8202" width="14.453125" style="3422" customWidth="1"/>
    <col min="8203" max="8203" width="3.7265625" style="3422" customWidth="1"/>
    <col min="8204" max="8204" width="20.26953125" style="3422" customWidth="1"/>
    <col min="8205" max="8218" width="9.54296875" style="3422" customWidth="1"/>
    <col min="8219" max="8220" width="9" style="3422" customWidth="1"/>
    <col min="8221" max="8456" width="9.1796875" style="3422"/>
    <col min="8457" max="8457" width="3.7265625" style="3422" customWidth="1"/>
    <col min="8458" max="8458" width="14.453125" style="3422" customWidth="1"/>
    <col min="8459" max="8459" width="3.7265625" style="3422" customWidth="1"/>
    <col min="8460" max="8460" width="20.26953125" style="3422" customWidth="1"/>
    <col min="8461" max="8474" width="9.54296875" style="3422" customWidth="1"/>
    <col min="8475" max="8476" width="9" style="3422" customWidth="1"/>
    <col min="8477" max="8712" width="9.1796875" style="3422"/>
    <col min="8713" max="8713" width="3.7265625" style="3422" customWidth="1"/>
    <col min="8714" max="8714" width="14.453125" style="3422" customWidth="1"/>
    <col min="8715" max="8715" width="3.7265625" style="3422" customWidth="1"/>
    <col min="8716" max="8716" width="20.26953125" style="3422" customWidth="1"/>
    <col min="8717" max="8730" width="9.54296875" style="3422" customWidth="1"/>
    <col min="8731" max="8732" width="9" style="3422" customWidth="1"/>
    <col min="8733" max="8968" width="9.1796875" style="3422"/>
    <col min="8969" max="8969" width="3.7265625" style="3422" customWidth="1"/>
    <col min="8970" max="8970" width="14.453125" style="3422" customWidth="1"/>
    <col min="8971" max="8971" width="3.7265625" style="3422" customWidth="1"/>
    <col min="8972" max="8972" width="20.26953125" style="3422" customWidth="1"/>
    <col min="8973" max="8986" width="9.54296875" style="3422" customWidth="1"/>
    <col min="8987" max="8988" width="9" style="3422" customWidth="1"/>
    <col min="8989" max="9224" width="9.1796875" style="3422"/>
    <col min="9225" max="9225" width="3.7265625" style="3422" customWidth="1"/>
    <col min="9226" max="9226" width="14.453125" style="3422" customWidth="1"/>
    <col min="9227" max="9227" width="3.7265625" style="3422" customWidth="1"/>
    <col min="9228" max="9228" width="20.26953125" style="3422" customWidth="1"/>
    <col min="9229" max="9242" width="9.54296875" style="3422" customWidth="1"/>
    <col min="9243" max="9244" width="9" style="3422" customWidth="1"/>
    <col min="9245" max="9480" width="9.1796875" style="3422"/>
    <col min="9481" max="9481" width="3.7265625" style="3422" customWidth="1"/>
    <col min="9482" max="9482" width="14.453125" style="3422" customWidth="1"/>
    <col min="9483" max="9483" width="3.7265625" style="3422" customWidth="1"/>
    <col min="9484" max="9484" width="20.26953125" style="3422" customWidth="1"/>
    <col min="9485" max="9498" width="9.54296875" style="3422" customWidth="1"/>
    <col min="9499" max="9500" width="9" style="3422" customWidth="1"/>
    <col min="9501" max="9736" width="9.1796875" style="3422"/>
    <col min="9737" max="9737" width="3.7265625" style="3422" customWidth="1"/>
    <col min="9738" max="9738" width="14.453125" style="3422" customWidth="1"/>
    <col min="9739" max="9739" width="3.7265625" style="3422" customWidth="1"/>
    <col min="9740" max="9740" width="20.26953125" style="3422" customWidth="1"/>
    <col min="9741" max="9754" width="9.54296875" style="3422" customWidth="1"/>
    <col min="9755" max="9756" width="9" style="3422" customWidth="1"/>
    <col min="9757" max="9992" width="9.1796875" style="3422"/>
    <col min="9993" max="9993" width="3.7265625" style="3422" customWidth="1"/>
    <col min="9994" max="9994" width="14.453125" style="3422" customWidth="1"/>
    <col min="9995" max="9995" width="3.7265625" style="3422" customWidth="1"/>
    <col min="9996" max="9996" width="20.26953125" style="3422" customWidth="1"/>
    <col min="9997" max="10010" width="9.54296875" style="3422" customWidth="1"/>
    <col min="10011" max="10012" width="9" style="3422" customWidth="1"/>
    <col min="10013" max="10248" width="9.1796875" style="3422"/>
    <col min="10249" max="10249" width="3.7265625" style="3422" customWidth="1"/>
    <col min="10250" max="10250" width="14.453125" style="3422" customWidth="1"/>
    <col min="10251" max="10251" width="3.7265625" style="3422" customWidth="1"/>
    <col min="10252" max="10252" width="20.26953125" style="3422" customWidth="1"/>
    <col min="10253" max="10266" width="9.54296875" style="3422" customWidth="1"/>
    <col min="10267" max="10268" width="9" style="3422" customWidth="1"/>
    <col min="10269" max="10504" width="9.1796875" style="3422"/>
    <col min="10505" max="10505" width="3.7265625" style="3422" customWidth="1"/>
    <col min="10506" max="10506" width="14.453125" style="3422" customWidth="1"/>
    <col min="10507" max="10507" width="3.7265625" style="3422" customWidth="1"/>
    <col min="10508" max="10508" width="20.26953125" style="3422" customWidth="1"/>
    <col min="10509" max="10522" width="9.54296875" style="3422" customWidth="1"/>
    <col min="10523" max="10524" width="9" style="3422" customWidth="1"/>
    <col min="10525" max="10760" width="9.1796875" style="3422"/>
    <col min="10761" max="10761" width="3.7265625" style="3422" customWidth="1"/>
    <col min="10762" max="10762" width="14.453125" style="3422" customWidth="1"/>
    <col min="10763" max="10763" width="3.7265625" style="3422" customWidth="1"/>
    <col min="10764" max="10764" width="20.26953125" style="3422" customWidth="1"/>
    <col min="10765" max="10778" width="9.54296875" style="3422" customWidth="1"/>
    <col min="10779" max="10780" width="9" style="3422" customWidth="1"/>
    <col min="10781" max="11016" width="9.1796875" style="3422"/>
    <col min="11017" max="11017" width="3.7265625" style="3422" customWidth="1"/>
    <col min="11018" max="11018" width="14.453125" style="3422" customWidth="1"/>
    <col min="11019" max="11019" width="3.7265625" style="3422" customWidth="1"/>
    <col min="11020" max="11020" width="20.26953125" style="3422" customWidth="1"/>
    <col min="11021" max="11034" width="9.54296875" style="3422" customWidth="1"/>
    <col min="11035" max="11036" width="9" style="3422" customWidth="1"/>
    <col min="11037" max="11272" width="9.1796875" style="3422"/>
    <col min="11273" max="11273" width="3.7265625" style="3422" customWidth="1"/>
    <col min="11274" max="11274" width="14.453125" style="3422" customWidth="1"/>
    <col min="11275" max="11275" width="3.7265625" style="3422" customWidth="1"/>
    <col min="11276" max="11276" width="20.26953125" style="3422" customWidth="1"/>
    <col min="11277" max="11290" width="9.54296875" style="3422" customWidth="1"/>
    <col min="11291" max="11292" width="9" style="3422" customWidth="1"/>
    <col min="11293" max="11528" width="9.1796875" style="3422"/>
    <col min="11529" max="11529" width="3.7265625" style="3422" customWidth="1"/>
    <col min="11530" max="11530" width="14.453125" style="3422" customWidth="1"/>
    <col min="11531" max="11531" width="3.7265625" style="3422" customWidth="1"/>
    <col min="11532" max="11532" width="20.26953125" style="3422" customWidth="1"/>
    <col min="11533" max="11546" width="9.54296875" style="3422" customWidth="1"/>
    <col min="11547" max="11548" width="9" style="3422" customWidth="1"/>
    <col min="11549" max="11784" width="9.1796875" style="3422"/>
    <col min="11785" max="11785" width="3.7265625" style="3422" customWidth="1"/>
    <col min="11786" max="11786" width="14.453125" style="3422" customWidth="1"/>
    <col min="11787" max="11787" width="3.7265625" style="3422" customWidth="1"/>
    <col min="11788" max="11788" width="20.26953125" style="3422" customWidth="1"/>
    <col min="11789" max="11802" width="9.54296875" style="3422" customWidth="1"/>
    <col min="11803" max="11804" width="9" style="3422" customWidth="1"/>
    <col min="11805" max="12040" width="9.1796875" style="3422"/>
    <col min="12041" max="12041" width="3.7265625" style="3422" customWidth="1"/>
    <col min="12042" max="12042" width="14.453125" style="3422" customWidth="1"/>
    <col min="12043" max="12043" width="3.7265625" style="3422" customWidth="1"/>
    <col min="12044" max="12044" width="20.26953125" style="3422" customWidth="1"/>
    <col min="12045" max="12058" width="9.54296875" style="3422" customWidth="1"/>
    <col min="12059" max="12060" width="9" style="3422" customWidth="1"/>
    <col min="12061" max="12296" width="9.1796875" style="3422"/>
    <col min="12297" max="12297" width="3.7265625" style="3422" customWidth="1"/>
    <col min="12298" max="12298" width="14.453125" style="3422" customWidth="1"/>
    <col min="12299" max="12299" width="3.7265625" style="3422" customWidth="1"/>
    <col min="12300" max="12300" width="20.26953125" style="3422" customWidth="1"/>
    <col min="12301" max="12314" width="9.54296875" style="3422" customWidth="1"/>
    <col min="12315" max="12316" width="9" style="3422" customWidth="1"/>
    <col min="12317" max="12552" width="9.1796875" style="3422"/>
    <col min="12553" max="12553" width="3.7265625" style="3422" customWidth="1"/>
    <col min="12554" max="12554" width="14.453125" style="3422" customWidth="1"/>
    <col min="12555" max="12555" width="3.7265625" style="3422" customWidth="1"/>
    <col min="12556" max="12556" width="20.26953125" style="3422" customWidth="1"/>
    <col min="12557" max="12570" width="9.54296875" style="3422" customWidth="1"/>
    <col min="12571" max="12572" width="9" style="3422" customWidth="1"/>
    <col min="12573" max="12808" width="9.1796875" style="3422"/>
    <col min="12809" max="12809" width="3.7265625" style="3422" customWidth="1"/>
    <col min="12810" max="12810" width="14.453125" style="3422" customWidth="1"/>
    <col min="12811" max="12811" width="3.7265625" style="3422" customWidth="1"/>
    <col min="12812" max="12812" width="20.26953125" style="3422" customWidth="1"/>
    <col min="12813" max="12826" width="9.54296875" style="3422" customWidth="1"/>
    <col min="12827" max="12828" width="9" style="3422" customWidth="1"/>
    <col min="12829" max="13064" width="9.1796875" style="3422"/>
    <col min="13065" max="13065" width="3.7265625" style="3422" customWidth="1"/>
    <col min="13066" max="13066" width="14.453125" style="3422" customWidth="1"/>
    <col min="13067" max="13067" width="3.7265625" style="3422" customWidth="1"/>
    <col min="13068" max="13068" width="20.26953125" style="3422" customWidth="1"/>
    <col min="13069" max="13082" width="9.54296875" style="3422" customWidth="1"/>
    <col min="13083" max="13084" width="9" style="3422" customWidth="1"/>
    <col min="13085" max="13320" width="9.1796875" style="3422"/>
    <col min="13321" max="13321" width="3.7265625" style="3422" customWidth="1"/>
    <col min="13322" max="13322" width="14.453125" style="3422" customWidth="1"/>
    <col min="13323" max="13323" width="3.7265625" style="3422" customWidth="1"/>
    <col min="13324" max="13324" width="20.26953125" style="3422" customWidth="1"/>
    <col min="13325" max="13338" width="9.54296875" style="3422" customWidth="1"/>
    <col min="13339" max="13340" width="9" style="3422" customWidth="1"/>
    <col min="13341" max="13576" width="9.1796875" style="3422"/>
    <col min="13577" max="13577" width="3.7265625" style="3422" customWidth="1"/>
    <col min="13578" max="13578" width="14.453125" style="3422" customWidth="1"/>
    <col min="13579" max="13579" width="3.7265625" style="3422" customWidth="1"/>
    <col min="13580" max="13580" width="20.26953125" style="3422" customWidth="1"/>
    <col min="13581" max="13594" width="9.54296875" style="3422" customWidth="1"/>
    <col min="13595" max="13596" width="9" style="3422" customWidth="1"/>
    <col min="13597" max="13832" width="9.1796875" style="3422"/>
    <col min="13833" max="13833" width="3.7265625" style="3422" customWidth="1"/>
    <col min="13834" max="13834" width="14.453125" style="3422" customWidth="1"/>
    <col min="13835" max="13835" width="3.7265625" style="3422" customWidth="1"/>
    <col min="13836" max="13836" width="20.26953125" style="3422" customWidth="1"/>
    <col min="13837" max="13850" width="9.54296875" style="3422" customWidth="1"/>
    <col min="13851" max="13852" width="9" style="3422" customWidth="1"/>
    <col min="13853" max="14088" width="9.1796875" style="3422"/>
    <col min="14089" max="14089" width="3.7265625" style="3422" customWidth="1"/>
    <col min="14090" max="14090" width="14.453125" style="3422" customWidth="1"/>
    <col min="14091" max="14091" width="3.7265625" style="3422" customWidth="1"/>
    <col min="14092" max="14092" width="20.26953125" style="3422" customWidth="1"/>
    <col min="14093" max="14106" width="9.54296875" style="3422" customWidth="1"/>
    <col min="14107" max="14108" width="9" style="3422" customWidth="1"/>
    <col min="14109" max="14344" width="9.1796875" style="3422"/>
    <col min="14345" max="14345" width="3.7265625" style="3422" customWidth="1"/>
    <col min="14346" max="14346" width="14.453125" style="3422" customWidth="1"/>
    <col min="14347" max="14347" width="3.7265625" style="3422" customWidth="1"/>
    <col min="14348" max="14348" width="20.26953125" style="3422" customWidth="1"/>
    <col min="14349" max="14362" width="9.54296875" style="3422" customWidth="1"/>
    <col min="14363" max="14364" width="9" style="3422" customWidth="1"/>
    <col min="14365" max="14600" width="9.1796875" style="3422"/>
    <col min="14601" max="14601" width="3.7265625" style="3422" customWidth="1"/>
    <col min="14602" max="14602" width="14.453125" style="3422" customWidth="1"/>
    <col min="14603" max="14603" width="3.7265625" style="3422" customWidth="1"/>
    <col min="14604" max="14604" width="20.26953125" style="3422" customWidth="1"/>
    <col min="14605" max="14618" width="9.54296875" style="3422" customWidth="1"/>
    <col min="14619" max="14620" width="9" style="3422" customWidth="1"/>
    <col min="14621" max="14856" width="9.1796875" style="3422"/>
    <col min="14857" max="14857" width="3.7265625" style="3422" customWidth="1"/>
    <col min="14858" max="14858" width="14.453125" style="3422" customWidth="1"/>
    <col min="14859" max="14859" width="3.7265625" style="3422" customWidth="1"/>
    <col min="14860" max="14860" width="20.26953125" style="3422" customWidth="1"/>
    <col min="14861" max="14874" width="9.54296875" style="3422" customWidth="1"/>
    <col min="14875" max="14876" width="9" style="3422" customWidth="1"/>
    <col min="14877" max="15112" width="9.1796875" style="3422"/>
    <col min="15113" max="15113" width="3.7265625" style="3422" customWidth="1"/>
    <col min="15114" max="15114" width="14.453125" style="3422" customWidth="1"/>
    <col min="15115" max="15115" width="3.7265625" style="3422" customWidth="1"/>
    <col min="15116" max="15116" width="20.26953125" style="3422" customWidth="1"/>
    <col min="15117" max="15130" width="9.54296875" style="3422" customWidth="1"/>
    <col min="15131" max="15132" width="9" style="3422" customWidth="1"/>
    <col min="15133" max="15368" width="9.1796875" style="3422"/>
    <col min="15369" max="15369" width="3.7265625" style="3422" customWidth="1"/>
    <col min="15370" max="15370" width="14.453125" style="3422" customWidth="1"/>
    <col min="15371" max="15371" width="3.7265625" style="3422" customWidth="1"/>
    <col min="15372" max="15372" width="20.26953125" style="3422" customWidth="1"/>
    <col min="15373" max="15386" width="9.54296875" style="3422" customWidth="1"/>
    <col min="15387" max="15388" width="9" style="3422" customWidth="1"/>
    <col min="15389" max="15624" width="9.1796875" style="3422"/>
    <col min="15625" max="15625" width="3.7265625" style="3422" customWidth="1"/>
    <col min="15626" max="15626" width="14.453125" style="3422" customWidth="1"/>
    <col min="15627" max="15627" width="3.7265625" style="3422" customWidth="1"/>
    <col min="15628" max="15628" width="20.26953125" style="3422" customWidth="1"/>
    <col min="15629" max="15642" width="9.54296875" style="3422" customWidth="1"/>
    <col min="15643" max="15644" width="9" style="3422" customWidth="1"/>
    <col min="15645" max="15880" width="9.1796875" style="3422"/>
    <col min="15881" max="15881" width="3.7265625" style="3422" customWidth="1"/>
    <col min="15882" max="15882" width="14.453125" style="3422" customWidth="1"/>
    <col min="15883" max="15883" width="3.7265625" style="3422" customWidth="1"/>
    <col min="15884" max="15884" width="20.26953125" style="3422" customWidth="1"/>
    <col min="15885" max="15898" width="9.54296875" style="3422" customWidth="1"/>
    <col min="15899" max="15900" width="9" style="3422" customWidth="1"/>
    <col min="15901" max="16136" width="9.1796875" style="3422"/>
    <col min="16137" max="16137" width="3.7265625" style="3422" customWidth="1"/>
    <col min="16138" max="16138" width="14.453125" style="3422" customWidth="1"/>
    <col min="16139" max="16139" width="3.7265625" style="3422" customWidth="1"/>
    <col min="16140" max="16140" width="20.26953125" style="3422" customWidth="1"/>
    <col min="16141" max="16154" width="9.54296875" style="3422" customWidth="1"/>
    <col min="16155" max="16156" width="9" style="3422" customWidth="1"/>
    <col min="16157" max="16384" width="9.1796875" style="3422"/>
  </cols>
  <sheetData>
    <row r="1" spans="1:29" x14ac:dyDescent="0.35">
      <c r="D1" s="3421"/>
      <c r="E1" s="3421"/>
      <c r="F1" s="3421"/>
      <c r="G1" s="3421"/>
      <c r="H1" s="3657"/>
      <c r="I1" s="3421"/>
      <c r="J1" s="3421"/>
      <c r="K1" s="3421"/>
      <c r="L1" s="3421"/>
      <c r="M1" s="3421"/>
      <c r="N1" s="3421"/>
      <c r="O1" s="3421"/>
      <c r="P1" s="3421"/>
      <c r="Q1" s="3421"/>
      <c r="R1" s="3421"/>
      <c r="S1" s="3421"/>
      <c r="T1" s="3421"/>
      <c r="U1" s="3421"/>
      <c r="V1" s="3421"/>
      <c r="W1" s="3421"/>
      <c r="X1" s="3421"/>
      <c r="Y1" s="3421"/>
      <c r="Z1" s="3421"/>
    </row>
    <row r="2" spans="1:29" ht="15" customHeight="1" x14ac:dyDescent="0.35">
      <c r="A2" s="3423">
        <v>1</v>
      </c>
      <c r="B2" s="3423" t="s">
        <v>0</v>
      </c>
      <c r="C2" s="3423">
        <v>64</v>
      </c>
      <c r="D2" s="3658" t="s">
        <v>1444</v>
      </c>
      <c r="E2" s="3659"/>
      <c r="F2" s="3659"/>
      <c r="G2" s="3659"/>
      <c r="H2" s="3659"/>
      <c r="I2" s="3659"/>
      <c r="J2" s="3659"/>
      <c r="K2" s="3659"/>
      <c r="L2" s="3659"/>
      <c r="M2" s="3659"/>
      <c r="N2" s="3659"/>
      <c r="O2" s="3659"/>
      <c r="P2" s="3659"/>
      <c r="Q2" s="3659"/>
      <c r="R2" s="3659"/>
      <c r="S2" s="3659"/>
      <c r="T2" s="3659"/>
      <c r="U2" s="3659"/>
      <c r="V2" s="3659"/>
      <c r="W2" s="3659"/>
      <c r="X2" s="3659"/>
      <c r="Y2" s="3660"/>
      <c r="Z2" s="3660"/>
      <c r="AA2" s="3660"/>
      <c r="AB2" s="3661"/>
    </row>
    <row r="3" spans="1:29" ht="15" customHeight="1" x14ac:dyDescent="0.35">
      <c r="A3" s="3423">
        <v>2</v>
      </c>
      <c r="B3" s="3423" t="s">
        <v>2</v>
      </c>
      <c r="C3" s="3423"/>
      <c r="D3" s="4651" t="s">
        <v>1391</v>
      </c>
      <c r="E3" s="5030"/>
      <c r="F3" s="5030"/>
      <c r="G3" s="5030"/>
      <c r="H3" s="5030"/>
      <c r="I3" s="5030"/>
      <c r="J3" s="5030"/>
      <c r="K3" s="5030"/>
      <c r="L3" s="5030"/>
      <c r="M3" s="5030"/>
      <c r="N3" s="5030"/>
      <c r="O3" s="5030"/>
      <c r="P3" s="5030"/>
      <c r="Q3" s="5030"/>
      <c r="R3" s="5030"/>
      <c r="S3" s="5030"/>
      <c r="T3" s="5030"/>
      <c r="U3" s="5030"/>
      <c r="V3" s="5030"/>
      <c r="W3" s="5030"/>
      <c r="X3" s="5030"/>
      <c r="Y3" s="5031"/>
      <c r="Z3" s="5031"/>
      <c r="AA3" s="5031"/>
      <c r="AB3" s="5032"/>
    </row>
    <row r="4" spans="1:29" ht="12.75" customHeight="1" x14ac:dyDescent="0.35">
      <c r="A4" s="3423">
        <v>3</v>
      </c>
      <c r="B4" s="3423" t="s">
        <v>4</v>
      </c>
      <c r="C4" s="3423"/>
      <c r="D4" s="4651" t="s">
        <v>1445</v>
      </c>
      <c r="E4" s="5030"/>
      <c r="F4" s="5030"/>
      <c r="G4" s="5030"/>
      <c r="H4" s="5030"/>
      <c r="I4" s="5030"/>
      <c r="J4" s="5030"/>
      <c r="K4" s="5030"/>
      <c r="L4" s="5030"/>
      <c r="M4" s="5030"/>
      <c r="N4" s="5030"/>
      <c r="O4" s="5030"/>
      <c r="P4" s="5030"/>
      <c r="Q4" s="5030"/>
      <c r="R4" s="5030"/>
      <c r="S4" s="5030"/>
      <c r="T4" s="5030"/>
      <c r="U4" s="5030"/>
      <c r="V4" s="5030"/>
      <c r="W4" s="5030"/>
      <c r="X4" s="5030"/>
      <c r="Y4" s="5031"/>
      <c r="Z4" s="5031"/>
      <c r="AA4" s="5031"/>
      <c r="AB4" s="5032"/>
    </row>
    <row r="5" spans="1:29" ht="12.75" customHeight="1" x14ac:dyDescent="0.35">
      <c r="B5" s="3423"/>
      <c r="C5" s="3423"/>
      <c r="D5" s="948"/>
      <c r="E5" s="3662"/>
      <c r="F5" s="3662"/>
      <c r="G5" s="3662"/>
      <c r="H5" s="3662"/>
      <c r="I5" s="3662"/>
      <c r="J5" s="3662"/>
      <c r="K5" s="3662"/>
      <c r="L5" s="3662"/>
      <c r="M5" s="3662"/>
      <c r="N5" s="3662"/>
      <c r="O5" s="3662"/>
      <c r="P5" s="3662"/>
      <c r="Q5" s="3662"/>
      <c r="R5" s="3662"/>
      <c r="S5" s="3662"/>
      <c r="T5" s="3662"/>
      <c r="U5" s="3662"/>
      <c r="V5" s="3662"/>
      <c r="W5" s="3662"/>
      <c r="X5" s="3662"/>
      <c r="Y5" s="3663"/>
      <c r="Z5" s="3663"/>
      <c r="AA5" s="3663"/>
      <c r="AB5" s="3664"/>
    </row>
    <row r="6" spans="1:29" x14ac:dyDescent="0.35">
      <c r="A6" s="3423">
        <v>4</v>
      </c>
      <c r="B6" s="3423" t="s">
        <v>6</v>
      </c>
      <c r="C6" s="3423"/>
      <c r="D6" s="313" t="s">
        <v>85</v>
      </c>
      <c r="E6" s="89" t="s">
        <v>1446</v>
      </c>
      <c r="F6" s="89"/>
      <c r="G6" s="89"/>
      <c r="H6" s="89"/>
      <c r="I6" s="3665"/>
      <c r="J6" s="3665"/>
      <c r="K6" s="89"/>
      <c r="L6" s="89"/>
      <c r="M6" s="330"/>
      <c r="N6" s="89"/>
      <c r="O6" s="89"/>
      <c r="P6" s="330"/>
      <c r="Q6" s="89"/>
      <c r="R6" s="89"/>
      <c r="S6" s="89"/>
      <c r="T6" s="89"/>
      <c r="U6" s="89"/>
      <c r="V6" s="2079"/>
      <c r="W6" s="2079"/>
      <c r="X6" s="2079"/>
      <c r="Y6" s="330"/>
      <c r="Z6" s="330"/>
      <c r="AA6" s="330"/>
      <c r="AB6" s="330"/>
    </row>
    <row r="7" spans="1:29" x14ac:dyDescent="0.35">
      <c r="A7" s="3666"/>
      <c r="B7" s="3423"/>
      <c r="C7" s="3423"/>
      <c r="D7" s="3538"/>
      <c r="E7" s="3667" t="s">
        <v>103</v>
      </c>
      <c r="F7" s="3667" t="s">
        <v>104</v>
      </c>
      <c r="G7" s="3667" t="s">
        <v>105</v>
      </c>
      <c r="H7" s="3667" t="s">
        <v>106</v>
      </c>
      <c r="I7" s="3668" t="s">
        <v>107</v>
      </c>
      <c r="J7" s="3668" t="s">
        <v>108</v>
      </c>
      <c r="K7" s="3667" t="s">
        <v>109</v>
      </c>
      <c r="L7" s="3669" t="s">
        <v>110</v>
      </c>
      <c r="M7" s="3669" t="s">
        <v>111</v>
      </c>
      <c r="N7" s="3669" t="s">
        <v>112</v>
      </c>
      <c r="O7" s="3669" t="s">
        <v>113</v>
      </c>
      <c r="P7" s="3669" t="s">
        <v>114</v>
      </c>
      <c r="Q7" s="3669" t="s">
        <v>115</v>
      </c>
      <c r="R7" s="3669" t="s">
        <v>116</v>
      </c>
      <c r="S7" s="3669" t="s">
        <v>117</v>
      </c>
      <c r="T7" s="1274" t="s">
        <v>118</v>
      </c>
      <c r="U7" s="1274" t="s">
        <v>119</v>
      </c>
      <c r="V7" s="1274" t="s">
        <v>120</v>
      </c>
      <c r="W7" s="1274" t="s">
        <v>121</v>
      </c>
      <c r="X7" s="1274" t="s">
        <v>122</v>
      </c>
      <c r="Y7" s="1274" t="s">
        <v>123</v>
      </c>
      <c r="Z7" s="1274" t="s">
        <v>124</v>
      </c>
      <c r="AA7" s="1520" t="s">
        <v>125</v>
      </c>
      <c r="AB7" s="1520" t="s">
        <v>126</v>
      </c>
      <c r="AC7" s="4417" t="s">
        <v>302</v>
      </c>
    </row>
    <row r="8" spans="1:29" x14ac:dyDescent="0.35">
      <c r="A8" s="3666"/>
      <c r="B8" s="1420"/>
      <c r="C8" s="1420"/>
      <c r="D8" s="800" t="s">
        <v>1447</v>
      </c>
      <c r="E8" s="802"/>
      <c r="F8" s="802"/>
      <c r="G8" s="802"/>
      <c r="H8" s="802"/>
      <c r="I8" s="3645"/>
      <c r="J8" s="3645"/>
      <c r="K8" s="802"/>
      <c r="L8" s="3670"/>
      <c r="M8" s="3670"/>
      <c r="N8" s="3670"/>
      <c r="O8" s="3670"/>
      <c r="P8" s="3670"/>
      <c r="Q8" s="3670"/>
      <c r="R8" s="3670"/>
      <c r="S8" s="3670"/>
      <c r="T8" s="4418"/>
      <c r="U8" s="4418"/>
      <c r="V8" s="4418"/>
      <c r="W8" s="4418"/>
      <c r="X8" s="4418"/>
      <c r="Y8" s="874"/>
      <c r="Z8" s="874"/>
      <c r="AA8" s="4419"/>
      <c r="AB8" s="4419"/>
      <c r="AC8" s="3413"/>
    </row>
    <row r="9" spans="1:29" x14ac:dyDescent="0.35">
      <c r="B9" s="5033"/>
      <c r="C9" s="3671"/>
      <c r="D9" s="1956" t="s">
        <v>1448</v>
      </c>
      <c r="E9" s="3601">
        <v>67.90893930971751</v>
      </c>
      <c r="F9" s="3601">
        <v>62.759382965122363</v>
      </c>
      <c r="G9" s="3601">
        <v>59.478235522736107</v>
      </c>
      <c r="H9" s="3601">
        <v>59.837588112021344</v>
      </c>
      <c r="I9" s="3601">
        <v>52.501135368408086</v>
      </c>
      <c r="J9" s="3601">
        <v>49.805772822817829</v>
      </c>
      <c r="K9" s="3601">
        <v>47.757934008508478</v>
      </c>
      <c r="L9" s="3601">
        <v>47.418095377055813</v>
      </c>
      <c r="M9" s="3601">
        <v>42.73800107013161</v>
      </c>
      <c r="N9" s="3601">
        <v>40.299999999999997</v>
      </c>
      <c r="O9" s="3601">
        <v>39.6</v>
      </c>
      <c r="P9" s="3601">
        <v>40.5</v>
      </c>
      <c r="Q9" s="3601">
        <v>38.6</v>
      </c>
      <c r="R9" s="3601">
        <v>37.299999999999997</v>
      </c>
      <c r="S9" s="3601">
        <v>34.1</v>
      </c>
      <c r="T9" s="3652">
        <f>(15893/51029719.02)*100000</f>
        <v>31.144596335658992</v>
      </c>
      <c r="U9" s="3652">
        <f>(15554/51759547.67)*100000</f>
        <v>30.050494450157547</v>
      </c>
      <c r="V9" s="3652">
        <f>(16213/52517864.18)*100000</f>
        <v>30.871400147636393</v>
      </c>
      <c r="W9" s="3652">
        <f>(17023/53304520.02)*100000</f>
        <v>31.935378076029806</v>
      </c>
      <c r="X9" s="3652">
        <f>(17805/54120306.16)*100000</f>
        <v>32.898926970889107</v>
      </c>
      <c r="Y9" s="3652">
        <f>(18673/54965281.74)*100000</f>
        <v>33.972353836605663</v>
      </c>
      <c r="Z9" s="4409">
        <f>(19016/55843010.66)*100000</f>
        <v>34.052605286235121</v>
      </c>
      <c r="AA9" s="3652">
        <f>(20336/56753326.89)*100000</f>
        <v>35.832260616924692</v>
      </c>
      <c r="AB9" s="3652">
        <f>(21022/57698414.32)*100000</f>
        <v>36.434276830226757</v>
      </c>
      <c r="AC9" s="3652">
        <f>(21325/58678234.75)*100000</f>
        <v>36.342265732525291</v>
      </c>
    </row>
    <row r="10" spans="1:29" x14ac:dyDescent="0.35">
      <c r="B10" s="5033"/>
      <c r="C10" s="3671"/>
      <c r="D10" s="1956" t="s">
        <v>1449</v>
      </c>
      <c r="E10" s="3601">
        <v>67.906412653494357</v>
      </c>
      <c r="F10" s="3601">
        <v>70.412725858317103</v>
      </c>
      <c r="G10" s="3601">
        <v>68.366206762534006</v>
      </c>
      <c r="H10" s="3601">
        <v>70.35863974090303</v>
      </c>
      <c r="I10" s="3601">
        <v>65.449897962589432</v>
      </c>
      <c r="J10" s="3601">
        <v>64.38720369336427</v>
      </c>
      <c r="K10" s="3601">
        <v>69.819622935213999</v>
      </c>
      <c r="L10" s="3601">
        <v>78.896688085955475</v>
      </c>
      <c r="M10" s="3601">
        <v>64.839997991589897</v>
      </c>
      <c r="N10" s="3601">
        <v>52.6</v>
      </c>
      <c r="O10" s="3601">
        <v>43.8</v>
      </c>
      <c r="P10" s="3601">
        <v>42.5</v>
      </c>
      <c r="Q10" s="3601">
        <v>39.299999999999997</v>
      </c>
      <c r="R10" s="3601">
        <v>37.6</v>
      </c>
      <c r="S10" s="3601">
        <v>35.299999999999997</v>
      </c>
      <c r="T10" s="3652">
        <f>(15360/51029719.02)*100000</f>
        <v>30.100106947443656</v>
      </c>
      <c r="U10" s="3652">
        <f>(14730/51759547.67)*100000</f>
        <v>28.458517632173116</v>
      </c>
      <c r="V10" s="3652">
        <f>(16236/52517864.18)*100000</f>
        <v>30.915194769445783</v>
      </c>
      <c r="W10" s="3652">
        <f>(16989/53304520.02)*100000</f>
        <v>31.871593616499467</v>
      </c>
      <c r="X10" s="3652">
        <f>(17537/54120306.16)*100000</f>
        <v>32.403733911175642</v>
      </c>
      <c r="Y10" s="3652">
        <f>(18127/54965281.74)*100000</f>
        <v>32.978999517814536</v>
      </c>
      <c r="Z10" s="4409">
        <f>(18205/55843010.66)*100000</f>
        <v>32.600319690571638</v>
      </c>
      <c r="AA10" s="3652">
        <f>(18233/56753326.89)*100000</f>
        <v>32.126750975038746</v>
      </c>
      <c r="AB10" s="3652">
        <f>(18980/57698414.32)*100000</f>
        <v>32.895184770131479</v>
      </c>
      <c r="AC10" s="3652">
        <f>(18635/58678234.75)*100000</f>
        <v>31.757942411517416</v>
      </c>
    </row>
    <row r="11" spans="1:29" x14ac:dyDescent="0.35">
      <c r="B11" s="5033"/>
      <c r="C11" s="3671"/>
      <c r="D11" s="1956" t="s">
        <v>1450</v>
      </c>
      <c r="E11" s="3601">
        <v>520.50634190712015</v>
      </c>
      <c r="F11" s="3601">
        <v>500.25905801837609</v>
      </c>
      <c r="G11" s="3601">
        <v>489.01331130975518</v>
      </c>
      <c r="H11" s="3601">
        <v>485.04000762049913</v>
      </c>
      <c r="I11" s="3601">
        <v>538.9100793098354</v>
      </c>
      <c r="J11" s="3601">
        <v>569.66468591929822</v>
      </c>
      <c r="K11" s="3601">
        <v>584.30900751003276</v>
      </c>
      <c r="L11" s="3601">
        <v>621.57680204602934</v>
      </c>
      <c r="M11" s="3601">
        <v>605.67491407611556</v>
      </c>
      <c r="N11" s="3601">
        <v>575</v>
      </c>
      <c r="O11" s="3601">
        <v>485.3</v>
      </c>
      <c r="P11" s="3601">
        <v>443.2</v>
      </c>
      <c r="Q11" s="3601">
        <v>413.9</v>
      </c>
      <c r="R11" s="3601">
        <v>396.1</v>
      </c>
      <c r="S11" s="3601">
        <v>400</v>
      </c>
      <c r="T11" s="3652">
        <f>(184103/51029719.02)*100000</f>
        <v>360.7760409729961</v>
      </c>
      <c r="U11" s="3652">
        <f>(180165/51759547.67)*100000</f>
        <v>348.08070802447179</v>
      </c>
      <c r="V11" s="3652">
        <f>(171653/52517864.18)*100000</f>
        <v>326.84687901944301</v>
      </c>
      <c r="W11" s="3652">
        <f>(166081/53304520.02)*100000</f>
        <v>311.5702006840807</v>
      </c>
      <c r="X11" s="3652">
        <f>(161486/54120306.16)*100000</f>
        <v>298.38338224212293</v>
      </c>
      <c r="Y11" s="3652">
        <f>(164958/54965281.74)*100000</f>
        <v>300.11308007169691</v>
      </c>
      <c r="Z11" s="4409">
        <f>(156450/55843010.66)*100000</f>
        <v>280.16039635209739</v>
      </c>
      <c r="AA11" s="3652">
        <f>(156243/56753326.89)*100000</f>
        <v>275.30192248083029</v>
      </c>
      <c r="AB11" s="3652">
        <f>(162012/57698414.32)*100000</f>
        <v>280.79107876599267</v>
      </c>
      <c r="AC11" s="3652">
        <f>(165494/58678234.75)*100000</f>
        <v>282.03643259735247</v>
      </c>
    </row>
    <row r="12" spans="1:29" x14ac:dyDescent="0.35">
      <c r="B12" s="5033"/>
      <c r="C12" s="3671"/>
      <c r="D12" s="1956" t="s">
        <v>1451</v>
      </c>
      <c r="E12" s="3601">
        <v>563.68942341704985</v>
      </c>
      <c r="F12" s="3601">
        <v>570.42045065869388</v>
      </c>
      <c r="G12" s="3601">
        <v>570.39205207928489</v>
      </c>
      <c r="H12" s="3601">
        <v>566.34120784911408</v>
      </c>
      <c r="I12" s="3601">
        <v>608.07853671875387</v>
      </c>
      <c r="J12" s="3601">
        <v>630.15816686371431</v>
      </c>
      <c r="K12" s="3601">
        <v>589.05244912190324</v>
      </c>
      <c r="L12" s="3601">
        <v>585.92467772063662</v>
      </c>
      <c r="M12" s="3601">
        <v>560.70342989921153</v>
      </c>
      <c r="N12" s="3601">
        <v>535.29999999999995</v>
      </c>
      <c r="O12" s="3601">
        <v>484</v>
      </c>
      <c r="P12" s="3601">
        <v>460.1</v>
      </c>
      <c r="Q12" s="3601">
        <v>439.1</v>
      </c>
      <c r="R12" s="3601">
        <v>418.5</v>
      </c>
      <c r="S12" s="3601">
        <v>416.2</v>
      </c>
      <c r="T12" s="3652">
        <f>(197470/51029719.02)*100000</f>
        <v>386.97058065831379</v>
      </c>
      <c r="U12" s="3652">
        <f>(191612/51759547.67)*100000</f>
        <v>370.19643452382587</v>
      </c>
      <c r="V12" s="3652">
        <f>(185050/52517864.18)*100000</f>
        <v>352.35629416641672</v>
      </c>
      <c r="W12" s="3652">
        <f>(182333/53304520.02)*100000</f>
        <v>342.05917233958428</v>
      </c>
      <c r="X12" s="3652">
        <f>(182556/54120306.16)*100000</f>
        <v>337.31516495914815</v>
      </c>
      <c r="Y12" s="3652">
        <f>(182933/54965281.74)*100000</f>
        <v>332.81554139087359</v>
      </c>
      <c r="Z12" s="4409">
        <f>(170616/55843010.66)*100000</f>
        <v>305.52793981469767</v>
      </c>
      <c r="AA12" s="3652">
        <f>(167352/56753326.89)*100000</f>
        <v>294.87610536799667</v>
      </c>
      <c r="AB12" s="3652">
        <f>(170979/57698414.32)*100000</f>
        <v>296.33223376250317</v>
      </c>
      <c r="AC12" s="3652">
        <f>(166720/58678234.75)*100000</f>
        <v>284.12579333770771</v>
      </c>
    </row>
    <row r="13" spans="1:29" x14ac:dyDescent="0.35">
      <c r="B13" s="5033"/>
      <c r="C13" s="3671"/>
      <c r="D13" s="1956" t="s">
        <v>1452</v>
      </c>
      <c r="E13" s="3601"/>
      <c r="F13" s="3601"/>
      <c r="G13" s="3601"/>
      <c r="H13" s="3601"/>
      <c r="I13" s="3601"/>
      <c r="J13" s="3601"/>
      <c r="K13" s="3601"/>
      <c r="L13" s="3601"/>
      <c r="M13" s="3601">
        <v>142.5</v>
      </c>
      <c r="N13" s="3601">
        <v>148.4</v>
      </c>
      <c r="O13" s="3601">
        <v>145.19999999999999</v>
      </c>
      <c r="P13" s="3601">
        <v>137.6</v>
      </c>
      <c r="Q13" s="3601">
        <v>133.4</v>
      </c>
      <c r="R13" s="3601">
        <v>144.80000000000001</v>
      </c>
      <c r="S13" s="3601">
        <v>138.5</v>
      </c>
      <c r="T13" s="3652">
        <f>(64921/51029719.02)*100000</f>
        <v>127.22194291243424</v>
      </c>
      <c r="U13" s="3652">
        <f>(60539/51759547.67)*100000</f>
        <v>116.96199585431964</v>
      </c>
      <c r="V13" s="3652">
        <f>(60888/52517864.18)*100000</f>
        <v>115.93769272739682</v>
      </c>
      <c r="W13" s="3652">
        <f>(56680/53304520.02)*100000</f>
        <v>106.33244606411147</v>
      </c>
      <c r="X13" s="3652">
        <f>(53617/54120306.16)*100000</f>
        <v>99.070023442749857</v>
      </c>
      <c r="Y13" s="3652">
        <f>(51895/54965281.74)*100000</f>
        <v>94.414143541511848</v>
      </c>
      <c r="Z13" s="4409">
        <f>(49660/55843010.66)*100000</f>
        <v>88.927870136434379</v>
      </c>
      <c r="AA13" s="3652">
        <f>(50108/56753326.89)*100000</f>
        <v>88.290859313181656</v>
      </c>
      <c r="AB13" s="3652">
        <f>(52420/57698414.32)*100000</f>
        <v>90.851716841427404</v>
      </c>
      <c r="AC13" s="3652">
        <f>(53293/58678234.75)*100000</f>
        <v>90.822432247759465</v>
      </c>
    </row>
    <row r="14" spans="1:29" x14ac:dyDescent="0.35">
      <c r="B14" s="3672"/>
      <c r="C14" s="3671"/>
      <c r="D14" s="1956" t="s">
        <v>1453</v>
      </c>
      <c r="E14" s="3601">
        <v>194.97448077214614</v>
      </c>
      <c r="F14" s="3601">
        <v>163.02901669106365</v>
      </c>
      <c r="G14" s="3601">
        <v>177.45093276331133</v>
      </c>
      <c r="H14" s="3601">
        <v>220.58963612116594</v>
      </c>
      <c r="I14" s="3601">
        <v>229.50781672086839</v>
      </c>
      <c r="J14" s="3601">
        <v>260.30486544349441</v>
      </c>
      <c r="K14" s="3601">
        <v>260.45644402790214</v>
      </c>
      <c r="L14" s="3601">
        <v>279.19980484504561</v>
      </c>
      <c r="M14" s="3601">
        <v>288.14950297778705</v>
      </c>
      <c r="N14" s="3601">
        <v>272.2</v>
      </c>
      <c r="O14" s="3601">
        <v>255.3</v>
      </c>
      <c r="P14" s="3601">
        <v>267.10000000000002</v>
      </c>
      <c r="Q14" s="3601">
        <v>247.3</v>
      </c>
      <c r="R14" s="3601">
        <v>249.3</v>
      </c>
      <c r="S14" s="3601">
        <v>230.6</v>
      </c>
      <c r="T14" s="3652">
        <f>(101039/51029719.02)*100000</f>
        <v>198.00030637127344</v>
      </c>
      <c r="U14" s="3652">
        <f>(100769/51759547.67)*100000</f>
        <v>194.68678637314682</v>
      </c>
      <c r="V14" s="3652">
        <f>(105488/52517864.18)*100000</f>
        <v>200.86117675777882</v>
      </c>
      <c r="W14" s="3652">
        <f>(118963/53304520.02)*100000</f>
        <v>223.17619585612019</v>
      </c>
      <c r="X14" s="3652">
        <f>(129045/54120306.16)*100000</f>
        <v>238.44100145792675</v>
      </c>
      <c r="Y14" s="3652">
        <f>(132527/54965281.74)*100000</f>
        <v>241.11038059785989</v>
      </c>
      <c r="Z14" s="4409">
        <f>(140956/55843010.66)*100000</f>
        <v>252.41475761077817</v>
      </c>
      <c r="AA14" s="3652">
        <f>(138364/56753326.89)*100000</f>
        <v>243.7989234854528</v>
      </c>
      <c r="AB14" s="3652">
        <f>(140032/57698414.32)*100000</f>
        <v>242.6964443483167</v>
      </c>
      <c r="AC14" s="3652">
        <f>(143990/58678234.75)*100000</f>
        <v>245.38911337989765</v>
      </c>
    </row>
    <row r="15" spans="1:29" x14ac:dyDescent="0.35">
      <c r="B15" s="3672"/>
      <c r="C15" s="3671"/>
      <c r="D15" s="1956" t="s">
        <v>1454</v>
      </c>
      <c r="E15" s="3601">
        <v>115.42523624235687</v>
      </c>
      <c r="F15" s="3601">
        <v>124.86825642483475</v>
      </c>
      <c r="G15" s="3601">
        <v>133.43373493975903</v>
      </c>
      <c r="H15" s="3601">
        <v>154.73899790436275</v>
      </c>
      <c r="I15" s="3601">
        <v>173.52735465002374</v>
      </c>
      <c r="J15" s="3601">
        <v>206.50922856928531</v>
      </c>
      <c r="K15" s="3601">
        <v>201.2615948253916</v>
      </c>
      <c r="L15" s="3601">
        <v>223.38844477799452</v>
      </c>
      <c r="M15" s="3601">
        <v>205.99569916526156</v>
      </c>
      <c r="N15" s="3601">
        <v>195</v>
      </c>
      <c r="O15" s="3601">
        <v>159.4</v>
      </c>
      <c r="P15" s="3601">
        <v>150.1</v>
      </c>
      <c r="Q15" s="3601">
        <v>135.80000000000001</v>
      </c>
      <c r="R15" s="3601">
        <v>121.7</v>
      </c>
      <c r="S15" s="3601">
        <v>116.7</v>
      </c>
      <c r="T15" s="4415">
        <f>(54442/51029719.02)*100000</f>
        <v>106.68685041879738</v>
      </c>
      <c r="U15" s="4415">
        <f>(52566/51759547.67)*100000</f>
        <v>101.55807453175913</v>
      </c>
      <c r="V15" s="4415">
        <f>(53196/52517864.18)*100000</f>
        <v>101.29124790314349</v>
      </c>
      <c r="W15" s="4415">
        <f>(53505/53304520.02)*100000</f>
        <v>100.37610315208687</v>
      </c>
      <c r="X15" s="4415">
        <f>(54927/54120306.16)*100000</f>
        <v>101.49055668239406</v>
      </c>
      <c r="Y15" s="4415">
        <f>(54110/54965281.74)*100000</f>
        <v>98.443960054556442</v>
      </c>
      <c r="Z15" s="4416">
        <f>(53418/55843010.66)*100000</f>
        <v>95.657449998953908</v>
      </c>
      <c r="AA15" s="4415">
        <f>(50730/56753326.89)*100000</f>
        <v>89.38683030569382</v>
      </c>
      <c r="AB15" s="4415">
        <f>(51765/57698414.32)*100000</f>
        <v>89.716503668380184</v>
      </c>
      <c r="AC15" s="4415">
        <f>(51825/58678234.75)*100000</f>
        <v>88.320652829454801</v>
      </c>
    </row>
    <row r="16" spans="1:29" x14ac:dyDescent="0.35">
      <c r="B16" s="3672"/>
      <c r="C16" s="3671"/>
      <c r="D16" s="3673" t="s">
        <v>232</v>
      </c>
      <c r="E16" s="3674">
        <v>1656.3</v>
      </c>
      <c r="F16" s="3674">
        <v>1618.5</v>
      </c>
      <c r="G16" s="3674">
        <v>1624.4</v>
      </c>
      <c r="H16" s="3674">
        <v>1675.1</v>
      </c>
      <c r="I16" s="3674">
        <v>1790.7</v>
      </c>
      <c r="J16" s="3674">
        <v>1901.9</v>
      </c>
      <c r="K16" s="3674">
        <v>1873.9</v>
      </c>
      <c r="L16" s="3674">
        <v>1951.7</v>
      </c>
      <c r="M16" s="3674">
        <v>1910.5</v>
      </c>
      <c r="N16" s="3674">
        <f t="shared" ref="N16:S16" si="0">SUM(N9:N15)</f>
        <v>1818.8</v>
      </c>
      <c r="O16" s="3674">
        <f t="shared" si="0"/>
        <v>1612.6000000000001</v>
      </c>
      <c r="P16" s="3674">
        <f t="shared" si="0"/>
        <v>1541.1</v>
      </c>
      <c r="Q16" s="3674">
        <f t="shared" si="0"/>
        <v>1447.3999999999999</v>
      </c>
      <c r="R16" s="3674">
        <f t="shared" si="0"/>
        <v>1405.3</v>
      </c>
      <c r="S16" s="3674">
        <f t="shared" si="0"/>
        <v>1371.3999999999999</v>
      </c>
      <c r="T16" s="4420">
        <f>(633228/51029719.02)*100000</f>
        <v>1240.9004246169177</v>
      </c>
      <c r="U16" s="4420">
        <f>(615935/51759547.67)*100000</f>
        <v>1189.993011389854</v>
      </c>
      <c r="V16" s="4412">
        <f>SUM(V9:V15)</f>
        <v>1159.0798854912612</v>
      </c>
      <c r="W16" s="4420">
        <f>(611574/53304520.02)*100000</f>
        <v>1147.3210897885128</v>
      </c>
      <c r="X16" s="4420">
        <f>(616973/54120306.16)*100000</f>
        <v>1140.0027896664064</v>
      </c>
      <c r="Y16" s="4420">
        <f>(623223/54965281.74)*100000</f>
        <v>1133.8484590109188</v>
      </c>
      <c r="Z16" s="4421">
        <f>(608321/55843010.66)*100000</f>
        <v>1089.3413388897682</v>
      </c>
      <c r="AA16" s="4420">
        <f>(601366/56753326.89)*100000</f>
        <v>1059.6136525451186</v>
      </c>
      <c r="AB16" s="4420">
        <f>(617210/57698414.32)*100000</f>
        <v>1069.7174389869783</v>
      </c>
      <c r="AC16" s="4420">
        <f>(621282/58678234.75)*100000</f>
        <v>1058.7946325362147</v>
      </c>
    </row>
    <row r="17" spans="2:28" x14ac:dyDescent="0.35">
      <c r="B17" s="3672"/>
      <c r="C17" s="3671"/>
      <c r="D17" s="795"/>
      <c r="E17" s="3675"/>
      <c r="F17" s="3675"/>
      <c r="G17" s="3675"/>
      <c r="H17" s="3675"/>
      <c r="I17" s="3675"/>
      <c r="J17" s="3675"/>
      <c r="K17" s="3675"/>
      <c r="L17" s="3675"/>
      <c r="M17" s="3675"/>
      <c r="N17" s="3675"/>
      <c r="O17" s="3675"/>
      <c r="P17" s="3675"/>
      <c r="Q17" s="3675"/>
      <c r="R17" s="3675"/>
      <c r="S17" s="3675"/>
      <c r="T17" s="3675"/>
      <c r="U17" s="3675"/>
      <c r="V17" s="3675"/>
      <c r="W17" s="3675"/>
      <c r="X17" s="3675"/>
      <c r="Y17" s="567"/>
      <c r="Z17" s="567"/>
      <c r="AA17" s="567"/>
      <c r="AB17" s="567"/>
    </row>
    <row r="18" spans="2:28" x14ac:dyDescent="0.35">
      <c r="B18" s="3672"/>
      <c r="C18" s="3671"/>
      <c r="D18" s="795"/>
      <c r="E18" s="3675"/>
      <c r="F18" s="3675"/>
      <c r="G18" s="3675"/>
      <c r="H18" s="3675"/>
      <c r="I18" s="3675"/>
      <c r="J18" s="3675"/>
      <c r="K18" s="3675"/>
      <c r="L18" s="3675"/>
      <c r="M18" s="3675"/>
      <c r="N18" s="3675"/>
      <c r="O18" s="3675"/>
      <c r="P18" s="3675"/>
      <c r="Q18" s="3675"/>
      <c r="R18" s="3675"/>
      <c r="S18" s="3675"/>
      <c r="T18" s="3675"/>
      <c r="U18" s="3675"/>
      <c r="V18" s="3675"/>
      <c r="W18" s="3675"/>
      <c r="X18" s="3675"/>
      <c r="Y18" s="567"/>
      <c r="Z18" s="567"/>
      <c r="AA18" s="567"/>
      <c r="AB18" s="567"/>
    </row>
    <row r="19" spans="2:28" x14ac:dyDescent="0.35">
      <c r="B19" s="3672"/>
      <c r="C19" s="3671"/>
      <c r="D19" s="795"/>
      <c r="E19" s="3675"/>
      <c r="F19" s="3675"/>
      <c r="G19" s="3675"/>
      <c r="H19" s="3675"/>
      <c r="I19" s="3675"/>
      <c r="J19" s="3675"/>
      <c r="K19" s="3675"/>
      <c r="L19" s="3675"/>
      <c r="M19" s="3675"/>
      <c r="N19" s="3675"/>
      <c r="O19" s="3675"/>
      <c r="P19" s="3675"/>
      <c r="Q19" s="3675"/>
      <c r="R19" s="3675"/>
      <c r="S19" s="3675"/>
      <c r="T19" s="3675"/>
      <c r="U19" s="3675"/>
      <c r="V19" s="3675"/>
      <c r="W19" s="3675"/>
      <c r="X19" s="3675"/>
      <c r="Y19" s="567"/>
      <c r="Z19" s="567"/>
      <c r="AA19" s="567"/>
      <c r="AB19" s="567"/>
    </row>
    <row r="20" spans="2:28" x14ac:dyDescent="0.35">
      <c r="B20" s="3672"/>
      <c r="C20" s="3671"/>
      <c r="D20" s="795"/>
      <c r="E20" s="3675"/>
      <c r="F20" s="3675"/>
      <c r="G20" s="3675"/>
      <c r="H20" s="3675"/>
      <c r="I20" s="3675"/>
      <c r="J20" s="3675"/>
      <c r="K20" s="3675"/>
      <c r="L20" s="3675"/>
      <c r="M20" s="3675"/>
      <c r="N20" s="3675"/>
      <c r="O20" s="3675"/>
      <c r="P20" s="3675"/>
      <c r="Q20" s="3675"/>
      <c r="R20" s="3675"/>
      <c r="S20" s="3675"/>
      <c r="T20" s="3675"/>
      <c r="U20" s="3675"/>
      <c r="V20" s="3675"/>
      <c r="W20" s="3675"/>
      <c r="X20" s="3675"/>
      <c r="Y20" s="567"/>
      <c r="Z20" s="567"/>
      <c r="AA20" s="567"/>
      <c r="AB20" s="567"/>
    </row>
    <row r="21" spans="2:28" x14ac:dyDescent="0.35">
      <c r="B21" s="3672"/>
      <c r="C21" s="3671"/>
      <c r="D21" s="795"/>
      <c r="E21" s="3675"/>
      <c r="F21" s="3675"/>
      <c r="G21" s="3675"/>
      <c r="H21" s="3675"/>
      <c r="I21" s="3675"/>
      <c r="J21" s="3675"/>
      <c r="K21" s="3675"/>
      <c r="L21" s="3675"/>
      <c r="M21" s="3675"/>
      <c r="N21" s="3675"/>
      <c r="O21" s="3675"/>
      <c r="P21" s="3675"/>
      <c r="Q21" s="3675"/>
      <c r="R21" s="3675"/>
      <c r="S21" s="3675"/>
      <c r="T21" s="3675"/>
      <c r="U21" s="3675"/>
      <c r="V21" s="3675"/>
      <c r="W21" s="3675"/>
      <c r="X21" s="3675"/>
      <c r="Y21" s="567"/>
      <c r="Z21" s="567"/>
      <c r="AA21" s="567"/>
      <c r="AB21" s="567"/>
    </row>
    <row r="22" spans="2:28" x14ac:dyDescent="0.35">
      <c r="B22" s="3672"/>
      <c r="C22" s="3671"/>
      <c r="D22" s="795"/>
      <c r="E22" s="3675"/>
      <c r="F22" s="3675"/>
      <c r="G22" s="3675"/>
      <c r="H22" s="3675"/>
      <c r="I22" s="3675"/>
      <c r="J22" s="3675"/>
      <c r="K22" s="3675"/>
      <c r="L22" s="3675"/>
      <c r="M22" s="3675"/>
      <c r="N22" s="3675"/>
      <c r="O22" s="3675"/>
      <c r="P22" s="3675"/>
      <c r="Q22" s="3675"/>
      <c r="R22" s="3675"/>
      <c r="S22" s="3675"/>
      <c r="T22" s="3675"/>
      <c r="U22" s="3675"/>
      <c r="V22" s="3675"/>
      <c r="W22" s="3675"/>
      <c r="X22" s="3675"/>
      <c r="Y22" s="567"/>
      <c r="Z22" s="567"/>
      <c r="AA22" s="567"/>
      <c r="AB22" s="567"/>
    </row>
    <row r="23" spans="2:28" x14ac:dyDescent="0.35">
      <c r="B23" s="3672"/>
      <c r="C23" s="3671"/>
      <c r="D23" s="795"/>
      <c r="E23" s="3675"/>
      <c r="F23" s="3675"/>
      <c r="G23" s="3675"/>
      <c r="H23" s="3675"/>
      <c r="I23" s="3675"/>
      <c r="J23" s="3675"/>
      <c r="K23" s="3675"/>
      <c r="L23" s="3675"/>
      <c r="M23" s="3675"/>
      <c r="N23" s="3675"/>
      <c r="O23" s="3675"/>
      <c r="P23" s="3675"/>
      <c r="Q23" s="3675"/>
      <c r="R23" s="3675"/>
      <c r="S23" s="3675"/>
      <c r="T23" s="3675"/>
      <c r="U23" s="3675"/>
      <c r="V23" s="3675"/>
      <c r="W23" s="3675"/>
      <c r="X23" s="3675"/>
      <c r="Y23" s="567"/>
      <c r="Z23" s="567"/>
      <c r="AA23" s="567"/>
      <c r="AB23" s="567"/>
    </row>
    <row r="24" spans="2:28" x14ac:dyDescent="0.35">
      <c r="B24" s="3672"/>
      <c r="C24" s="3671"/>
      <c r="D24" s="795"/>
      <c r="E24" s="3675"/>
      <c r="F24" s="3675"/>
      <c r="G24" s="3675"/>
      <c r="H24" s="3675"/>
      <c r="I24" s="3675"/>
      <c r="J24" s="3675"/>
      <c r="K24" s="3675"/>
      <c r="L24" s="3675"/>
      <c r="M24" s="3675"/>
      <c r="N24" s="3675"/>
      <c r="O24" s="3675"/>
      <c r="P24" s="3675"/>
      <c r="Q24" s="3675"/>
      <c r="R24" s="3675"/>
      <c r="S24" s="3675"/>
      <c r="T24" s="3675"/>
      <c r="U24" s="3675"/>
      <c r="V24" s="3675"/>
      <c r="W24" s="3675"/>
      <c r="X24" s="3675"/>
      <c r="Y24" s="567"/>
      <c r="Z24" s="567"/>
      <c r="AA24" s="567"/>
      <c r="AB24" s="567"/>
    </row>
    <row r="25" spans="2:28" x14ac:dyDescent="0.35">
      <c r="B25" s="3672"/>
      <c r="C25" s="3671"/>
      <c r="D25" s="795"/>
      <c r="E25" s="3675"/>
      <c r="F25" s="3675"/>
      <c r="G25" s="3675"/>
      <c r="H25" s="3675"/>
      <c r="I25" s="3675"/>
      <c r="J25" s="3675"/>
      <c r="K25" s="3675"/>
      <c r="L25" s="3675"/>
      <c r="M25" s="3675"/>
      <c r="N25" s="3675"/>
      <c r="O25" s="3675"/>
      <c r="P25" s="3675"/>
      <c r="Q25" s="3675"/>
      <c r="R25" s="3675"/>
      <c r="S25" s="3675"/>
      <c r="T25" s="3675"/>
      <c r="U25" s="3675"/>
      <c r="V25" s="3675"/>
      <c r="W25" s="3675"/>
      <c r="X25" s="3675"/>
      <c r="Y25" s="567"/>
      <c r="Z25" s="567"/>
      <c r="AA25" s="567"/>
      <c r="AB25" s="567"/>
    </row>
    <row r="26" spans="2:28" x14ac:dyDescent="0.35">
      <c r="B26" s="3672"/>
      <c r="C26" s="3671"/>
      <c r="D26" s="795"/>
      <c r="E26" s="3675"/>
      <c r="F26" s="3675"/>
      <c r="G26" s="3675"/>
      <c r="H26" s="3675"/>
      <c r="I26" s="3675"/>
      <c r="J26" s="3675"/>
      <c r="K26" s="3675"/>
      <c r="L26" s="3675"/>
      <c r="M26" s="3675"/>
      <c r="N26" s="3675"/>
      <c r="O26" s="3675"/>
      <c r="P26" s="3675"/>
      <c r="Q26" s="3675"/>
      <c r="R26" s="3675"/>
      <c r="S26" s="3675"/>
      <c r="T26" s="3675"/>
      <c r="U26" s="3675"/>
      <c r="V26" s="3675"/>
      <c r="W26" s="3675"/>
      <c r="X26" s="3675"/>
      <c r="Y26" s="567"/>
      <c r="Z26" s="567"/>
      <c r="AA26" s="567"/>
      <c r="AB26" s="567"/>
    </row>
    <row r="27" spans="2:28" x14ac:dyDescent="0.35">
      <c r="B27" s="3672"/>
      <c r="C27" s="3671"/>
      <c r="D27" s="795"/>
      <c r="E27" s="3675"/>
      <c r="F27" s="3675"/>
      <c r="G27" s="3675"/>
      <c r="H27" s="3675"/>
      <c r="I27" s="3675"/>
      <c r="J27" s="3675"/>
      <c r="K27" s="3675"/>
      <c r="L27" s="3675"/>
      <c r="M27" s="3675"/>
      <c r="N27" s="3675"/>
      <c r="O27" s="3675"/>
      <c r="P27" s="3675"/>
      <c r="Q27" s="3675"/>
      <c r="R27" s="3675"/>
      <c r="S27" s="3675"/>
      <c r="T27" s="3675"/>
      <c r="U27" s="3675"/>
      <c r="V27" s="3675"/>
      <c r="W27" s="3675"/>
      <c r="X27" s="3675"/>
      <c r="Y27" s="567"/>
      <c r="Z27" s="567"/>
      <c r="AA27" s="567"/>
      <c r="AB27" s="567"/>
    </row>
    <row r="28" spans="2:28" x14ac:dyDescent="0.35">
      <c r="B28" s="3672"/>
      <c r="C28" s="3671"/>
      <c r="D28" s="795"/>
      <c r="E28" s="3675"/>
      <c r="F28" s="3675"/>
      <c r="G28" s="3675"/>
      <c r="H28" s="3675"/>
      <c r="I28" s="3675"/>
      <c r="J28" s="3675"/>
      <c r="K28" s="3675"/>
      <c r="L28" s="3675"/>
      <c r="M28" s="3675"/>
      <c r="N28" s="3675"/>
      <c r="O28" s="3675"/>
      <c r="P28" s="3675"/>
      <c r="Q28" s="3675"/>
      <c r="R28" s="3675"/>
      <c r="S28" s="3675"/>
      <c r="T28" s="3675"/>
      <c r="U28" s="3675"/>
      <c r="V28" s="3675"/>
      <c r="W28" s="3675"/>
      <c r="X28" s="3675"/>
      <c r="Y28" s="567"/>
      <c r="Z28" s="567"/>
      <c r="AA28" s="567"/>
      <c r="AB28" s="567"/>
    </row>
    <row r="29" spans="2:28" x14ac:dyDescent="0.35">
      <c r="B29" s="3672"/>
      <c r="C29" s="3671"/>
      <c r="D29" s="795"/>
      <c r="E29" s="3675"/>
      <c r="F29" s="3675"/>
      <c r="G29" s="3675"/>
      <c r="H29" s="3675"/>
      <c r="I29" s="3675"/>
      <c r="J29" s="3675"/>
      <c r="K29" s="3675"/>
      <c r="L29" s="3675"/>
      <c r="M29" s="3675"/>
      <c r="N29" s="3675"/>
      <c r="O29" s="3675"/>
      <c r="P29" s="3675"/>
      <c r="Q29" s="3675"/>
      <c r="R29" s="3675"/>
      <c r="S29" s="3675"/>
      <c r="T29" s="3675"/>
      <c r="U29" s="3675"/>
      <c r="V29" s="3675"/>
      <c r="W29" s="3675"/>
      <c r="X29" s="3675"/>
      <c r="Y29" s="567"/>
      <c r="Z29" s="567"/>
      <c r="AA29" s="567"/>
      <c r="AB29" s="567"/>
    </row>
    <row r="30" spans="2:28" x14ac:dyDescent="0.35">
      <c r="B30" s="3672"/>
      <c r="C30" s="3671"/>
      <c r="D30" s="795"/>
      <c r="E30" s="3675"/>
      <c r="F30" s="3675"/>
      <c r="G30" s="3675"/>
      <c r="H30" s="3675"/>
      <c r="I30" s="3675"/>
      <c r="J30" s="3675"/>
      <c r="K30" s="3675"/>
      <c r="L30" s="3675"/>
      <c r="M30" s="3675"/>
      <c r="N30" s="3675"/>
      <c r="O30" s="3675"/>
      <c r="P30" s="3675"/>
      <c r="Q30" s="3675"/>
      <c r="R30" s="3675"/>
      <c r="S30" s="3675"/>
      <c r="T30" s="3675"/>
      <c r="U30" s="3675"/>
      <c r="V30" s="3675"/>
      <c r="W30" s="3675"/>
      <c r="X30" s="3675"/>
      <c r="Y30" s="567"/>
      <c r="Z30" s="567"/>
      <c r="AA30" s="567"/>
      <c r="AB30" s="567"/>
    </row>
    <row r="31" spans="2:28" x14ac:dyDescent="0.35">
      <c r="B31" s="3672"/>
      <c r="C31" s="3671"/>
      <c r="D31" s="795"/>
      <c r="E31" s="3675"/>
      <c r="F31" s="3675"/>
      <c r="G31" s="3675"/>
      <c r="H31" s="3675"/>
      <c r="I31" s="3675"/>
      <c r="J31" s="3675"/>
      <c r="K31" s="3675"/>
      <c r="L31" s="3675"/>
      <c r="M31" s="3675"/>
      <c r="N31" s="3675"/>
      <c r="O31" s="3675"/>
      <c r="P31" s="3675"/>
      <c r="Q31" s="3675"/>
      <c r="R31" s="3675"/>
      <c r="S31" s="3675"/>
      <c r="T31" s="3675"/>
      <c r="U31" s="3675"/>
      <c r="V31" s="3675"/>
      <c r="W31" s="3675"/>
      <c r="X31" s="3675"/>
      <c r="Y31" s="567"/>
      <c r="Z31" s="567"/>
      <c r="AA31" s="567"/>
      <c r="AB31" s="567"/>
    </row>
    <row r="32" spans="2:28" x14ac:dyDescent="0.35">
      <c r="B32" s="3672"/>
      <c r="C32" s="3671"/>
      <c r="D32" s="795"/>
      <c r="E32" s="3675"/>
      <c r="F32" s="3675"/>
      <c r="G32" s="3675"/>
      <c r="H32" s="3675"/>
      <c r="I32" s="3675"/>
      <c r="J32" s="3675"/>
      <c r="K32" s="3675"/>
      <c r="L32" s="3675"/>
      <c r="M32" s="3675"/>
      <c r="N32" s="3675"/>
      <c r="O32" s="3675"/>
      <c r="P32" s="3675"/>
      <c r="Q32" s="3675"/>
      <c r="R32" s="3675"/>
      <c r="S32" s="3675"/>
      <c r="T32" s="3675"/>
      <c r="U32" s="3675"/>
      <c r="V32" s="3675"/>
      <c r="W32" s="3675"/>
      <c r="X32" s="3675"/>
      <c r="Y32" s="567"/>
      <c r="Z32" s="567"/>
      <c r="AA32" s="567"/>
      <c r="AB32" s="567"/>
    </row>
    <row r="33" spans="1:28" x14ac:dyDescent="0.35">
      <c r="B33" s="3672"/>
      <c r="C33" s="3671"/>
      <c r="D33" s="795"/>
      <c r="E33" s="3675"/>
      <c r="F33" s="3675"/>
      <c r="G33" s="3675"/>
      <c r="H33" s="3675"/>
      <c r="I33" s="3675"/>
      <c r="J33" s="3675"/>
      <c r="K33" s="3675"/>
      <c r="L33" s="3675"/>
      <c r="M33" s="3675"/>
      <c r="N33" s="3675"/>
      <c r="O33" s="3675"/>
      <c r="P33" s="3675"/>
      <c r="Q33" s="3675"/>
      <c r="R33" s="3675"/>
      <c r="S33" s="3675"/>
      <c r="T33" s="3675"/>
      <c r="U33" s="3675"/>
      <c r="V33" s="3675"/>
      <c r="W33" s="3675"/>
      <c r="X33" s="3675"/>
      <c r="Y33" s="567"/>
      <c r="Z33" s="567"/>
      <c r="AA33" s="567"/>
      <c r="AB33" s="567"/>
    </row>
    <row r="34" spans="1:28" x14ac:dyDescent="0.35">
      <c r="B34" s="3672"/>
      <c r="C34" s="3671"/>
      <c r="D34" s="795"/>
      <c r="E34" s="3675"/>
      <c r="F34" s="3675"/>
      <c r="G34" s="3675"/>
      <c r="H34" s="3675"/>
      <c r="I34" s="3675"/>
      <c r="J34" s="3675"/>
      <c r="K34" s="3675"/>
      <c r="L34" s="3675"/>
      <c r="M34" s="3675"/>
      <c r="N34" s="3675"/>
      <c r="O34" s="3675"/>
      <c r="P34" s="3675"/>
      <c r="Q34" s="3675"/>
      <c r="R34" s="3675"/>
      <c r="S34" s="3675"/>
      <c r="T34" s="3675"/>
      <c r="U34" s="3675"/>
      <c r="V34" s="3675"/>
      <c r="W34" s="3675"/>
      <c r="X34" s="3675"/>
      <c r="Y34" s="567"/>
      <c r="Z34" s="567"/>
      <c r="AA34" s="567"/>
      <c r="AB34" s="567"/>
    </row>
    <row r="35" spans="1:28" x14ac:dyDescent="0.35">
      <c r="B35" s="3672"/>
      <c r="C35" s="3671"/>
      <c r="D35" s="795"/>
      <c r="E35" s="3675"/>
      <c r="F35" s="3675"/>
      <c r="G35" s="3675"/>
      <c r="H35" s="3675"/>
      <c r="I35" s="3675"/>
      <c r="J35" s="3675"/>
      <c r="K35" s="3675"/>
      <c r="L35" s="3675"/>
      <c r="M35" s="3675"/>
      <c r="N35" s="3675"/>
      <c r="O35" s="3675"/>
      <c r="P35" s="3675"/>
      <c r="Q35" s="3675"/>
      <c r="R35" s="3675"/>
      <c r="S35" s="3675"/>
      <c r="T35" s="3675"/>
      <c r="U35" s="3675"/>
      <c r="V35" s="3675"/>
      <c r="W35" s="3675"/>
      <c r="X35" s="3675"/>
      <c r="Y35" s="567"/>
      <c r="Z35" s="567"/>
      <c r="AA35" s="567"/>
      <c r="AB35" s="567"/>
    </row>
    <row r="36" spans="1:28" x14ac:dyDescent="0.35">
      <c r="B36" s="3672"/>
      <c r="C36" s="3671"/>
      <c r="D36" s="795"/>
      <c r="E36" s="3675"/>
      <c r="F36" s="3675"/>
      <c r="G36" s="3675"/>
      <c r="H36" s="3675"/>
      <c r="I36" s="3675"/>
      <c r="J36" s="3675"/>
      <c r="K36" s="3675"/>
      <c r="L36" s="3675"/>
      <c r="M36" s="3675"/>
      <c r="N36" s="3675"/>
      <c r="O36" s="3675"/>
      <c r="P36" s="3675"/>
      <c r="Q36" s="3675"/>
      <c r="R36" s="3675"/>
      <c r="S36" s="3675"/>
      <c r="T36" s="3675"/>
      <c r="U36" s="3675"/>
      <c r="V36" s="3675"/>
      <c r="W36" s="3675"/>
      <c r="X36" s="3675"/>
      <c r="Y36" s="567"/>
      <c r="Z36" s="567"/>
      <c r="AA36" s="567"/>
      <c r="AB36" s="567"/>
    </row>
    <row r="37" spans="1:28" x14ac:dyDescent="0.35">
      <c r="D37" s="2078"/>
      <c r="E37" s="2078"/>
      <c r="F37" s="2078"/>
      <c r="G37" s="2078"/>
      <c r="H37" s="3676"/>
      <c r="I37" s="2078"/>
      <c r="J37" s="2078"/>
      <c r="K37" s="2078"/>
      <c r="L37" s="2078"/>
      <c r="M37" s="2078"/>
      <c r="N37" s="2078"/>
      <c r="O37" s="2078"/>
      <c r="P37" s="2078"/>
      <c r="Q37" s="2078"/>
      <c r="R37" s="2078"/>
      <c r="S37" s="2078"/>
      <c r="T37" s="2078"/>
      <c r="U37" s="2078"/>
      <c r="V37" s="2078"/>
      <c r="W37" s="2078"/>
      <c r="X37" s="2078"/>
      <c r="Y37" s="3421"/>
      <c r="Z37" s="3421"/>
    </row>
    <row r="38" spans="1:28" ht="15" customHeight="1" x14ac:dyDescent="0.35">
      <c r="A38" s="3423">
        <v>6</v>
      </c>
      <c r="B38" s="3423" t="s">
        <v>58</v>
      </c>
      <c r="C38" s="3423"/>
      <c r="D38" s="4642" t="s">
        <v>1455</v>
      </c>
      <c r="E38" s="4692"/>
      <c r="F38" s="4692"/>
      <c r="G38" s="4692"/>
      <c r="H38" s="4692"/>
      <c r="I38" s="4692"/>
      <c r="J38" s="4692"/>
      <c r="K38" s="4692"/>
      <c r="L38" s="4692"/>
      <c r="M38" s="4692"/>
      <c r="N38" s="4692"/>
      <c r="O38" s="4692"/>
      <c r="P38" s="4692"/>
      <c r="Q38" s="4692"/>
      <c r="R38" s="4692"/>
      <c r="S38" s="4692"/>
      <c r="T38" s="4692"/>
      <c r="U38" s="4692"/>
      <c r="V38" s="4692"/>
      <c r="W38" s="4692"/>
      <c r="X38" s="4692"/>
      <c r="Y38" s="5028"/>
      <c r="Z38" s="5028"/>
      <c r="AA38" s="5028"/>
      <c r="AB38" s="5029"/>
    </row>
    <row r="39" spans="1:28" ht="12.75" customHeight="1" x14ac:dyDescent="0.35">
      <c r="A39" s="3511">
        <v>7</v>
      </c>
      <c r="B39" s="3511" t="s">
        <v>60</v>
      </c>
      <c r="C39" s="3511"/>
      <c r="D39" s="4880" t="s">
        <v>1456</v>
      </c>
      <c r="E39" s="5034"/>
      <c r="F39" s="5034"/>
      <c r="G39" s="5034"/>
      <c r="H39" s="5034"/>
      <c r="I39" s="5034"/>
      <c r="J39" s="5034"/>
      <c r="K39" s="5034"/>
      <c r="L39" s="5034"/>
      <c r="M39" s="5034"/>
      <c r="N39" s="5034"/>
      <c r="O39" s="5034"/>
      <c r="P39" s="5034"/>
      <c r="Q39" s="5034"/>
      <c r="R39" s="5034"/>
      <c r="S39" s="5034"/>
      <c r="T39" s="5034"/>
      <c r="U39" s="5034"/>
      <c r="V39" s="5034"/>
      <c r="W39" s="5034"/>
      <c r="X39" s="5034"/>
      <c r="Y39" s="5035"/>
      <c r="Z39" s="5035"/>
      <c r="AA39" s="5035"/>
      <c r="AB39" s="5036"/>
    </row>
    <row r="40" spans="1:28" ht="12.75" customHeight="1" x14ac:dyDescent="0.35">
      <c r="A40" s="3423">
        <v>8</v>
      </c>
      <c r="B40" s="3423" t="s">
        <v>62</v>
      </c>
      <c r="C40" s="3423"/>
      <c r="D40" s="4642" t="s">
        <v>1457</v>
      </c>
      <c r="E40" s="4692"/>
      <c r="F40" s="4692"/>
      <c r="G40" s="4692"/>
      <c r="H40" s="4692"/>
      <c r="I40" s="4692"/>
      <c r="J40" s="4692"/>
      <c r="K40" s="4692"/>
      <c r="L40" s="4692"/>
      <c r="M40" s="4692"/>
      <c r="N40" s="4692"/>
      <c r="O40" s="4692"/>
      <c r="P40" s="4692"/>
      <c r="Q40" s="4692"/>
      <c r="R40" s="4692"/>
      <c r="S40" s="4692"/>
      <c r="T40" s="4692"/>
      <c r="U40" s="4692"/>
      <c r="V40" s="4692"/>
      <c r="W40" s="4692"/>
      <c r="X40" s="4692"/>
      <c r="Y40" s="5028"/>
      <c r="Z40" s="5028"/>
      <c r="AA40" s="5028"/>
      <c r="AB40" s="5029"/>
    </row>
  </sheetData>
  <mergeCells count="6">
    <mergeCell ref="D40:AB40"/>
    <mergeCell ref="D3:AB3"/>
    <mergeCell ref="D4:AB4"/>
    <mergeCell ref="B9:B13"/>
    <mergeCell ref="D38:AB38"/>
    <mergeCell ref="D39:AB39"/>
  </mergeCells>
  <pageMargins left="0.74803149606299213" right="0.74803149606299213" top="0.98425196850393704" bottom="0.98425196850393704" header="0.51181102362204722" footer="0.51181102362204722"/>
  <pageSetup paperSize="9" scale="60"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5" tint="-0.249977111117893"/>
    <pageSetUpPr fitToPage="1"/>
  </sheetPr>
  <dimension ref="A2:CT66"/>
  <sheetViews>
    <sheetView showGridLines="0" view="pageBreakPreview" zoomScaleNormal="100" zoomScaleSheetLayoutView="100" workbookViewId="0">
      <selection activeCell="Y27" sqref="Y27"/>
    </sheetView>
  </sheetViews>
  <sheetFormatPr defaultRowHeight="14.5" x14ac:dyDescent="0.25"/>
  <cols>
    <col min="1" max="1" width="3.7265625" style="3423" customWidth="1"/>
    <col min="2" max="2" width="9.26953125" style="3420" customWidth="1"/>
    <col min="3" max="3" width="5.54296875" style="3420" customWidth="1"/>
    <col min="4" max="4" width="20.1796875" style="2040" customWidth="1"/>
    <col min="5" max="5" width="10" style="2040" customWidth="1"/>
    <col min="6" max="6" width="6.81640625" style="2040" customWidth="1"/>
    <col min="7" max="7" width="6.453125" style="2040" customWidth="1"/>
    <col min="8" max="8" width="6.08984375" style="2040" bestFit="1" customWidth="1"/>
    <col min="9" max="9" width="7" style="2040" customWidth="1"/>
    <col min="10" max="10" width="6.54296875" style="2040" customWidth="1"/>
    <col min="11" max="11" width="6.81640625" style="2040" customWidth="1"/>
    <col min="12" max="12" width="6.54296875" style="2040" customWidth="1"/>
    <col min="13" max="13" width="7.1796875" style="2040" customWidth="1"/>
    <col min="14" max="14" width="6.81640625" style="2040" customWidth="1"/>
    <col min="15" max="15" width="6.54296875" style="2040" customWidth="1"/>
    <col min="16" max="16" width="6.1796875" style="2040" customWidth="1"/>
    <col min="17" max="17" width="6.7265625" style="3687" customWidth="1"/>
    <col min="18" max="18" width="8" style="2040" customWidth="1"/>
    <col min="19" max="19" width="6.7265625" style="2040" customWidth="1"/>
    <col min="20" max="20" width="7.54296875" style="2040" customWidth="1"/>
    <col min="21" max="21" width="6.81640625" style="2040" customWidth="1"/>
    <col min="22" max="22" width="6.90625" style="2040" customWidth="1"/>
    <col min="23" max="23" width="11.90625" style="2040" customWidth="1"/>
    <col min="24" max="24" width="6.90625" style="2040" customWidth="1"/>
    <col min="25" max="257" width="8.7265625" style="2040"/>
    <col min="258" max="258" width="3.7265625" style="2040" customWidth="1"/>
    <col min="259" max="259" width="14.453125" style="2040" customWidth="1"/>
    <col min="260" max="260" width="9" style="2040" bestFit="1" customWidth="1"/>
    <col min="261" max="261" width="23.453125" style="2040" customWidth="1"/>
    <col min="262" max="266" width="10.7265625" style="2040" bestFit="1" customWidth="1"/>
    <col min="267" max="267" width="9.26953125" style="2040" bestFit="1" customWidth="1"/>
    <col min="268" max="271" width="9.26953125" style="2040" customWidth="1"/>
    <col min="272" max="513" width="8.7265625" style="2040"/>
    <col min="514" max="514" width="3.7265625" style="2040" customWidth="1"/>
    <col min="515" max="515" width="14.453125" style="2040" customWidth="1"/>
    <col min="516" max="516" width="9" style="2040" bestFit="1" customWidth="1"/>
    <col min="517" max="517" width="23.453125" style="2040" customWidth="1"/>
    <col min="518" max="522" width="10.7265625" style="2040" bestFit="1" customWidth="1"/>
    <col min="523" max="523" width="9.26953125" style="2040" bestFit="1" customWidth="1"/>
    <col min="524" max="527" width="9.26953125" style="2040" customWidth="1"/>
    <col min="528" max="769" width="8.7265625" style="2040"/>
    <col min="770" max="770" width="3.7265625" style="2040" customWidth="1"/>
    <col min="771" max="771" width="14.453125" style="2040" customWidth="1"/>
    <col min="772" max="772" width="9" style="2040" bestFit="1" customWidth="1"/>
    <col min="773" max="773" width="23.453125" style="2040" customWidth="1"/>
    <col min="774" max="778" width="10.7265625" style="2040" bestFit="1" customWidth="1"/>
    <col min="779" max="779" width="9.26953125" style="2040" bestFit="1" customWidth="1"/>
    <col min="780" max="783" width="9.26953125" style="2040" customWidth="1"/>
    <col min="784" max="1025" width="8.7265625" style="2040"/>
    <col min="1026" max="1026" width="3.7265625" style="2040" customWidth="1"/>
    <col min="1027" max="1027" width="14.453125" style="2040" customWidth="1"/>
    <col min="1028" max="1028" width="9" style="2040" bestFit="1" customWidth="1"/>
    <col min="1029" max="1029" width="23.453125" style="2040" customWidth="1"/>
    <col min="1030" max="1034" width="10.7265625" style="2040" bestFit="1" customWidth="1"/>
    <col min="1035" max="1035" width="9.26953125" style="2040" bestFit="1" customWidth="1"/>
    <col min="1036" max="1039" width="9.26953125" style="2040" customWidth="1"/>
    <col min="1040" max="1281" width="8.7265625" style="2040"/>
    <col min="1282" max="1282" width="3.7265625" style="2040" customWidth="1"/>
    <col min="1283" max="1283" width="14.453125" style="2040" customWidth="1"/>
    <col min="1284" max="1284" width="9" style="2040" bestFit="1" customWidth="1"/>
    <col min="1285" max="1285" width="23.453125" style="2040" customWidth="1"/>
    <col min="1286" max="1290" width="10.7265625" style="2040" bestFit="1" customWidth="1"/>
    <col min="1291" max="1291" width="9.26953125" style="2040" bestFit="1" customWidth="1"/>
    <col min="1292" max="1295" width="9.26953125" style="2040" customWidth="1"/>
    <col min="1296" max="1537" width="8.7265625" style="2040"/>
    <col min="1538" max="1538" width="3.7265625" style="2040" customWidth="1"/>
    <col min="1539" max="1539" width="14.453125" style="2040" customWidth="1"/>
    <col min="1540" max="1540" width="9" style="2040" bestFit="1" customWidth="1"/>
    <col min="1541" max="1541" width="23.453125" style="2040" customWidth="1"/>
    <col min="1542" max="1546" width="10.7265625" style="2040" bestFit="1" customWidth="1"/>
    <col min="1547" max="1547" width="9.26953125" style="2040" bestFit="1" customWidth="1"/>
    <col min="1548" max="1551" width="9.26953125" style="2040" customWidth="1"/>
    <col min="1552" max="1793" width="8.7265625" style="2040"/>
    <col min="1794" max="1794" width="3.7265625" style="2040" customWidth="1"/>
    <col min="1795" max="1795" width="14.453125" style="2040" customWidth="1"/>
    <col min="1796" max="1796" width="9" style="2040" bestFit="1" customWidth="1"/>
    <col min="1797" max="1797" width="23.453125" style="2040" customWidth="1"/>
    <col min="1798" max="1802" width="10.7265625" style="2040" bestFit="1" customWidth="1"/>
    <col min="1803" max="1803" width="9.26953125" style="2040" bestFit="1" customWidth="1"/>
    <col min="1804" max="1807" width="9.26953125" style="2040" customWidth="1"/>
    <col min="1808" max="2049" width="8.7265625" style="2040"/>
    <col min="2050" max="2050" width="3.7265625" style="2040" customWidth="1"/>
    <col min="2051" max="2051" width="14.453125" style="2040" customWidth="1"/>
    <col min="2052" max="2052" width="9" style="2040" bestFit="1" customWidth="1"/>
    <col min="2053" max="2053" width="23.453125" style="2040" customWidth="1"/>
    <col min="2054" max="2058" width="10.7265625" style="2040" bestFit="1" customWidth="1"/>
    <col min="2059" max="2059" width="9.26953125" style="2040" bestFit="1" customWidth="1"/>
    <col min="2060" max="2063" width="9.26953125" style="2040" customWidth="1"/>
    <col min="2064" max="2305" width="8.7265625" style="2040"/>
    <col min="2306" max="2306" width="3.7265625" style="2040" customWidth="1"/>
    <col min="2307" max="2307" width="14.453125" style="2040" customWidth="1"/>
    <col min="2308" max="2308" width="9" style="2040" bestFit="1" customWidth="1"/>
    <col min="2309" max="2309" width="23.453125" style="2040" customWidth="1"/>
    <col min="2310" max="2314" width="10.7265625" style="2040" bestFit="1" customWidth="1"/>
    <col min="2315" max="2315" width="9.26953125" style="2040" bestFit="1" customWidth="1"/>
    <col min="2316" max="2319" width="9.26953125" style="2040" customWidth="1"/>
    <col min="2320" max="2561" width="8.7265625" style="2040"/>
    <col min="2562" max="2562" width="3.7265625" style="2040" customWidth="1"/>
    <col min="2563" max="2563" width="14.453125" style="2040" customWidth="1"/>
    <col min="2564" max="2564" width="9" style="2040" bestFit="1" customWidth="1"/>
    <col min="2565" max="2565" width="23.453125" style="2040" customWidth="1"/>
    <col min="2566" max="2570" width="10.7265625" style="2040" bestFit="1" customWidth="1"/>
    <col min="2571" max="2571" width="9.26953125" style="2040" bestFit="1" customWidth="1"/>
    <col min="2572" max="2575" width="9.26953125" style="2040" customWidth="1"/>
    <col min="2576" max="2817" width="8.7265625" style="2040"/>
    <col min="2818" max="2818" width="3.7265625" style="2040" customWidth="1"/>
    <col min="2819" max="2819" width="14.453125" style="2040" customWidth="1"/>
    <col min="2820" max="2820" width="9" style="2040" bestFit="1" customWidth="1"/>
    <col min="2821" max="2821" width="23.453125" style="2040" customWidth="1"/>
    <col min="2822" max="2826" width="10.7265625" style="2040" bestFit="1" customWidth="1"/>
    <col min="2827" max="2827" width="9.26953125" style="2040" bestFit="1" customWidth="1"/>
    <col min="2828" max="2831" width="9.26953125" style="2040" customWidth="1"/>
    <col min="2832" max="3073" width="8.7265625" style="2040"/>
    <col min="3074" max="3074" width="3.7265625" style="2040" customWidth="1"/>
    <col min="3075" max="3075" width="14.453125" style="2040" customWidth="1"/>
    <col min="3076" max="3076" width="9" style="2040" bestFit="1" customWidth="1"/>
    <col min="3077" max="3077" width="23.453125" style="2040" customWidth="1"/>
    <col min="3078" max="3082" width="10.7265625" style="2040" bestFit="1" customWidth="1"/>
    <col min="3083" max="3083" width="9.26953125" style="2040" bestFit="1" customWidth="1"/>
    <col min="3084" max="3087" width="9.26953125" style="2040" customWidth="1"/>
    <col min="3088" max="3329" width="8.7265625" style="2040"/>
    <col min="3330" max="3330" width="3.7265625" style="2040" customWidth="1"/>
    <col min="3331" max="3331" width="14.453125" style="2040" customWidth="1"/>
    <col min="3332" max="3332" width="9" style="2040" bestFit="1" customWidth="1"/>
    <col min="3333" max="3333" width="23.453125" style="2040" customWidth="1"/>
    <col min="3334" max="3338" width="10.7265625" style="2040" bestFit="1" customWidth="1"/>
    <col min="3339" max="3339" width="9.26953125" style="2040" bestFit="1" customWidth="1"/>
    <col min="3340" max="3343" width="9.26953125" style="2040" customWidth="1"/>
    <col min="3344" max="3585" width="8.7265625" style="2040"/>
    <col min="3586" max="3586" width="3.7265625" style="2040" customWidth="1"/>
    <col min="3587" max="3587" width="14.453125" style="2040" customWidth="1"/>
    <col min="3588" max="3588" width="9" style="2040" bestFit="1" customWidth="1"/>
    <col min="3589" max="3589" width="23.453125" style="2040" customWidth="1"/>
    <col min="3590" max="3594" width="10.7265625" style="2040" bestFit="1" customWidth="1"/>
    <col min="3595" max="3595" width="9.26953125" style="2040" bestFit="1" customWidth="1"/>
    <col min="3596" max="3599" width="9.26953125" style="2040" customWidth="1"/>
    <col min="3600" max="3841" width="8.7265625" style="2040"/>
    <col min="3842" max="3842" width="3.7265625" style="2040" customWidth="1"/>
    <col min="3843" max="3843" width="14.453125" style="2040" customWidth="1"/>
    <col min="3844" max="3844" width="9" style="2040" bestFit="1" customWidth="1"/>
    <col min="3845" max="3845" width="23.453125" style="2040" customWidth="1"/>
    <col min="3846" max="3850" width="10.7265625" style="2040" bestFit="1" customWidth="1"/>
    <col min="3851" max="3851" width="9.26953125" style="2040" bestFit="1" customWidth="1"/>
    <col min="3852" max="3855" width="9.26953125" style="2040" customWidth="1"/>
    <col min="3856" max="4097" width="8.7265625" style="2040"/>
    <col min="4098" max="4098" width="3.7265625" style="2040" customWidth="1"/>
    <col min="4099" max="4099" width="14.453125" style="2040" customWidth="1"/>
    <col min="4100" max="4100" width="9" style="2040" bestFit="1" customWidth="1"/>
    <col min="4101" max="4101" width="23.453125" style="2040" customWidth="1"/>
    <col min="4102" max="4106" width="10.7265625" style="2040" bestFit="1" customWidth="1"/>
    <col min="4107" max="4107" width="9.26953125" style="2040" bestFit="1" customWidth="1"/>
    <col min="4108" max="4111" width="9.26953125" style="2040" customWidth="1"/>
    <col min="4112" max="4353" width="8.7265625" style="2040"/>
    <col min="4354" max="4354" width="3.7265625" style="2040" customWidth="1"/>
    <col min="4355" max="4355" width="14.453125" style="2040" customWidth="1"/>
    <col min="4356" max="4356" width="9" style="2040" bestFit="1" customWidth="1"/>
    <col min="4357" max="4357" width="23.453125" style="2040" customWidth="1"/>
    <col min="4358" max="4362" width="10.7265625" style="2040" bestFit="1" customWidth="1"/>
    <col min="4363" max="4363" width="9.26953125" style="2040" bestFit="1" customWidth="1"/>
    <col min="4364" max="4367" width="9.26953125" style="2040" customWidth="1"/>
    <col min="4368" max="4609" width="8.7265625" style="2040"/>
    <col min="4610" max="4610" width="3.7265625" style="2040" customWidth="1"/>
    <col min="4611" max="4611" width="14.453125" style="2040" customWidth="1"/>
    <col min="4612" max="4612" width="9" style="2040" bestFit="1" customWidth="1"/>
    <col min="4613" max="4613" width="23.453125" style="2040" customWidth="1"/>
    <col min="4614" max="4618" width="10.7265625" style="2040" bestFit="1" customWidth="1"/>
    <col min="4619" max="4619" width="9.26953125" style="2040" bestFit="1" customWidth="1"/>
    <col min="4620" max="4623" width="9.26953125" style="2040" customWidth="1"/>
    <col min="4624" max="4865" width="8.7265625" style="2040"/>
    <col min="4866" max="4866" width="3.7265625" style="2040" customWidth="1"/>
    <col min="4867" max="4867" width="14.453125" style="2040" customWidth="1"/>
    <col min="4868" max="4868" width="9" style="2040" bestFit="1" customWidth="1"/>
    <col min="4869" max="4869" width="23.453125" style="2040" customWidth="1"/>
    <col min="4870" max="4874" width="10.7265625" style="2040" bestFit="1" customWidth="1"/>
    <col min="4875" max="4875" width="9.26953125" style="2040" bestFit="1" customWidth="1"/>
    <col min="4876" max="4879" width="9.26953125" style="2040" customWidth="1"/>
    <col min="4880" max="5121" width="8.7265625" style="2040"/>
    <col min="5122" max="5122" width="3.7265625" style="2040" customWidth="1"/>
    <col min="5123" max="5123" width="14.453125" style="2040" customWidth="1"/>
    <col min="5124" max="5124" width="9" style="2040" bestFit="1" customWidth="1"/>
    <col min="5125" max="5125" width="23.453125" style="2040" customWidth="1"/>
    <col min="5126" max="5130" width="10.7265625" style="2040" bestFit="1" customWidth="1"/>
    <col min="5131" max="5131" width="9.26953125" style="2040" bestFit="1" customWidth="1"/>
    <col min="5132" max="5135" width="9.26953125" style="2040" customWidth="1"/>
    <col min="5136" max="5377" width="8.7265625" style="2040"/>
    <col min="5378" max="5378" width="3.7265625" style="2040" customWidth="1"/>
    <col min="5379" max="5379" width="14.453125" style="2040" customWidth="1"/>
    <col min="5380" max="5380" width="9" style="2040" bestFit="1" customWidth="1"/>
    <col min="5381" max="5381" width="23.453125" style="2040" customWidth="1"/>
    <col min="5382" max="5386" width="10.7265625" style="2040" bestFit="1" customWidth="1"/>
    <col min="5387" max="5387" width="9.26953125" style="2040" bestFit="1" customWidth="1"/>
    <col min="5388" max="5391" width="9.26953125" style="2040" customWidth="1"/>
    <col min="5392" max="5633" width="8.7265625" style="2040"/>
    <col min="5634" max="5634" width="3.7265625" style="2040" customWidth="1"/>
    <col min="5635" max="5635" width="14.453125" style="2040" customWidth="1"/>
    <col min="5636" max="5636" width="9" style="2040" bestFit="1" customWidth="1"/>
    <col min="5637" max="5637" width="23.453125" style="2040" customWidth="1"/>
    <col min="5638" max="5642" width="10.7265625" style="2040" bestFit="1" customWidth="1"/>
    <col min="5643" max="5643" width="9.26953125" style="2040" bestFit="1" customWidth="1"/>
    <col min="5644" max="5647" width="9.26953125" style="2040" customWidth="1"/>
    <col min="5648" max="5889" width="8.7265625" style="2040"/>
    <col min="5890" max="5890" width="3.7265625" style="2040" customWidth="1"/>
    <col min="5891" max="5891" width="14.453125" style="2040" customWidth="1"/>
    <col min="5892" max="5892" width="9" style="2040" bestFit="1" customWidth="1"/>
    <col min="5893" max="5893" width="23.453125" style="2040" customWidth="1"/>
    <col min="5894" max="5898" width="10.7265625" style="2040" bestFit="1" customWidth="1"/>
    <col min="5899" max="5899" width="9.26953125" style="2040" bestFit="1" customWidth="1"/>
    <col min="5900" max="5903" width="9.26953125" style="2040" customWidth="1"/>
    <col min="5904" max="6145" width="8.7265625" style="2040"/>
    <col min="6146" max="6146" width="3.7265625" style="2040" customWidth="1"/>
    <col min="6147" max="6147" width="14.453125" style="2040" customWidth="1"/>
    <col min="6148" max="6148" width="9" style="2040" bestFit="1" customWidth="1"/>
    <col min="6149" max="6149" width="23.453125" style="2040" customWidth="1"/>
    <col min="6150" max="6154" width="10.7265625" style="2040" bestFit="1" customWidth="1"/>
    <col min="6155" max="6155" width="9.26953125" style="2040" bestFit="1" customWidth="1"/>
    <col min="6156" max="6159" width="9.26953125" style="2040" customWidth="1"/>
    <col min="6160" max="6401" width="8.7265625" style="2040"/>
    <col min="6402" max="6402" width="3.7265625" style="2040" customWidth="1"/>
    <col min="6403" max="6403" width="14.453125" style="2040" customWidth="1"/>
    <col min="6404" max="6404" width="9" style="2040" bestFit="1" customWidth="1"/>
    <col min="6405" max="6405" width="23.453125" style="2040" customWidth="1"/>
    <col min="6406" max="6410" width="10.7265625" style="2040" bestFit="1" customWidth="1"/>
    <col min="6411" max="6411" width="9.26953125" style="2040" bestFit="1" customWidth="1"/>
    <col min="6412" max="6415" width="9.26953125" style="2040" customWidth="1"/>
    <col min="6416" max="6657" width="8.7265625" style="2040"/>
    <col min="6658" max="6658" width="3.7265625" style="2040" customWidth="1"/>
    <col min="6659" max="6659" width="14.453125" style="2040" customWidth="1"/>
    <col min="6660" max="6660" width="9" style="2040" bestFit="1" customWidth="1"/>
    <col min="6661" max="6661" width="23.453125" style="2040" customWidth="1"/>
    <col min="6662" max="6666" width="10.7265625" style="2040" bestFit="1" customWidth="1"/>
    <col min="6667" max="6667" width="9.26953125" style="2040" bestFit="1" customWidth="1"/>
    <col min="6668" max="6671" width="9.26953125" style="2040" customWidth="1"/>
    <col min="6672" max="6913" width="8.7265625" style="2040"/>
    <col min="6914" max="6914" width="3.7265625" style="2040" customWidth="1"/>
    <col min="6915" max="6915" width="14.453125" style="2040" customWidth="1"/>
    <col min="6916" max="6916" width="9" style="2040" bestFit="1" customWidth="1"/>
    <col min="6917" max="6917" width="23.453125" style="2040" customWidth="1"/>
    <col min="6918" max="6922" width="10.7265625" style="2040" bestFit="1" customWidth="1"/>
    <col min="6923" max="6923" width="9.26953125" style="2040" bestFit="1" customWidth="1"/>
    <col min="6924" max="6927" width="9.26953125" style="2040" customWidth="1"/>
    <col min="6928" max="7169" width="8.7265625" style="2040"/>
    <col min="7170" max="7170" width="3.7265625" style="2040" customWidth="1"/>
    <col min="7171" max="7171" width="14.453125" style="2040" customWidth="1"/>
    <col min="7172" max="7172" width="9" style="2040" bestFit="1" customWidth="1"/>
    <col min="7173" max="7173" width="23.453125" style="2040" customWidth="1"/>
    <col min="7174" max="7178" width="10.7265625" style="2040" bestFit="1" customWidth="1"/>
    <col min="7179" max="7179" width="9.26953125" style="2040" bestFit="1" customWidth="1"/>
    <col min="7180" max="7183" width="9.26953125" style="2040" customWidth="1"/>
    <col min="7184" max="7425" width="8.7265625" style="2040"/>
    <col min="7426" max="7426" width="3.7265625" style="2040" customWidth="1"/>
    <col min="7427" max="7427" width="14.453125" style="2040" customWidth="1"/>
    <col min="7428" max="7428" width="9" style="2040" bestFit="1" customWidth="1"/>
    <col min="7429" max="7429" width="23.453125" style="2040" customWidth="1"/>
    <col min="7430" max="7434" width="10.7265625" style="2040" bestFit="1" customWidth="1"/>
    <col min="7435" max="7435" width="9.26953125" style="2040" bestFit="1" customWidth="1"/>
    <col min="7436" max="7439" width="9.26953125" style="2040" customWidth="1"/>
    <col min="7440" max="7681" width="8.7265625" style="2040"/>
    <col min="7682" max="7682" width="3.7265625" style="2040" customWidth="1"/>
    <col min="7683" max="7683" width="14.453125" style="2040" customWidth="1"/>
    <col min="7684" max="7684" width="9" style="2040" bestFit="1" customWidth="1"/>
    <col min="7685" max="7685" width="23.453125" style="2040" customWidth="1"/>
    <col min="7686" max="7690" width="10.7265625" style="2040" bestFit="1" customWidth="1"/>
    <col min="7691" max="7691" width="9.26953125" style="2040" bestFit="1" customWidth="1"/>
    <col min="7692" max="7695" width="9.26953125" style="2040" customWidth="1"/>
    <col min="7696" max="7937" width="8.7265625" style="2040"/>
    <col min="7938" max="7938" width="3.7265625" style="2040" customWidth="1"/>
    <col min="7939" max="7939" width="14.453125" style="2040" customWidth="1"/>
    <col min="7940" max="7940" width="9" style="2040" bestFit="1" customWidth="1"/>
    <col min="7941" max="7941" width="23.453125" style="2040" customWidth="1"/>
    <col min="7942" max="7946" width="10.7265625" style="2040" bestFit="1" customWidth="1"/>
    <col min="7947" max="7947" width="9.26953125" style="2040" bestFit="1" customWidth="1"/>
    <col min="7948" max="7951" width="9.26953125" style="2040" customWidth="1"/>
    <col min="7952" max="8193" width="8.7265625" style="2040"/>
    <col min="8194" max="8194" width="3.7265625" style="2040" customWidth="1"/>
    <col min="8195" max="8195" width="14.453125" style="2040" customWidth="1"/>
    <col min="8196" max="8196" width="9" style="2040" bestFit="1" customWidth="1"/>
    <col min="8197" max="8197" width="23.453125" style="2040" customWidth="1"/>
    <col min="8198" max="8202" width="10.7265625" style="2040" bestFit="1" customWidth="1"/>
    <col min="8203" max="8203" width="9.26953125" style="2040" bestFit="1" customWidth="1"/>
    <col min="8204" max="8207" width="9.26953125" style="2040" customWidth="1"/>
    <col min="8208" max="8449" width="8.7265625" style="2040"/>
    <col min="8450" max="8450" width="3.7265625" style="2040" customWidth="1"/>
    <col min="8451" max="8451" width="14.453125" style="2040" customWidth="1"/>
    <col min="8452" max="8452" width="9" style="2040" bestFit="1" customWidth="1"/>
    <col min="8453" max="8453" width="23.453125" style="2040" customWidth="1"/>
    <col min="8454" max="8458" width="10.7265625" style="2040" bestFit="1" customWidth="1"/>
    <col min="8459" max="8459" width="9.26953125" style="2040" bestFit="1" customWidth="1"/>
    <col min="8460" max="8463" width="9.26953125" style="2040" customWidth="1"/>
    <col min="8464" max="8705" width="8.7265625" style="2040"/>
    <col min="8706" max="8706" width="3.7265625" style="2040" customWidth="1"/>
    <col min="8707" max="8707" width="14.453125" style="2040" customWidth="1"/>
    <col min="8708" max="8708" width="9" style="2040" bestFit="1" customWidth="1"/>
    <col min="8709" max="8709" width="23.453125" style="2040" customWidth="1"/>
    <col min="8710" max="8714" width="10.7265625" style="2040" bestFit="1" customWidth="1"/>
    <col min="8715" max="8715" width="9.26953125" style="2040" bestFit="1" customWidth="1"/>
    <col min="8716" max="8719" width="9.26953125" style="2040" customWidth="1"/>
    <col min="8720" max="8961" width="8.7265625" style="2040"/>
    <col min="8962" max="8962" width="3.7265625" style="2040" customWidth="1"/>
    <col min="8963" max="8963" width="14.453125" style="2040" customWidth="1"/>
    <col min="8964" max="8964" width="9" style="2040" bestFit="1" customWidth="1"/>
    <col min="8965" max="8965" width="23.453125" style="2040" customWidth="1"/>
    <col min="8966" max="8970" width="10.7265625" style="2040" bestFit="1" customWidth="1"/>
    <col min="8971" max="8971" width="9.26953125" style="2040" bestFit="1" customWidth="1"/>
    <col min="8972" max="8975" width="9.26953125" style="2040" customWidth="1"/>
    <col min="8976" max="9217" width="8.7265625" style="2040"/>
    <col min="9218" max="9218" width="3.7265625" style="2040" customWidth="1"/>
    <col min="9219" max="9219" width="14.453125" style="2040" customWidth="1"/>
    <col min="9220" max="9220" width="9" style="2040" bestFit="1" customWidth="1"/>
    <col min="9221" max="9221" width="23.453125" style="2040" customWidth="1"/>
    <col min="9222" max="9226" width="10.7265625" style="2040" bestFit="1" customWidth="1"/>
    <col min="9227" max="9227" width="9.26953125" style="2040" bestFit="1" customWidth="1"/>
    <col min="9228" max="9231" width="9.26953125" style="2040" customWidth="1"/>
    <col min="9232" max="9473" width="8.7265625" style="2040"/>
    <col min="9474" max="9474" width="3.7265625" style="2040" customWidth="1"/>
    <col min="9475" max="9475" width="14.453125" style="2040" customWidth="1"/>
    <col min="9476" max="9476" width="9" style="2040" bestFit="1" customWidth="1"/>
    <col min="9477" max="9477" width="23.453125" style="2040" customWidth="1"/>
    <col min="9478" max="9482" width="10.7265625" style="2040" bestFit="1" customWidth="1"/>
    <col min="9483" max="9483" width="9.26953125" style="2040" bestFit="1" customWidth="1"/>
    <col min="9484" max="9487" width="9.26953125" style="2040" customWidth="1"/>
    <col min="9488" max="9729" width="8.7265625" style="2040"/>
    <col min="9730" max="9730" width="3.7265625" style="2040" customWidth="1"/>
    <col min="9731" max="9731" width="14.453125" style="2040" customWidth="1"/>
    <col min="9732" max="9732" width="9" style="2040" bestFit="1" customWidth="1"/>
    <col min="9733" max="9733" width="23.453125" style="2040" customWidth="1"/>
    <col min="9734" max="9738" width="10.7265625" style="2040" bestFit="1" customWidth="1"/>
    <col min="9739" max="9739" width="9.26953125" style="2040" bestFit="1" customWidth="1"/>
    <col min="9740" max="9743" width="9.26953125" style="2040" customWidth="1"/>
    <col min="9744" max="9985" width="8.7265625" style="2040"/>
    <col min="9986" max="9986" width="3.7265625" style="2040" customWidth="1"/>
    <col min="9987" max="9987" width="14.453125" style="2040" customWidth="1"/>
    <col min="9988" max="9988" width="9" style="2040" bestFit="1" customWidth="1"/>
    <col min="9989" max="9989" width="23.453125" style="2040" customWidth="1"/>
    <col min="9990" max="9994" width="10.7265625" style="2040" bestFit="1" customWidth="1"/>
    <col min="9995" max="9995" width="9.26953125" style="2040" bestFit="1" customWidth="1"/>
    <col min="9996" max="9999" width="9.26953125" style="2040" customWidth="1"/>
    <col min="10000" max="10241" width="8.7265625" style="2040"/>
    <col min="10242" max="10242" width="3.7265625" style="2040" customWidth="1"/>
    <col min="10243" max="10243" width="14.453125" style="2040" customWidth="1"/>
    <col min="10244" max="10244" width="9" style="2040" bestFit="1" customWidth="1"/>
    <col min="10245" max="10245" width="23.453125" style="2040" customWidth="1"/>
    <col min="10246" max="10250" width="10.7265625" style="2040" bestFit="1" customWidth="1"/>
    <col min="10251" max="10251" width="9.26953125" style="2040" bestFit="1" customWidth="1"/>
    <col min="10252" max="10255" width="9.26953125" style="2040" customWidth="1"/>
    <col min="10256" max="10497" width="8.7265625" style="2040"/>
    <col min="10498" max="10498" width="3.7265625" style="2040" customWidth="1"/>
    <col min="10499" max="10499" width="14.453125" style="2040" customWidth="1"/>
    <col min="10500" max="10500" width="9" style="2040" bestFit="1" customWidth="1"/>
    <col min="10501" max="10501" width="23.453125" style="2040" customWidth="1"/>
    <col min="10502" max="10506" width="10.7265625" style="2040" bestFit="1" customWidth="1"/>
    <col min="10507" max="10507" width="9.26953125" style="2040" bestFit="1" customWidth="1"/>
    <col min="10508" max="10511" width="9.26953125" style="2040" customWidth="1"/>
    <col min="10512" max="10753" width="8.7265625" style="2040"/>
    <col min="10754" max="10754" width="3.7265625" style="2040" customWidth="1"/>
    <col min="10755" max="10755" width="14.453125" style="2040" customWidth="1"/>
    <col min="10756" max="10756" width="9" style="2040" bestFit="1" customWidth="1"/>
    <col min="10757" max="10757" width="23.453125" style="2040" customWidth="1"/>
    <col min="10758" max="10762" width="10.7265625" style="2040" bestFit="1" customWidth="1"/>
    <col min="10763" max="10763" width="9.26953125" style="2040" bestFit="1" customWidth="1"/>
    <col min="10764" max="10767" width="9.26953125" style="2040" customWidth="1"/>
    <col min="10768" max="11009" width="8.7265625" style="2040"/>
    <col min="11010" max="11010" width="3.7265625" style="2040" customWidth="1"/>
    <col min="11011" max="11011" width="14.453125" style="2040" customWidth="1"/>
    <col min="11012" max="11012" width="9" style="2040" bestFit="1" customWidth="1"/>
    <col min="11013" max="11013" width="23.453125" style="2040" customWidth="1"/>
    <col min="11014" max="11018" width="10.7265625" style="2040" bestFit="1" customWidth="1"/>
    <col min="11019" max="11019" width="9.26953125" style="2040" bestFit="1" customWidth="1"/>
    <col min="11020" max="11023" width="9.26953125" style="2040" customWidth="1"/>
    <col min="11024" max="11265" width="8.7265625" style="2040"/>
    <col min="11266" max="11266" width="3.7265625" style="2040" customWidth="1"/>
    <col min="11267" max="11267" width="14.453125" style="2040" customWidth="1"/>
    <col min="11268" max="11268" width="9" style="2040" bestFit="1" customWidth="1"/>
    <col min="11269" max="11269" width="23.453125" style="2040" customWidth="1"/>
    <col min="11270" max="11274" width="10.7265625" style="2040" bestFit="1" customWidth="1"/>
    <col min="11275" max="11275" width="9.26953125" style="2040" bestFit="1" customWidth="1"/>
    <col min="11276" max="11279" width="9.26953125" style="2040" customWidth="1"/>
    <col min="11280" max="11521" width="8.7265625" style="2040"/>
    <col min="11522" max="11522" width="3.7265625" style="2040" customWidth="1"/>
    <col min="11523" max="11523" width="14.453125" style="2040" customWidth="1"/>
    <col min="11524" max="11524" width="9" style="2040" bestFit="1" customWidth="1"/>
    <col min="11525" max="11525" width="23.453125" style="2040" customWidth="1"/>
    <col min="11526" max="11530" width="10.7265625" style="2040" bestFit="1" customWidth="1"/>
    <col min="11531" max="11531" width="9.26953125" style="2040" bestFit="1" customWidth="1"/>
    <col min="11532" max="11535" width="9.26953125" style="2040" customWidth="1"/>
    <col min="11536" max="11777" width="8.7265625" style="2040"/>
    <col min="11778" max="11778" width="3.7265625" style="2040" customWidth="1"/>
    <col min="11779" max="11779" width="14.453125" style="2040" customWidth="1"/>
    <col min="11780" max="11780" width="9" style="2040" bestFit="1" customWidth="1"/>
    <col min="11781" max="11781" width="23.453125" style="2040" customWidth="1"/>
    <col min="11782" max="11786" width="10.7265625" style="2040" bestFit="1" customWidth="1"/>
    <col min="11787" max="11787" width="9.26953125" style="2040" bestFit="1" customWidth="1"/>
    <col min="11788" max="11791" width="9.26953125" style="2040" customWidth="1"/>
    <col min="11792" max="12033" width="8.7265625" style="2040"/>
    <col min="12034" max="12034" width="3.7265625" style="2040" customWidth="1"/>
    <col min="12035" max="12035" width="14.453125" style="2040" customWidth="1"/>
    <col min="12036" max="12036" width="9" style="2040" bestFit="1" customWidth="1"/>
    <col min="12037" max="12037" width="23.453125" style="2040" customWidth="1"/>
    <col min="12038" max="12042" width="10.7265625" style="2040" bestFit="1" customWidth="1"/>
    <col min="12043" max="12043" width="9.26953125" style="2040" bestFit="1" customWidth="1"/>
    <col min="12044" max="12047" width="9.26953125" style="2040" customWidth="1"/>
    <col min="12048" max="12289" width="8.7265625" style="2040"/>
    <col min="12290" max="12290" width="3.7265625" style="2040" customWidth="1"/>
    <col min="12291" max="12291" width="14.453125" style="2040" customWidth="1"/>
    <col min="12292" max="12292" width="9" style="2040" bestFit="1" customWidth="1"/>
    <col min="12293" max="12293" width="23.453125" style="2040" customWidth="1"/>
    <col min="12294" max="12298" width="10.7265625" style="2040" bestFit="1" customWidth="1"/>
    <col min="12299" max="12299" width="9.26953125" style="2040" bestFit="1" customWidth="1"/>
    <col min="12300" max="12303" width="9.26953125" style="2040" customWidth="1"/>
    <col min="12304" max="12545" width="8.7265625" style="2040"/>
    <col min="12546" max="12546" width="3.7265625" style="2040" customWidth="1"/>
    <col min="12547" max="12547" width="14.453125" style="2040" customWidth="1"/>
    <col min="12548" max="12548" width="9" style="2040" bestFit="1" customWidth="1"/>
    <col min="12549" max="12549" width="23.453125" style="2040" customWidth="1"/>
    <col min="12550" max="12554" width="10.7265625" style="2040" bestFit="1" customWidth="1"/>
    <col min="12555" max="12555" width="9.26953125" style="2040" bestFit="1" customWidth="1"/>
    <col min="12556" max="12559" width="9.26953125" style="2040" customWidth="1"/>
    <col min="12560" max="12801" width="8.7265625" style="2040"/>
    <col min="12802" max="12802" width="3.7265625" style="2040" customWidth="1"/>
    <col min="12803" max="12803" width="14.453125" style="2040" customWidth="1"/>
    <col min="12804" max="12804" width="9" style="2040" bestFit="1" customWidth="1"/>
    <col min="12805" max="12805" width="23.453125" style="2040" customWidth="1"/>
    <col min="12806" max="12810" width="10.7265625" style="2040" bestFit="1" customWidth="1"/>
    <col min="12811" max="12811" width="9.26953125" style="2040" bestFit="1" customWidth="1"/>
    <col min="12812" max="12815" width="9.26953125" style="2040" customWidth="1"/>
    <col min="12816" max="13057" width="8.7265625" style="2040"/>
    <col min="13058" max="13058" width="3.7265625" style="2040" customWidth="1"/>
    <col min="13059" max="13059" width="14.453125" style="2040" customWidth="1"/>
    <col min="13060" max="13060" width="9" style="2040" bestFit="1" customWidth="1"/>
    <col min="13061" max="13061" width="23.453125" style="2040" customWidth="1"/>
    <col min="13062" max="13066" width="10.7265625" style="2040" bestFit="1" customWidth="1"/>
    <col min="13067" max="13067" width="9.26953125" style="2040" bestFit="1" customWidth="1"/>
    <col min="13068" max="13071" width="9.26953125" style="2040" customWidth="1"/>
    <col min="13072" max="13313" width="8.7265625" style="2040"/>
    <col min="13314" max="13314" width="3.7265625" style="2040" customWidth="1"/>
    <col min="13315" max="13315" width="14.453125" style="2040" customWidth="1"/>
    <col min="13316" max="13316" width="9" style="2040" bestFit="1" customWidth="1"/>
    <col min="13317" max="13317" width="23.453125" style="2040" customWidth="1"/>
    <col min="13318" max="13322" width="10.7265625" style="2040" bestFit="1" customWidth="1"/>
    <col min="13323" max="13323" width="9.26953125" style="2040" bestFit="1" customWidth="1"/>
    <col min="13324" max="13327" width="9.26953125" style="2040" customWidth="1"/>
    <col min="13328" max="13569" width="8.7265625" style="2040"/>
    <col min="13570" max="13570" width="3.7265625" style="2040" customWidth="1"/>
    <col min="13571" max="13571" width="14.453125" style="2040" customWidth="1"/>
    <col min="13572" max="13572" width="9" style="2040" bestFit="1" customWidth="1"/>
    <col min="13573" max="13573" width="23.453125" style="2040" customWidth="1"/>
    <col min="13574" max="13578" width="10.7265625" style="2040" bestFit="1" customWidth="1"/>
    <col min="13579" max="13579" width="9.26953125" style="2040" bestFit="1" customWidth="1"/>
    <col min="13580" max="13583" width="9.26953125" style="2040" customWidth="1"/>
    <col min="13584" max="13825" width="8.7265625" style="2040"/>
    <col min="13826" max="13826" width="3.7265625" style="2040" customWidth="1"/>
    <col min="13827" max="13827" width="14.453125" style="2040" customWidth="1"/>
    <col min="13828" max="13828" width="9" style="2040" bestFit="1" customWidth="1"/>
    <col min="13829" max="13829" width="23.453125" style="2040" customWidth="1"/>
    <col min="13830" max="13834" width="10.7265625" style="2040" bestFit="1" customWidth="1"/>
    <col min="13835" max="13835" width="9.26953125" style="2040" bestFit="1" customWidth="1"/>
    <col min="13836" max="13839" width="9.26953125" style="2040" customWidth="1"/>
    <col min="13840" max="14081" width="8.7265625" style="2040"/>
    <col min="14082" max="14082" width="3.7265625" style="2040" customWidth="1"/>
    <col min="14083" max="14083" width="14.453125" style="2040" customWidth="1"/>
    <col min="14084" max="14084" width="9" style="2040" bestFit="1" customWidth="1"/>
    <col min="14085" max="14085" width="23.453125" style="2040" customWidth="1"/>
    <col min="14086" max="14090" width="10.7265625" style="2040" bestFit="1" customWidth="1"/>
    <col min="14091" max="14091" width="9.26953125" style="2040" bestFit="1" customWidth="1"/>
    <col min="14092" max="14095" width="9.26953125" style="2040" customWidth="1"/>
    <col min="14096" max="14337" width="8.7265625" style="2040"/>
    <col min="14338" max="14338" width="3.7265625" style="2040" customWidth="1"/>
    <col min="14339" max="14339" width="14.453125" style="2040" customWidth="1"/>
    <col min="14340" max="14340" width="9" style="2040" bestFit="1" customWidth="1"/>
    <col min="14341" max="14341" width="23.453125" style="2040" customWidth="1"/>
    <col min="14342" max="14346" width="10.7265625" style="2040" bestFit="1" customWidth="1"/>
    <col min="14347" max="14347" width="9.26953125" style="2040" bestFit="1" customWidth="1"/>
    <col min="14348" max="14351" width="9.26953125" style="2040" customWidth="1"/>
    <col min="14352" max="14593" width="8.7265625" style="2040"/>
    <col min="14594" max="14594" width="3.7265625" style="2040" customWidth="1"/>
    <col min="14595" max="14595" width="14.453125" style="2040" customWidth="1"/>
    <col min="14596" max="14596" width="9" style="2040" bestFit="1" customWidth="1"/>
    <col min="14597" max="14597" width="23.453125" style="2040" customWidth="1"/>
    <col min="14598" max="14602" width="10.7265625" style="2040" bestFit="1" customWidth="1"/>
    <col min="14603" max="14603" width="9.26953125" style="2040" bestFit="1" customWidth="1"/>
    <col min="14604" max="14607" width="9.26953125" style="2040" customWidth="1"/>
    <col min="14608" max="14849" width="8.7265625" style="2040"/>
    <col min="14850" max="14850" width="3.7265625" style="2040" customWidth="1"/>
    <col min="14851" max="14851" width="14.453125" style="2040" customWidth="1"/>
    <col min="14852" max="14852" width="9" style="2040" bestFit="1" customWidth="1"/>
    <col min="14853" max="14853" width="23.453125" style="2040" customWidth="1"/>
    <col min="14854" max="14858" width="10.7265625" style="2040" bestFit="1" customWidth="1"/>
    <col min="14859" max="14859" width="9.26953125" style="2040" bestFit="1" customWidth="1"/>
    <col min="14860" max="14863" width="9.26953125" style="2040" customWidth="1"/>
    <col min="14864" max="15105" width="8.7265625" style="2040"/>
    <col min="15106" max="15106" width="3.7265625" style="2040" customWidth="1"/>
    <col min="15107" max="15107" width="14.453125" style="2040" customWidth="1"/>
    <col min="15108" max="15108" width="9" style="2040" bestFit="1" customWidth="1"/>
    <col min="15109" max="15109" width="23.453125" style="2040" customWidth="1"/>
    <col min="15110" max="15114" width="10.7265625" style="2040" bestFit="1" customWidth="1"/>
    <col min="15115" max="15115" width="9.26953125" style="2040" bestFit="1" customWidth="1"/>
    <col min="15116" max="15119" width="9.26953125" style="2040" customWidth="1"/>
    <col min="15120" max="15361" width="8.7265625" style="2040"/>
    <col min="15362" max="15362" width="3.7265625" style="2040" customWidth="1"/>
    <col min="15363" max="15363" width="14.453125" style="2040" customWidth="1"/>
    <col min="15364" max="15364" width="9" style="2040" bestFit="1" customWidth="1"/>
    <col min="15365" max="15365" width="23.453125" style="2040" customWidth="1"/>
    <col min="15366" max="15370" width="10.7265625" style="2040" bestFit="1" customWidth="1"/>
    <col min="15371" max="15371" width="9.26953125" style="2040" bestFit="1" customWidth="1"/>
    <col min="15372" max="15375" width="9.26953125" style="2040" customWidth="1"/>
    <col min="15376" max="15617" width="8.7265625" style="2040"/>
    <col min="15618" max="15618" width="3.7265625" style="2040" customWidth="1"/>
    <col min="15619" max="15619" width="14.453125" style="2040" customWidth="1"/>
    <col min="15620" max="15620" width="9" style="2040" bestFit="1" customWidth="1"/>
    <col min="15621" max="15621" width="23.453125" style="2040" customWidth="1"/>
    <col min="15622" max="15626" width="10.7265625" style="2040" bestFit="1" customWidth="1"/>
    <col min="15627" max="15627" width="9.26953125" style="2040" bestFit="1" customWidth="1"/>
    <col min="15628" max="15631" width="9.26953125" style="2040" customWidth="1"/>
    <col min="15632" max="15873" width="8.7265625" style="2040"/>
    <col min="15874" max="15874" width="3.7265625" style="2040" customWidth="1"/>
    <col min="15875" max="15875" width="14.453125" style="2040" customWidth="1"/>
    <col min="15876" max="15876" width="9" style="2040" bestFit="1" customWidth="1"/>
    <col min="15877" max="15877" width="23.453125" style="2040" customWidth="1"/>
    <col min="15878" max="15882" width="10.7265625" style="2040" bestFit="1" customWidth="1"/>
    <col min="15883" max="15883" width="9.26953125" style="2040" bestFit="1" customWidth="1"/>
    <col min="15884" max="15887" width="9.26953125" style="2040" customWidth="1"/>
    <col min="15888" max="16129" width="8.7265625" style="2040"/>
    <col min="16130" max="16130" width="3.7265625" style="2040" customWidth="1"/>
    <col min="16131" max="16131" width="14.453125" style="2040" customWidth="1"/>
    <col min="16132" max="16132" width="9" style="2040" bestFit="1" customWidth="1"/>
    <col min="16133" max="16133" width="23.453125" style="2040" customWidth="1"/>
    <col min="16134" max="16138" width="10.7265625" style="2040" bestFit="1" customWidth="1"/>
    <col min="16139" max="16139" width="9.26953125" style="2040" bestFit="1" customWidth="1"/>
    <col min="16140" max="16143" width="9.26953125" style="2040" customWidth="1"/>
    <col min="16144" max="16384" width="8.7265625" style="2040"/>
  </cols>
  <sheetData>
    <row r="2" spans="1:98" ht="15" customHeight="1" x14ac:dyDescent="0.35">
      <c r="A2" s="3423">
        <v>1</v>
      </c>
      <c r="B2" s="3423" t="s">
        <v>0</v>
      </c>
      <c r="C2" s="3423">
        <v>65</v>
      </c>
      <c r="D2" s="4651" t="s">
        <v>1458</v>
      </c>
      <c r="E2" s="4652"/>
      <c r="F2" s="4652"/>
      <c r="G2" s="4652"/>
      <c r="H2" s="4652"/>
      <c r="I2" s="4652"/>
      <c r="J2" s="4652"/>
      <c r="K2" s="4652"/>
      <c r="L2" s="4652"/>
      <c r="M2" s="4652"/>
      <c r="N2" s="4652"/>
      <c r="O2" s="4652"/>
      <c r="P2" s="4652"/>
      <c r="Q2" s="4652"/>
      <c r="R2" s="4652"/>
      <c r="S2" s="4652"/>
      <c r="T2" s="4652"/>
      <c r="U2" s="4652"/>
      <c r="V2" s="4653"/>
      <c r="W2" s="1981"/>
      <c r="X2" s="1981"/>
      <c r="Y2" s="1981"/>
      <c r="Z2" s="1981"/>
      <c r="AA2" s="1981"/>
      <c r="AB2" s="1981"/>
      <c r="AC2" s="1981"/>
      <c r="AD2" s="1981"/>
      <c r="AE2" s="1981"/>
      <c r="AF2" s="1981"/>
      <c r="AG2" s="1981"/>
      <c r="AH2" s="1981"/>
      <c r="AI2" s="1981"/>
      <c r="AJ2" s="1981"/>
      <c r="AK2" s="1981"/>
      <c r="AL2" s="1981"/>
      <c r="AM2" s="1981"/>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c r="CF2" s="1981"/>
      <c r="CG2" s="1981"/>
      <c r="CH2" s="1981"/>
      <c r="CI2" s="1981"/>
      <c r="CJ2" s="1981"/>
      <c r="CK2" s="1981"/>
      <c r="CL2" s="1981"/>
      <c r="CM2" s="1981"/>
      <c r="CN2" s="1981"/>
      <c r="CO2" s="1981"/>
      <c r="CP2" s="1981"/>
      <c r="CQ2" s="1981"/>
      <c r="CR2" s="1981"/>
      <c r="CS2" s="1981"/>
    </row>
    <row r="3" spans="1:98" ht="15" customHeight="1" x14ac:dyDescent="0.35">
      <c r="A3" s="3423">
        <v>2</v>
      </c>
      <c r="B3" s="3423" t="s">
        <v>2</v>
      </c>
      <c r="C3" s="3423"/>
      <c r="D3" s="4651" t="s">
        <v>1391</v>
      </c>
      <c r="E3" s="4652"/>
      <c r="F3" s="4652"/>
      <c r="G3" s="4652"/>
      <c r="H3" s="4652"/>
      <c r="I3" s="4652"/>
      <c r="J3" s="4652"/>
      <c r="K3" s="4652"/>
      <c r="L3" s="4652"/>
      <c r="M3" s="4652"/>
      <c r="N3" s="4652"/>
      <c r="O3" s="4652"/>
      <c r="P3" s="4652"/>
      <c r="Q3" s="4652"/>
      <c r="R3" s="4652"/>
      <c r="S3" s="4652"/>
      <c r="T3" s="4652"/>
      <c r="U3" s="4652"/>
      <c r="V3" s="4653"/>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c r="CF3" s="1981"/>
      <c r="CG3" s="1981"/>
      <c r="CH3" s="1981"/>
      <c r="CI3" s="1981"/>
      <c r="CJ3" s="1981"/>
      <c r="CK3" s="1981"/>
      <c r="CL3" s="1981"/>
      <c r="CM3" s="1981"/>
      <c r="CN3" s="1981"/>
      <c r="CO3" s="1981"/>
      <c r="CP3" s="1981"/>
      <c r="CQ3" s="1981"/>
      <c r="CR3" s="1981"/>
      <c r="CS3" s="1981"/>
    </row>
    <row r="4" spans="1:98" ht="12.75" customHeight="1" x14ac:dyDescent="0.35">
      <c r="A4" s="3423">
        <v>3</v>
      </c>
      <c r="B4" s="3423" t="s">
        <v>4</v>
      </c>
      <c r="C4" s="3423"/>
      <c r="D4" s="4651" t="s">
        <v>1459</v>
      </c>
      <c r="E4" s="4652"/>
      <c r="F4" s="4652"/>
      <c r="G4" s="4652"/>
      <c r="H4" s="4652"/>
      <c r="I4" s="4652"/>
      <c r="J4" s="4652"/>
      <c r="K4" s="4652"/>
      <c r="L4" s="4652"/>
      <c r="M4" s="4652"/>
      <c r="N4" s="4652"/>
      <c r="O4" s="4652"/>
      <c r="P4" s="4652"/>
      <c r="Q4" s="4652"/>
      <c r="R4" s="4652"/>
      <c r="S4" s="4652"/>
      <c r="T4" s="4652"/>
      <c r="U4" s="4652"/>
      <c r="V4" s="4653"/>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c r="CF4" s="1981"/>
      <c r="CG4" s="1981"/>
      <c r="CH4" s="1981"/>
      <c r="CI4" s="1981"/>
      <c r="CJ4" s="1981"/>
      <c r="CK4" s="1981"/>
      <c r="CL4" s="1981"/>
      <c r="CM4" s="1981"/>
      <c r="CN4" s="1981"/>
      <c r="CO4" s="1981"/>
      <c r="CP4" s="1981"/>
      <c r="CQ4" s="1981"/>
      <c r="CR4" s="1981"/>
      <c r="CS4" s="1981"/>
    </row>
    <row r="5" spans="1:98" ht="12.75" customHeight="1" x14ac:dyDescent="0.35">
      <c r="B5" s="3423"/>
      <c r="C5" s="3423"/>
      <c r="D5" s="948"/>
      <c r="E5" s="948"/>
      <c r="F5" s="948"/>
      <c r="G5" s="948"/>
      <c r="H5" s="948"/>
      <c r="I5" s="948"/>
      <c r="J5" s="948"/>
      <c r="K5" s="948"/>
      <c r="L5" s="948"/>
      <c r="M5" s="948"/>
      <c r="N5" s="948"/>
      <c r="O5" s="948"/>
      <c r="P5" s="948"/>
      <c r="Q5" s="948"/>
      <c r="R5" s="948"/>
      <c r="S5" s="948"/>
      <c r="T5" s="948"/>
      <c r="U5" s="948"/>
      <c r="V5" s="948"/>
      <c r="W5" s="1981"/>
      <c r="X5" s="1981"/>
      <c r="Y5" s="1981"/>
      <c r="Z5" s="1981"/>
      <c r="AA5" s="1981"/>
      <c r="AB5" s="1981"/>
      <c r="AC5" s="1981"/>
      <c r="AD5" s="1981"/>
      <c r="AE5" s="1981"/>
      <c r="AF5" s="1981"/>
      <c r="AG5" s="1981"/>
      <c r="AH5" s="1981"/>
      <c r="AI5" s="1981"/>
      <c r="AJ5" s="1981"/>
      <c r="AK5" s="1981"/>
      <c r="AL5" s="1981"/>
      <c r="AM5" s="1981"/>
      <c r="AN5" s="1981"/>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c r="CF5" s="1981"/>
      <c r="CG5" s="1981"/>
      <c r="CH5" s="1981"/>
      <c r="CI5" s="1981"/>
      <c r="CJ5" s="1981"/>
      <c r="CK5" s="1981"/>
      <c r="CL5" s="1981"/>
      <c r="CM5" s="1981"/>
      <c r="CN5" s="1981"/>
      <c r="CO5" s="1981"/>
      <c r="CP5" s="1981"/>
      <c r="CQ5" s="1981"/>
      <c r="CR5" s="1981"/>
      <c r="CS5" s="1981"/>
    </row>
    <row r="6" spans="1:98" x14ac:dyDescent="0.35">
      <c r="A6" s="3423">
        <v>4</v>
      </c>
      <c r="B6" s="1192" t="s">
        <v>6</v>
      </c>
      <c r="C6" s="1192"/>
      <c r="D6" s="3596" t="s">
        <v>74</v>
      </c>
      <c r="E6" s="3596" t="s">
        <v>1460</v>
      </c>
      <c r="F6" s="3502"/>
      <c r="Q6" s="2040"/>
      <c r="R6" s="3678"/>
      <c r="S6" s="3679"/>
      <c r="T6" s="3679"/>
      <c r="U6" s="1981"/>
      <c r="V6" s="1981"/>
      <c r="W6" s="1981"/>
      <c r="X6" s="1981"/>
      <c r="Y6" s="1981"/>
      <c r="Z6" s="1981"/>
      <c r="AA6" s="1981"/>
      <c r="AB6" s="1981"/>
      <c r="AC6" s="1981"/>
      <c r="AD6" s="1981"/>
      <c r="AE6" s="1981"/>
      <c r="AF6" s="1981"/>
      <c r="AG6" s="1981"/>
      <c r="AH6" s="1981"/>
      <c r="AI6" s="1981"/>
      <c r="AJ6" s="1981"/>
      <c r="AK6" s="1981"/>
      <c r="AL6" s="1981"/>
      <c r="AM6" s="1981"/>
      <c r="AN6" s="1981"/>
      <c r="AO6" s="1981"/>
      <c r="AP6" s="1981"/>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c r="CF6" s="1981"/>
      <c r="CG6" s="1981"/>
      <c r="CH6" s="1981"/>
      <c r="CI6" s="1981"/>
      <c r="CJ6" s="1981"/>
      <c r="CK6" s="1981"/>
      <c r="CL6" s="1981"/>
      <c r="CM6" s="1981"/>
      <c r="CN6" s="1981"/>
      <c r="CO6" s="1981"/>
      <c r="CP6" s="1981"/>
      <c r="CQ6" s="1981"/>
      <c r="CR6" s="1981"/>
      <c r="CS6" s="1981"/>
    </row>
    <row r="7" spans="1:98" ht="45.65" customHeight="1" x14ac:dyDescent="0.35">
      <c r="D7" s="2131"/>
      <c r="E7" s="1520" t="s">
        <v>110</v>
      </c>
      <c r="F7" s="1520" t="s">
        <v>111</v>
      </c>
      <c r="G7" s="1520" t="s">
        <v>112</v>
      </c>
      <c r="H7" s="1520" t="s">
        <v>113</v>
      </c>
      <c r="I7" s="1520" t="s">
        <v>114</v>
      </c>
      <c r="J7" s="1520" t="s">
        <v>115</v>
      </c>
      <c r="K7" s="1520" t="s">
        <v>116</v>
      </c>
      <c r="L7" s="1520" t="s">
        <v>117</v>
      </c>
      <c r="M7" s="1520" t="s">
        <v>118</v>
      </c>
      <c r="N7" s="1520" t="s">
        <v>119</v>
      </c>
      <c r="O7" s="1520" t="s">
        <v>120</v>
      </c>
      <c r="P7" s="1520" t="s">
        <v>121</v>
      </c>
      <c r="Q7" s="1520" t="s">
        <v>122</v>
      </c>
      <c r="R7" s="1700" t="s">
        <v>123</v>
      </c>
      <c r="S7" s="1700" t="s">
        <v>124</v>
      </c>
      <c r="T7" s="1700" t="s">
        <v>125</v>
      </c>
      <c r="U7" s="4428" t="s">
        <v>126</v>
      </c>
      <c r="V7" s="4428" t="s">
        <v>302</v>
      </c>
      <c r="W7" s="4430" t="s">
        <v>1461</v>
      </c>
      <c r="X7" s="1981"/>
      <c r="Y7" s="1981"/>
      <c r="Z7" s="1981"/>
      <c r="AA7" s="1981"/>
      <c r="AB7" s="1981"/>
      <c r="AC7" s="1981"/>
      <c r="AD7" s="1981"/>
      <c r="AE7" s="1981"/>
      <c r="AF7" s="1981"/>
      <c r="AG7" s="1981"/>
      <c r="AH7" s="1981"/>
      <c r="AI7" s="1981"/>
      <c r="AJ7" s="1981"/>
      <c r="AK7" s="1981"/>
      <c r="AL7" s="1981"/>
      <c r="AM7" s="1981"/>
      <c r="AN7" s="1981"/>
      <c r="AO7" s="1981"/>
      <c r="AP7" s="1981"/>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c r="CF7" s="1981"/>
      <c r="CG7" s="1981"/>
      <c r="CH7" s="1981"/>
      <c r="CI7" s="1981"/>
      <c r="CJ7" s="1981"/>
      <c r="CK7" s="1981"/>
      <c r="CL7" s="1981"/>
      <c r="CM7" s="1981"/>
      <c r="CN7" s="1981"/>
      <c r="CO7" s="1981"/>
      <c r="CP7" s="1981"/>
      <c r="CQ7" s="1981"/>
      <c r="CR7" s="1981"/>
      <c r="CS7" s="1981"/>
      <c r="CT7" s="1981"/>
    </row>
    <row r="8" spans="1:98" ht="22" customHeight="1" x14ac:dyDescent="0.35">
      <c r="D8" s="1930" t="s">
        <v>1462</v>
      </c>
      <c r="E8" s="3681">
        <v>14691</v>
      </c>
      <c r="F8" s="3681">
        <v>13793</v>
      </c>
      <c r="G8" s="3681">
        <v>12434</v>
      </c>
      <c r="H8" s="3681">
        <v>12783</v>
      </c>
      <c r="I8" s="3681">
        <v>13534</v>
      </c>
      <c r="J8" s="3681">
        <v>14152</v>
      </c>
      <c r="K8" s="3681">
        <v>14855</v>
      </c>
      <c r="L8" s="3681">
        <v>13852</v>
      </c>
      <c r="M8" s="3681">
        <v>10541</v>
      </c>
      <c r="N8" s="3681">
        <v>9417</v>
      </c>
      <c r="O8" s="3681">
        <v>9931</v>
      </c>
      <c r="P8" s="3681">
        <v>11180</v>
      </c>
      <c r="Q8" s="3681">
        <v>12773</v>
      </c>
      <c r="R8" s="3681">
        <v>14602</v>
      </c>
      <c r="S8" s="3681">
        <v>16717</v>
      </c>
      <c r="T8" s="3681">
        <v>16325</v>
      </c>
      <c r="U8" s="3681">
        <v>16026</v>
      </c>
      <c r="V8" s="3681">
        <v>18162</v>
      </c>
      <c r="W8" s="4431">
        <f>((V8-U8))/(U8)*100</f>
        <v>13.328341445151629</v>
      </c>
      <c r="X8" s="3683"/>
      <c r="Y8" s="1981"/>
      <c r="Z8" s="1981"/>
      <c r="AA8" s="1981"/>
      <c r="AB8" s="1981"/>
      <c r="AC8" s="1981"/>
      <c r="AD8" s="1981"/>
      <c r="AE8" s="1981"/>
      <c r="AF8" s="1981"/>
      <c r="AG8" s="1981"/>
      <c r="AH8" s="1981"/>
      <c r="AI8" s="1981"/>
      <c r="AJ8" s="1981"/>
      <c r="AK8" s="1981"/>
      <c r="AL8" s="1981"/>
      <c r="AM8" s="1981"/>
      <c r="AN8" s="1981"/>
      <c r="AO8" s="1981"/>
      <c r="AP8" s="1981"/>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c r="CF8" s="1981"/>
      <c r="CG8" s="1981"/>
      <c r="CH8" s="1981"/>
      <c r="CI8" s="1981"/>
      <c r="CJ8" s="1981"/>
      <c r="CK8" s="1981"/>
      <c r="CL8" s="1981"/>
      <c r="CM8" s="1981"/>
      <c r="CN8" s="1981"/>
      <c r="CO8" s="1981"/>
      <c r="CP8" s="1981"/>
      <c r="CQ8" s="1981"/>
      <c r="CR8" s="1981"/>
      <c r="CS8" s="1981"/>
      <c r="CT8" s="1981"/>
    </row>
    <row r="9" spans="1:98" x14ac:dyDescent="0.35">
      <c r="D9" s="1930" t="s">
        <v>1463</v>
      </c>
      <c r="E9" s="3681">
        <v>986</v>
      </c>
      <c r="F9" s="3681">
        <v>901</v>
      </c>
      <c r="G9" s="3681">
        <v>930</v>
      </c>
      <c r="H9" s="3681">
        <v>829</v>
      </c>
      <c r="I9" s="3681">
        <v>892</v>
      </c>
      <c r="J9" s="3681">
        <v>1245</v>
      </c>
      <c r="K9" s="3681">
        <v>1437</v>
      </c>
      <c r="L9" s="3681">
        <v>1412</v>
      </c>
      <c r="M9" s="3681">
        <v>999</v>
      </c>
      <c r="N9" s="3681">
        <v>821</v>
      </c>
      <c r="O9" s="3681">
        <v>943</v>
      </c>
      <c r="P9" s="3681">
        <v>991</v>
      </c>
      <c r="Q9" s="3681">
        <v>1279</v>
      </c>
      <c r="R9" s="3681">
        <v>1184</v>
      </c>
      <c r="S9" s="3681">
        <v>1183</v>
      </c>
      <c r="T9" s="3681">
        <v>1202</v>
      </c>
      <c r="U9" s="3681">
        <v>1182</v>
      </c>
      <c r="V9" s="3681">
        <v>1202</v>
      </c>
      <c r="W9" s="4431">
        <f t="shared" ref="W9:W14" si="0">((V9-U9))/(U9)*100</f>
        <v>1.6920473773265652</v>
      </c>
      <c r="X9" s="3683"/>
      <c r="Y9" s="1981"/>
      <c r="Z9" s="1981"/>
      <c r="AA9" s="1981"/>
      <c r="AB9" s="1981"/>
      <c r="AC9" s="1981"/>
      <c r="AD9" s="1981"/>
      <c r="AE9" s="1981"/>
      <c r="AF9" s="1981"/>
      <c r="AG9" s="1981"/>
      <c r="AH9" s="1981"/>
      <c r="AI9" s="1981"/>
      <c r="AJ9" s="1981"/>
      <c r="AK9" s="1981"/>
      <c r="AL9" s="1981"/>
      <c r="AM9" s="1981"/>
      <c r="AN9" s="1981"/>
      <c r="AO9" s="1981"/>
      <c r="AP9" s="1981"/>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c r="CF9" s="1981"/>
      <c r="CG9" s="1981"/>
      <c r="CH9" s="1981"/>
      <c r="CI9" s="1981"/>
      <c r="CJ9" s="1981"/>
      <c r="CK9" s="1981"/>
      <c r="CL9" s="1981"/>
      <c r="CM9" s="1981"/>
      <c r="CN9" s="1981"/>
      <c r="CO9" s="1981"/>
      <c r="CP9" s="1981"/>
      <c r="CQ9" s="1981"/>
      <c r="CR9" s="1981"/>
      <c r="CS9" s="1981"/>
      <c r="CT9" s="1981"/>
    </row>
    <row r="10" spans="1:98" x14ac:dyDescent="0.35">
      <c r="D10" s="1930" t="s">
        <v>1464</v>
      </c>
      <c r="E10" s="3681">
        <v>374</v>
      </c>
      <c r="F10" s="3681">
        <v>192</v>
      </c>
      <c r="G10" s="3681">
        <v>220</v>
      </c>
      <c r="H10" s="3681">
        <v>383</v>
      </c>
      <c r="I10" s="3681">
        <v>467</v>
      </c>
      <c r="J10" s="3681">
        <v>394</v>
      </c>
      <c r="K10" s="3681">
        <v>386</v>
      </c>
      <c r="L10" s="3681">
        <v>358</v>
      </c>
      <c r="M10" s="3681">
        <v>290</v>
      </c>
      <c r="N10" s="3681">
        <v>182</v>
      </c>
      <c r="O10" s="3681">
        <v>145</v>
      </c>
      <c r="P10" s="3681">
        <v>145</v>
      </c>
      <c r="Q10" s="3681">
        <v>119</v>
      </c>
      <c r="R10" s="3681">
        <v>137</v>
      </c>
      <c r="S10" s="3681">
        <v>152</v>
      </c>
      <c r="T10" s="3681">
        <v>238</v>
      </c>
      <c r="U10" s="3681">
        <v>183</v>
      </c>
      <c r="V10" s="3681">
        <v>164</v>
      </c>
      <c r="W10" s="4431">
        <f t="shared" si="0"/>
        <v>-10.382513661202186</v>
      </c>
      <c r="X10" s="3683"/>
      <c r="Y10" s="1981"/>
      <c r="Z10" s="1981"/>
      <c r="AA10" s="1981"/>
      <c r="AB10" s="1981"/>
      <c r="AC10" s="1981"/>
      <c r="AD10" s="1981"/>
      <c r="AE10" s="1981"/>
      <c r="AF10" s="1981"/>
      <c r="AG10" s="1981"/>
      <c r="AH10" s="1981"/>
      <c r="AI10" s="1981"/>
      <c r="AJ10" s="1981"/>
      <c r="AK10" s="1981"/>
      <c r="AL10" s="1981"/>
      <c r="AM10" s="1981"/>
      <c r="AN10" s="1981"/>
      <c r="AO10" s="1981"/>
      <c r="AP10" s="1981"/>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c r="CF10" s="1981"/>
      <c r="CG10" s="1981"/>
      <c r="CH10" s="1981"/>
      <c r="CI10" s="1981"/>
      <c r="CJ10" s="1981"/>
      <c r="CK10" s="1981"/>
      <c r="CL10" s="1981"/>
      <c r="CM10" s="1981"/>
      <c r="CN10" s="1981"/>
      <c r="CO10" s="1981"/>
      <c r="CP10" s="1981"/>
      <c r="CQ10" s="1981"/>
      <c r="CR10" s="1981"/>
      <c r="CS10" s="1981"/>
      <c r="CT10" s="1981"/>
    </row>
    <row r="11" spans="1:98" x14ac:dyDescent="0.35">
      <c r="D11" s="1930" t="s">
        <v>1465</v>
      </c>
      <c r="E11" s="3681"/>
      <c r="F11" s="3681"/>
      <c r="G11" s="3681">
        <v>100436</v>
      </c>
      <c r="H11" s="3681">
        <v>92021</v>
      </c>
      <c r="I11" s="3681">
        <v>92021</v>
      </c>
      <c r="J11" s="3681">
        <v>64417</v>
      </c>
      <c r="K11" s="3681">
        <v>58764</v>
      </c>
      <c r="L11" s="3681">
        <v>56993</v>
      </c>
      <c r="M11" s="3681">
        <v>54442</v>
      </c>
      <c r="N11" s="3681">
        <v>52566</v>
      </c>
      <c r="O11" s="3681">
        <v>53196</v>
      </c>
      <c r="P11" s="3681">
        <v>53505</v>
      </c>
      <c r="Q11" s="3681">
        <v>54927</v>
      </c>
      <c r="R11" s="3681">
        <v>54110</v>
      </c>
      <c r="S11" s="3681">
        <v>53418</v>
      </c>
      <c r="T11" s="3681">
        <v>50730</v>
      </c>
      <c r="U11" s="3681">
        <v>51765</v>
      </c>
      <c r="V11" s="3681">
        <v>51825</v>
      </c>
      <c r="W11" s="4431">
        <f>((V11-U11))/(U11)*100</f>
        <v>0.11590843233845263</v>
      </c>
      <c r="X11" s="3683"/>
      <c r="Y11" s="1981"/>
      <c r="Z11" s="1981"/>
      <c r="AA11" s="1981"/>
      <c r="AB11" s="1981"/>
      <c r="AC11" s="1981"/>
      <c r="AD11" s="1981"/>
      <c r="AE11" s="1981"/>
      <c r="AF11" s="1981"/>
      <c r="AG11" s="1981"/>
      <c r="AH11" s="1981"/>
      <c r="AI11" s="1981"/>
      <c r="AJ11" s="1981"/>
      <c r="AK11" s="1981"/>
      <c r="AL11" s="1981"/>
      <c r="AM11" s="1981"/>
      <c r="AN11" s="1981"/>
      <c r="AO11" s="1981"/>
      <c r="AP11" s="1981"/>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c r="CF11" s="1981"/>
      <c r="CG11" s="1981"/>
      <c r="CH11" s="1981"/>
      <c r="CI11" s="1981"/>
      <c r="CJ11" s="1981"/>
      <c r="CK11" s="1981"/>
      <c r="CL11" s="1981"/>
      <c r="CM11" s="1981"/>
      <c r="CN11" s="1981"/>
      <c r="CO11" s="1981"/>
      <c r="CP11" s="1981"/>
      <c r="CQ11" s="1981"/>
      <c r="CR11" s="1981"/>
      <c r="CS11" s="1981"/>
      <c r="CT11" s="1981"/>
    </row>
    <row r="12" spans="1:98" x14ac:dyDescent="0.35">
      <c r="D12" s="1930" t="s">
        <v>1466</v>
      </c>
      <c r="E12" s="3681">
        <v>127</v>
      </c>
      <c r="F12" s="3681">
        <v>54</v>
      </c>
      <c r="G12" s="3681">
        <v>58</v>
      </c>
      <c r="H12" s="3681">
        <v>59</v>
      </c>
      <c r="I12" s="3681">
        <v>129</v>
      </c>
      <c r="J12" s="3681">
        <v>144</v>
      </c>
      <c r="K12" s="3681">
        <v>102</v>
      </c>
      <c r="L12" s="3681">
        <v>93</v>
      </c>
      <c r="M12" s="3681">
        <v>39</v>
      </c>
      <c r="N12" s="3681">
        <v>35</v>
      </c>
      <c r="O12" s="3681">
        <v>7</v>
      </c>
      <c r="P12" s="3681">
        <v>21</v>
      </c>
      <c r="Q12" s="3681">
        <v>17</v>
      </c>
      <c r="R12" s="3681">
        <v>6</v>
      </c>
      <c r="S12" s="3681">
        <v>3</v>
      </c>
      <c r="T12" s="3681">
        <v>13</v>
      </c>
      <c r="U12" s="3681">
        <v>4</v>
      </c>
      <c r="V12" s="4429">
        <v>0</v>
      </c>
      <c r="W12" s="4431">
        <f t="shared" si="0"/>
        <v>-100</v>
      </c>
      <c r="X12" s="3683"/>
      <c r="Y12" s="1981"/>
      <c r="Z12" s="1981"/>
      <c r="AA12" s="1981"/>
      <c r="AB12" s="1981"/>
      <c r="AC12" s="1981"/>
      <c r="AD12" s="1981"/>
      <c r="AE12" s="1981"/>
      <c r="AF12" s="1981"/>
      <c r="AG12" s="1981"/>
      <c r="AH12" s="1981"/>
      <c r="AI12" s="1981"/>
      <c r="AJ12" s="1981"/>
      <c r="AK12" s="1981"/>
      <c r="AL12" s="1981"/>
      <c r="AM12" s="1981"/>
      <c r="AN12" s="1981"/>
      <c r="AO12" s="1981"/>
      <c r="AP12" s="1981"/>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c r="CF12" s="1981"/>
      <c r="CG12" s="1981"/>
      <c r="CH12" s="1981"/>
      <c r="CI12" s="1981"/>
      <c r="CJ12" s="1981"/>
      <c r="CK12" s="1981"/>
      <c r="CL12" s="1981"/>
      <c r="CM12" s="1981"/>
      <c r="CN12" s="1981"/>
      <c r="CO12" s="1981"/>
      <c r="CP12" s="1981"/>
      <c r="CQ12" s="1981"/>
      <c r="CR12" s="1981"/>
      <c r="CS12" s="1981"/>
      <c r="CT12" s="1981"/>
    </row>
    <row r="13" spans="1:98" ht="20" x14ac:dyDescent="0.35">
      <c r="D13" s="1930" t="s">
        <v>1467</v>
      </c>
      <c r="E13" s="3681">
        <v>9063</v>
      </c>
      <c r="F13" s="3681">
        <v>9351</v>
      </c>
      <c r="G13" s="3681">
        <v>9391</v>
      </c>
      <c r="H13" s="3681">
        <v>10173</v>
      </c>
      <c r="I13" s="3681">
        <v>12761</v>
      </c>
      <c r="J13" s="3681">
        <v>14481</v>
      </c>
      <c r="K13" s="3681">
        <v>18438</v>
      </c>
      <c r="L13" s="3681">
        <v>18786</v>
      </c>
      <c r="M13" s="3681">
        <v>16889</v>
      </c>
      <c r="N13" s="3681">
        <v>16766</v>
      </c>
      <c r="O13" s="3681">
        <v>17950</v>
      </c>
      <c r="P13" s="3681">
        <v>19284</v>
      </c>
      <c r="Q13" s="3681">
        <v>20281</v>
      </c>
      <c r="R13" s="3681">
        <v>20820</v>
      </c>
      <c r="S13" s="3681">
        <v>22343</v>
      </c>
      <c r="T13" s="3681">
        <v>22261</v>
      </c>
      <c r="U13" s="3681">
        <v>22431</v>
      </c>
      <c r="V13" s="3681">
        <v>21130</v>
      </c>
      <c r="W13" s="4431">
        <f t="shared" si="0"/>
        <v>-5.8000089162320005</v>
      </c>
      <c r="X13" s="3683"/>
      <c r="Y13" s="1981"/>
      <c r="Z13" s="1981"/>
      <c r="AA13" s="1981"/>
      <c r="AB13" s="1981"/>
      <c r="AC13" s="1981"/>
      <c r="AD13" s="1981"/>
      <c r="AE13" s="1981"/>
      <c r="AF13" s="1981"/>
      <c r="AG13" s="1981"/>
      <c r="AH13" s="1981"/>
      <c r="AI13" s="1981"/>
      <c r="AJ13" s="1981"/>
      <c r="AK13" s="1981"/>
      <c r="AL13" s="1981"/>
      <c r="AM13" s="1981"/>
      <c r="AN13" s="1981"/>
      <c r="AO13" s="1981"/>
      <c r="AP13" s="1981"/>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c r="CF13" s="1981"/>
      <c r="CG13" s="1981"/>
      <c r="CH13" s="1981"/>
      <c r="CI13" s="1981"/>
      <c r="CJ13" s="1981"/>
      <c r="CK13" s="1981"/>
      <c r="CL13" s="1981"/>
      <c r="CM13" s="1981"/>
      <c r="CN13" s="1981"/>
      <c r="CO13" s="1981"/>
      <c r="CP13" s="1981"/>
      <c r="CQ13" s="1981"/>
      <c r="CR13" s="1981"/>
      <c r="CS13" s="1981"/>
      <c r="CT13" s="1981"/>
    </row>
    <row r="14" spans="1:98" ht="20" x14ac:dyDescent="0.35">
      <c r="B14" s="3603"/>
      <c r="C14" s="3603"/>
      <c r="D14" s="4432" t="s">
        <v>1468</v>
      </c>
      <c r="E14" s="3685">
        <v>5498</v>
      </c>
      <c r="F14" s="3685">
        <v>3677</v>
      </c>
      <c r="G14" s="3685">
        <v>3320</v>
      </c>
      <c r="H14" s="3685">
        <v>4384</v>
      </c>
      <c r="I14" s="3685">
        <v>6675</v>
      </c>
      <c r="J14" s="3685">
        <v>9836</v>
      </c>
      <c r="K14" s="3685">
        <v>13885</v>
      </c>
      <c r="L14" s="3685">
        <v>14504</v>
      </c>
      <c r="M14" s="3685">
        <v>14637</v>
      </c>
      <c r="N14" s="3685">
        <v>15912</v>
      </c>
      <c r="O14" s="3685">
        <v>16343</v>
      </c>
      <c r="P14" s="3685">
        <v>18573</v>
      </c>
      <c r="Q14" s="3685">
        <v>19170</v>
      </c>
      <c r="R14" s="3685">
        <v>19698</v>
      </c>
      <c r="S14" s="3685">
        <v>20680</v>
      </c>
      <c r="T14" s="3685">
        <v>20047</v>
      </c>
      <c r="U14" s="3685">
        <v>19991</v>
      </c>
      <c r="V14" s="3685">
        <v>20651</v>
      </c>
      <c r="W14" s="4433">
        <f t="shared" si="0"/>
        <v>3.301485668550848</v>
      </c>
      <c r="X14" s="3683"/>
      <c r="Y14" s="1981"/>
      <c r="Z14" s="1981"/>
      <c r="AA14" s="1981"/>
      <c r="AB14" s="1981"/>
      <c r="AC14" s="1981"/>
      <c r="AD14" s="1981"/>
      <c r="AE14" s="1981"/>
      <c r="AF14" s="1981"/>
      <c r="AG14" s="1981"/>
      <c r="AH14" s="1981"/>
      <c r="AI14" s="1981"/>
      <c r="AJ14" s="1981"/>
      <c r="AK14" s="1981"/>
      <c r="AL14" s="1981"/>
      <c r="AM14" s="1981"/>
      <c r="AN14" s="1981"/>
      <c r="AO14" s="1981"/>
      <c r="AP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c r="CF14" s="1981"/>
      <c r="CG14" s="1981"/>
      <c r="CH14" s="1981"/>
      <c r="CI14" s="1981"/>
      <c r="CJ14" s="1981"/>
      <c r="CK14" s="1981"/>
      <c r="CL14" s="1981"/>
      <c r="CM14" s="1981"/>
      <c r="CN14" s="1981"/>
      <c r="CO14" s="1981"/>
      <c r="CP14" s="1981"/>
      <c r="CQ14" s="1981"/>
      <c r="CR14" s="1981"/>
      <c r="CS14" s="1981"/>
      <c r="CT14" s="1981"/>
    </row>
    <row r="15" spans="1:98" ht="12.75" customHeight="1" x14ac:dyDescent="0.35">
      <c r="B15" s="3603"/>
      <c r="C15" s="3603"/>
      <c r="D15" s="1625" t="s">
        <v>1965</v>
      </c>
      <c r="E15" s="4422">
        <f>SUM(E8:E14)</f>
        <v>30739</v>
      </c>
      <c r="F15" s="4422">
        <f t="shared" ref="F15:V15" si="1">SUM(F8:F14)</f>
        <v>27968</v>
      </c>
      <c r="G15" s="4422">
        <f t="shared" si="1"/>
        <v>126789</v>
      </c>
      <c r="H15" s="4422">
        <f t="shared" si="1"/>
        <v>120632</v>
      </c>
      <c r="I15" s="4422">
        <f t="shared" si="1"/>
        <v>126479</v>
      </c>
      <c r="J15" s="4422">
        <f t="shared" si="1"/>
        <v>104669</v>
      </c>
      <c r="K15" s="4422">
        <f t="shared" si="1"/>
        <v>107867</v>
      </c>
      <c r="L15" s="4422">
        <f t="shared" si="1"/>
        <v>105998</v>
      </c>
      <c r="M15" s="4422">
        <f t="shared" si="1"/>
        <v>97837</v>
      </c>
      <c r="N15" s="4422">
        <f t="shared" si="1"/>
        <v>95699</v>
      </c>
      <c r="O15" s="4422">
        <f t="shared" si="1"/>
        <v>98515</v>
      </c>
      <c r="P15" s="4422">
        <f t="shared" si="1"/>
        <v>103699</v>
      </c>
      <c r="Q15" s="4422">
        <f t="shared" si="1"/>
        <v>108566</v>
      </c>
      <c r="R15" s="4422">
        <f t="shared" si="1"/>
        <v>110557</v>
      </c>
      <c r="S15" s="4422">
        <f t="shared" si="1"/>
        <v>114496</v>
      </c>
      <c r="T15" s="4422">
        <f t="shared" si="1"/>
        <v>110816</v>
      </c>
      <c r="U15" s="4422">
        <f t="shared" si="1"/>
        <v>111582</v>
      </c>
      <c r="V15" s="4422">
        <f t="shared" si="1"/>
        <v>113134</v>
      </c>
      <c r="W15" s="4434">
        <f>((V15-U15))/(U15)*100</f>
        <v>1.3909053431557061</v>
      </c>
      <c r="X15" s="1981"/>
      <c r="Y15" s="1981"/>
      <c r="Z15" s="1981"/>
      <c r="AA15" s="1981"/>
      <c r="AB15" s="1981"/>
      <c r="AC15" s="1981"/>
      <c r="AD15" s="1981"/>
      <c r="AE15" s="1981"/>
      <c r="AF15" s="1981"/>
      <c r="AG15" s="1981"/>
      <c r="AH15" s="1981"/>
      <c r="AI15" s="1981"/>
      <c r="AJ15" s="1981"/>
      <c r="AK15" s="1981"/>
      <c r="AL15" s="1981"/>
      <c r="AM15" s="1981"/>
      <c r="AN15" s="1981"/>
      <c r="AO15" s="1981"/>
      <c r="AP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c r="CF15" s="1981"/>
      <c r="CG15" s="1981"/>
      <c r="CH15" s="1981"/>
      <c r="CI15" s="1981"/>
      <c r="CJ15" s="1981"/>
      <c r="CK15" s="1981"/>
      <c r="CL15" s="1981"/>
      <c r="CM15" s="1981"/>
      <c r="CN15" s="1981"/>
      <c r="CO15" s="1981"/>
      <c r="CP15" s="1981"/>
      <c r="CQ15" s="1981"/>
      <c r="CR15" s="1981"/>
      <c r="CS15" s="1981"/>
    </row>
    <row r="16" spans="1:98" x14ac:dyDescent="0.35">
      <c r="B16" s="3603"/>
      <c r="C16" s="3603"/>
      <c r="D16" s="3680"/>
      <c r="E16" s="4422"/>
      <c r="F16" s="4422"/>
      <c r="G16" s="4422"/>
      <c r="H16" s="4422"/>
      <c r="I16" s="4422"/>
      <c r="J16" s="4422"/>
      <c r="K16" s="4423"/>
      <c r="L16" s="4424"/>
      <c r="M16" s="4425"/>
      <c r="N16" s="4425"/>
      <c r="O16" s="4425"/>
      <c r="P16" s="4425"/>
      <c r="Q16" s="4426"/>
      <c r="R16" s="4427"/>
      <c r="S16" s="4427"/>
      <c r="T16" s="4427"/>
      <c r="U16" s="4427"/>
      <c r="V16" s="4427"/>
      <c r="W16" s="4427"/>
      <c r="X16" s="1981"/>
      <c r="Y16" s="1981"/>
      <c r="Z16" s="1981"/>
      <c r="AA16" s="1981"/>
      <c r="AB16" s="1981"/>
      <c r="AC16" s="1981"/>
      <c r="AD16" s="1981"/>
      <c r="AE16" s="1981"/>
      <c r="AF16" s="1981"/>
      <c r="AG16" s="1981"/>
      <c r="AH16" s="1981"/>
      <c r="AI16" s="1981"/>
      <c r="AJ16" s="1981"/>
      <c r="AK16" s="1981"/>
      <c r="AL16" s="1981"/>
      <c r="AM16" s="1981"/>
      <c r="AN16" s="1981"/>
      <c r="AO16" s="1981"/>
      <c r="AP16" s="1981"/>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c r="CF16" s="1981"/>
      <c r="CG16" s="1981"/>
      <c r="CH16" s="1981"/>
      <c r="CI16" s="1981"/>
      <c r="CJ16" s="1981"/>
      <c r="CK16" s="1981"/>
      <c r="CL16" s="1981"/>
      <c r="CM16" s="1981"/>
      <c r="CN16" s="1981"/>
      <c r="CO16" s="1981"/>
      <c r="CP16" s="1981"/>
      <c r="CQ16" s="1981"/>
      <c r="CR16" s="1981"/>
      <c r="CS16" s="1981"/>
    </row>
    <row r="17" spans="1:97" x14ac:dyDescent="0.35">
      <c r="B17" s="2023"/>
      <c r="C17" s="2023"/>
      <c r="Q17" s="3686"/>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1981"/>
      <c r="AP17" s="1981"/>
      <c r="AQ17" s="1981"/>
      <c r="AR17" s="1981"/>
      <c r="AS17" s="1981"/>
      <c r="AT17" s="1981"/>
      <c r="AU17" s="1981"/>
      <c r="AV17" s="1981"/>
      <c r="AW17" s="1981"/>
      <c r="AX17" s="1981"/>
      <c r="AY17" s="1981"/>
      <c r="AZ17" s="1981"/>
      <c r="BA17" s="1981"/>
      <c r="BB17" s="1981"/>
      <c r="BC17" s="1981"/>
      <c r="BD17" s="1981"/>
      <c r="BE17" s="1981"/>
      <c r="BF17" s="1981"/>
      <c r="BG17" s="1981"/>
      <c r="BH17" s="1981"/>
      <c r="BI17" s="1981"/>
      <c r="BJ17" s="1981"/>
      <c r="BK17" s="1981"/>
      <c r="BL17" s="1981"/>
      <c r="BM17" s="1981"/>
      <c r="BN17" s="1981"/>
      <c r="BO17" s="1981"/>
      <c r="BP17" s="1981"/>
      <c r="BQ17" s="1981"/>
      <c r="BR17" s="1981"/>
      <c r="BS17" s="1981"/>
      <c r="BT17" s="1981"/>
      <c r="BU17" s="1981"/>
      <c r="BV17" s="1981"/>
      <c r="BW17" s="1981"/>
      <c r="BX17" s="1981"/>
      <c r="BY17" s="1981"/>
      <c r="BZ17" s="1981"/>
      <c r="CA17" s="1981"/>
      <c r="CB17" s="1981"/>
      <c r="CC17" s="1981"/>
      <c r="CD17" s="1981"/>
      <c r="CE17" s="1981"/>
      <c r="CF17" s="1981"/>
      <c r="CG17" s="1981"/>
      <c r="CH17" s="1981"/>
      <c r="CI17" s="1981"/>
      <c r="CJ17" s="1981"/>
      <c r="CK17" s="1981"/>
      <c r="CL17" s="1981"/>
      <c r="CM17" s="1981"/>
      <c r="CN17" s="1981"/>
      <c r="CO17" s="1981"/>
      <c r="CP17" s="1981"/>
      <c r="CQ17" s="1981"/>
      <c r="CR17" s="1981"/>
      <c r="CS17" s="1981"/>
    </row>
    <row r="18" spans="1:97" x14ac:dyDescent="0.35">
      <c r="A18" s="3423">
        <v>5</v>
      </c>
      <c r="B18" s="3423" t="s">
        <v>56</v>
      </c>
      <c r="C18" s="3423"/>
      <c r="Q18" s="3686"/>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1981"/>
      <c r="AP18" s="1981"/>
      <c r="AQ18" s="1981"/>
      <c r="AR18" s="1981"/>
      <c r="AS18" s="1981"/>
      <c r="AT18" s="1981"/>
      <c r="AU18" s="1981"/>
      <c r="AV18" s="1981"/>
      <c r="AW18" s="1981"/>
      <c r="AX18" s="1981"/>
      <c r="AY18" s="1981"/>
      <c r="AZ18" s="1981"/>
      <c r="BA18" s="1981"/>
      <c r="BB18" s="1981"/>
      <c r="BC18" s="1981"/>
      <c r="BD18" s="1981"/>
      <c r="BE18" s="1981"/>
      <c r="BF18" s="1981"/>
      <c r="BG18" s="1981"/>
      <c r="BH18" s="1981"/>
      <c r="BI18" s="1981"/>
      <c r="BJ18" s="1981"/>
      <c r="BK18" s="1981"/>
      <c r="BL18" s="1981"/>
      <c r="BM18" s="1981"/>
      <c r="BN18" s="1981"/>
      <c r="BO18" s="1981"/>
      <c r="BP18" s="1981"/>
      <c r="BQ18" s="1981"/>
      <c r="BR18" s="1981"/>
      <c r="BS18" s="1981"/>
      <c r="BT18" s="1981"/>
      <c r="BU18" s="1981"/>
      <c r="BV18" s="1981"/>
      <c r="BW18" s="1981"/>
      <c r="BX18" s="1981"/>
      <c r="BY18" s="1981"/>
      <c r="BZ18" s="1981"/>
      <c r="CA18" s="1981"/>
      <c r="CB18" s="1981"/>
      <c r="CC18" s="1981"/>
      <c r="CD18" s="1981"/>
      <c r="CE18" s="1981"/>
      <c r="CF18" s="1981"/>
      <c r="CG18" s="1981"/>
      <c r="CH18" s="1981"/>
      <c r="CI18" s="1981"/>
      <c r="CJ18" s="1981"/>
      <c r="CK18" s="1981"/>
      <c r="CL18" s="1981"/>
      <c r="CM18" s="1981"/>
      <c r="CN18" s="1981"/>
      <c r="CO18" s="1981"/>
      <c r="CP18" s="1981"/>
      <c r="CQ18" s="1981"/>
      <c r="CR18" s="1981"/>
      <c r="CS18" s="1981"/>
    </row>
    <row r="27" spans="1:97" x14ac:dyDescent="0.35">
      <c r="B27" s="3608"/>
      <c r="C27" s="3608"/>
      <c r="Q27" s="3686"/>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c r="CF27" s="1981"/>
      <c r="CG27" s="1981"/>
      <c r="CH27" s="1981"/>
      <c r="CI27" s="1981"/>
      <c r="CJ27" s="1981"/>
      <c r="CK27" s="1981"/>
      <c r="CL27" s="1981"/>
      <c r="CM27" s="1981"/>
      <c r="CN27" s="1981"/>
      <c r="CO27" s="1981"/>
      <c r="CP27" s="1981"/>
      <c r="CQ27" s="1981"/>
      <c r="CR27" s="1981"/>
      <c r="CS27" s="1981"/>
    </row>
    <row r="38" spans="1:22" ht="12.75" customHeight="1" x14ac:dyDescent="0.25">
      <c r="A38" s="3423">
        <v>6</v>
      </c>
      <c r="B38" s="3511" t="s">
        <v>1436</v>
      </c>
      <c r="C38" s="3511"/>
      <c r="D38" s="4651" t="s">
        <v>1469</v>
      </c>
      <c r="E38" s="4652"/>
      <c r="F38" s="4652"/>
      <c r="G38" s="4652"/>
      <c r="H38" s="4652"/>
      <c r="I38" s="4652"/>
      <c r="J38" s="4652"/>
      <c r="K38" s="4652"/>
      <c r="L38" s="4652"/>
      <c r="M38" s="4652"/>
      <c r="N38" s="4652"/>
      <c r="O38" s="4652"/>
      <c r="P38" s="4652"/>
      <c r="Q38" s="4652"/>
      <c r="R38" s="4652"/>
      <c r="S38" s="4652"/>
      <c r="T38" s="4652"/>
      <c r="U38" s="4652"/>
      <c r="V38" s="4653"/>
    </row>
    <row r="39" spans="1:22" ht="12.75" customHeight="1" x14ac:dyDescent="0.25">
      <c r="A39" s="3423">
        <v>7</v>
      </c>
      <c r="B39" s="3511" t="s">
        <v>60</v>
      </c>
      <c r="C39" s="3511"/>
      <c r="D39" s="4651" t="s">
        <v>1470</v>
      </c>
      <c r="E39" s="4652"/>
      <c r="F39" s="4652"/>
      <c r="G39" s="4652"/>
      <c r="H39" s="4652"/>
      <c r="I39" s="4652"/>
      <c r="J39" s="4652"/>
      <c r="K39" s="4652"/>
      <c r="L39" s="4652"/>
      <c r="M39" s="4652"/>
      <c r="N39" s="4652"/>
      <c r="O39" s="4652"/>
      <c r="P39" s="4652"/>
      <c r="Q39" s="4652"/>
      <c r="R39" s="4652"/>
      <c r="S39" s="4652"/>
      <c r="T39" s="4652"/>
      <c r="U39" s="4652"/>
      <c r="V39" s="4653"/>
    </row>
    <row r="40" spans="1:22" ht="12.75" customHeight="1" x14ac:dyDescent="0.25">
      <c r="A40" s="3423">
        <v>8</v>
      </c>
      <c r="B40" s="3511" t="s">
        <v>62</v>
      </c>
      <c r="C40" s="3423"/>
      <c r="D40" s="4651" t="s">
        <v>1471</v>
      </c>
      <c r="E40" s="4652"/>
      <c r="F40" s="4652"/>
      <c r="G40" s="4652"/>
      <c r="H40" s="4652"/>
      <c r="I40" s="4652"/>
      <c r="J40" s="4652"/>
      <c r="K40" s="4652"/>
      <c r="L40" s="4652"/>
      <c r="M40" s="4652"/>
      <c r="N40" s="4652"/>
      <c r="O40" s="4652"/>
      <c r="P40" s="4652"/>
      <c r="Q40" s="4652"/>
      <c r="R40" s="4652"/>
      <c r="S40" s="4652"/>
      <c r="T40" s="4652"/>
      <c r="U40" s="4652"/>
      <c r="V40" s="4653"/>
    </row>
    <row r="41" spans="1:22" ht="24.65" customHeight="1" x14ac:dyDescent="0.25">
      <c r="A41" s="3423">
        <v>9</v>
      </c>
      <c r="B41" s="3511" t="s">
        <v>64</v>
      </c>
      <c r="D41" s="4651" t="s">
        <v>1472</v>
      </c>
      <c r="E41" s="4652"/>
      <c r="F41" s="4652"/>
      <c r="G41" s="4652"/>
      <c r="H41" s="4652"/>
      <c r="I41" s="4652"/>
      <c r="J41" s="4652"/>
      <c r="K41" s="4652"/>
      <c r="L41" s="4652"/>
      <c r="M41" s="4652"/>
      <c r="N41" s="4652"/>
      <c r="O41" s="4652"/>
      <c r="P41" s="4652"/>
      <c r="Q41" s="4652"/>
      <c r="R41" s="4652"/>
      <c r="S41" s="4652"/>
      <c r="T41" s="4652"/>
      <c r="U41" s="4652"/>
      <c r="V41" s="4653"/>
    </row>
    <row r="45" spans="1:22" x14ac:dyDescent="0.3">
      <c r="D45" s="3596" t="s">
        <v>74</v>
      </c>
      <c r="E45" s="3596" t="s">
        <v>1460</v>
      </c>
      <c r="F45" s="3502"/>
    </row>
    <row r="46" spans="1:22" x14ac:dyDescent="0.25">
      <c r="D46" s="3538"/>
      <c r="E46" s="1520" t="s">
        <v>110</v>
      </c>
      <c r="F46" s="1520" t="s">
        <v>111</v>
      </c>
      <c r="G46" s="1520" t="s">
        <v>112</v>
      </c>
      <c r="H46" s="1520" t="s">
        <v>1417</v>
      </c>
      <c r="I46" s="1520" t="s">
        <v>114</v>
      </c>
      <c r="J46" s="1520" t="s">
        <v>1473</v>
      </c>
      <c r="K46" s="1520" t="s">
        <v>116</v>
      </c>
      <c r="L46" s="1520" t="s">
        <v>117</v>
      </c>
      <c r="M46" s="1520" t="s">
        <v>118</v>
      </c>
      <c r="N46" s="1520" t="s">
        <v>119</v>
      </c>
      <c r="O46" s="1520" t="s">
        <v>120</v>
      </c>
      <c r="P46" s="1520" t="s">
        <v>121</v>
      </c>
      <c r="Q46" s="1520" t="s">
        <v>122</v>
      </c>
      <c r="R46" s="1520" t="s">
        <v>123</v>
      </c>
      <c r="S46" s="1520" t="s">
        <v>124</v>
      </c>
      <c r="T46" s="1520" t="s">
        <v>125</v>
      </c>
      <c r="U46" s="1520" t="s">
        <v>126</v>
      </c>
      <c r="V46" s="1520" t="s">
        <v>302</v>
      </c>
    </row>
    <row r="47" spans="1:22" x14ac:dyDescent="0.25">
      <c r="D47" s="3680" t="s">
        <v>1462</v>
      </c>
      <c r="E47" s="3681">
        <v>14691</v>
      </c>
      <c r="F47" s="3681">
        <v>13793</v>
      </c>
      <c r="G47" s="3681">
        <v>12434</v>
      </c>
      <c r="H47" s="3681">
        <v>12825</v>
      </c>
      <c r="I47" s="3681">
        <v>13599</v>
      </c>
      <c r="J47" s="3681">
        <v>14201</v>
      </c>
      <c r="K47" s="3681">
        <v>14915</v>
      </c>
      <c r="L47" s="3681">
        <v>13902</v>
      </c>
      <c r="M47" s="3681">
        <v>10627</v>
      </c>
      <c r="N47" s="3681">
        <v>9475</v>
      </c>
      <c r="O47" s="3681">
        <v>9990</v>
      </c>
      <c r="P47" s="3681">
        <v>11221</v>
      </c>
      <c r="Q47" s="3681">
        <v>12773</v>
      </c>
      <c r="R47" s="3681">
        <v>14602</v>
      </c>
      <c r="S47" s="3681">
        <v>16717</v>
      </c>
      <c r="T47" s="3681">
        <v>16325</v>
      </c>
      <c r="U47" s="3681">
        <f t="shared" ref="U47:U53" si="2">U8</f>
        <v>16026</v>
      </c>
      <c r="V47" s="3681">
        <v>18162</v>
      </c>
    </row>
    <row r="48" spans="1:22" x14ac:dyDescent="0.25">
      <c r="D48" s="3680" t="s">
        <v>1463</v>
      </c>
      <c r="E48" s="3681">
        <v>986</v>
      </c>
      <c r="F48" s="3681">
        <v>901</v>
      </c>
      <c r="G48" s="3681">
        <v>930</v>
      </c>
      <c r="H48" s="3681">
        <v>829</v>
      </c>
      <c r="I48" s="3681">
        <v>892</v>
      </c>
      <c r="J48" s="3681">
        <v>1245</v>
      </c>
      <c r="K48" s="3681">
        <v>1437</v>
      </c>
      <c r="L48" s="3681">
        <v>1412</v>
      </c>
      <c r="M48" s="3681">
        <v>999</v>
      </c>
      <c r="N48" s="3681">
        <v>821</v>
      </c>
      <c r="O48" s="3681">
        <v>943</v>
      </c>
      <c r="P48" s="3681">
        <v>991</v>
      </c>
      <c r="Q48" s="3681">
        <v>1279</v>
      </c>
      <c r="R48" s="3681">
        <v>1184</v>
      </c>
      <c r="S48" s="3681">
        <v>1183</v>
      </c>
      <c r="T48" s="3681">
        <v>1202</v>
      </c>
      <c r="U48" s="3681">
        <f t="shared" si="2"/>
        <v>1182</v>
      </c>
      <c r="V48" s="3681">
        <v>1202</v>
      </c>
    </row>
    <row r="49" spans="4:26" x14ac:dyDescent="0.25">
      <c r="D49" s="3680" t="s">
        <v>1474</v>
      </c>
      <c r="E49" s="3681">
        <v>374</v>
      </c>
      <c r="F49" s="3681">
        <v>192</v>
      </c>
      <c r="G49" s="3681">
        <v>220</v>
      </c>
      <c r="H49" s="3681">
        <v>383</v>
      </c>
      <c r="I49" s="3681">
        <v>467</v>
      </c>
      <c r="J49" s="3681">
        <v>395</v>
      </c>
      <c r="K49" s="3681">
        <v>386</v>
      </c>
      <c r="L49" s="3681">
        <v>358</v>
      </c>
      <c r="M49" s="3681">
        <v>291</v>
      </c>
      <c r="N49" s="3681">
        <v>182</v>
      </c>
      <c r="O49" s="3681">
        <v>145</v>
      </c>
      <c r="P49" s="3681">
        <v>145</v>
      </c>
      <c r="Q49" s="3681">
        <v>119</v>
      </c>
      <c r="R49" s="3681">
        <v>137</v>
      </c>
      <c r="S49" s="3681">
        <v>152</v>
      </c>
      <c r="T49" s="3681">
        <v>238</v>
      </c>
      <c r="U49" s="3681">
        <f t="shared" si="2"/>
        <v>183</v>
      </c>
      <c r="V49" s="3681">
        <v>164</v>
      </c>
    </row>
    <row r="50" spans="4:26" x14ac:dyDescent="0.25">
      <c r="D50" s="3680" t="s">
        <v>1465</v>
      </c>
      <c r="E50" s="3682"/>
      <c r="F50" s="3682"/>
      <c r="G50" s="3682">
        <v>100436</v>
      </c>
      <c r="H50" s="3682">
        <v>91070</v>
      </c>
      <c r="I50" s="3682">
        <v>92021</v>
      </c>
      <c r="J50" s="3682">
        <v>77984</v>
      </c>
      <c r="K50" s="3682">
        <v>72194</v>
      </c>
      <c r="L50" s="3682">
        <v>67670</v>
      </c>
      <c r="M50" s="3682">
        <v>57951</v>
      </c>
      <c r="N50" s="3682">
        <v>57973</v>
      </c>
      <c r="O50" s="3682">
        <v>60476</v>
      </c>
      <c r="P50" s="3682">
        <v>69240</v>
      </c>
      <c r="Q50" s="3681">
        <v>54927</v>
      </c>
      <c r="R50" s="3681">
        <v>54110</v>
      </c>
      <c r="S50" s="3681">
        <v>53418</v>
      </c>
      <c r="T50" s="3681">
        <v>50730</v>
      </c>
      <c r="U50" s="3681">
        <f t="shared" si="2"/>
        <v>51765</v>
      </c>
      <c r="V50" s="3681">
        <v>51825</v>
      </c>
    </row>
    <row r="51" spans="4:26" x14ac:dyDescent="0.25">
      <c r="D51" s="3680" t="s">
        <v>1466</v>
      </c>
      <c r="E51" s="3681">
        <v>127</v>
      </c>
      <c r="F51" s="3681">
        <v>54</v>
      </c>
      <c r="G51" s="3681">
        <v>58</v>
      </c>
      <c r="H51" s="3681">
        <v>59</v>
      </c>
      <c r="I51" s="3681">
        <v>129</v>
      </c>
      <c r="J51" s="3681">
        <v>144</v>
      </c>
      <c r="K51" s="3681">
        <v>102</v>
      </c>
      <c r="L51" s="3681">
        <v>93</v>
      </c>
      <c r="M51" s="3681">
        <v>39</v>
      </c>
      <c r="N51" s="3681">
        <v>35</v>
      </c>
      <c r="O51" s="3681">
        <v>7</v>
      </c>
      <c r="P51" s="3681">
        <v>21</v>
      </c>
      <c r="Q51" s="3681">
        <v>17</v>
      </c>
      <c r="R51" s="3681">
        <v>6</v>
      </c>
      <c r="S51" s="3681">
        <v>3</v>
      </c>
      <c r="T51" s="3681">
        <v>13</v>
      </c>
      <c r="U51" s="3681">
        <f t="shared" si="2"/>
        <v>4</v>
      </c>
      <c r="V51" s="3681">
        <v>0</v>
      </c>
    </row>
    <row r="52" spans="4:26" ht="20" x14ac:dyDescent="0.25">
      <c r="D52" s="3680" t="s">
        <v>1467</v>
      </c>
      <c r="E52" s="3681">
        <v>9063</v>
      </c>
      <c r="F52" s="3681">
        <v>9351</v>
      </c>
      <c r="G52" s="3681">
        <v>9391</v>
      </c>
      <c r="H52" s="3681">
        <v>10173</v>
      </c>
      <c r="I52" s="3681">
        <v>12761</v>
      </c>
      <c r="J52" s="3681">
        <v>14481</v>
      </c>
      <c r="K52" s="3681">
        <v>18438</v>
      </c>
      <c r="L52" s="3681">
        <v>18786</v>
      </c>
      <c r="M52" s="3681">
        <v>16889</v>
      </c>
      <c r="N52" s="3681">
        <v>16766</v>
      </c>
      <c r="O52" s="3681">
        <v>17950</v>
      </c>
      <c r="P52" s="3681">
        <v>19284</v>
      </c>
      <c r="Q52" s="3681">
        <v>20281</v>
      </c>
      <c r="R52" s="3681">
        <v>20820</v>
      </c>
      <c r="S52" s="3681">
        <v>22343</v>
      </c>
      <c r="T52" s="3681">
        <v>22261</v>
      </c>
      <c r="U52" s="3681">
        <f t="shared" si="2"/>
        <v>22431</v>
      </c>
      <c r="V52" s="3681">
        <v>21130</v>
      </c>
    </row>
    <row r="53" spans="4:26" ht="20" x14ac:dyDescent="0.25">
      <c r="D53" s="3684" t="s">
        <v>1468</v>
      </c>
      <c r="E53" s="3685">
        <v>5498</v>
      </c>
      <c r="F53" s="3685">
        <v>3677</v>
      </c>
      <c r="G53" s="3685">
        <v>3320</v>
      </c>
      <c r="H53" s="3685">
        <v>4387</v>
      </c>
      <c r="I53" s="3685">
        <v>6689</v>
      </c>
      <c r="J53" s="3685">
        <v>9862</v>
      </c>
      <c r="K53" s="3685">
        <v>13920</v>
      </c>
      <c r="L53" s="3685">
        <v>14534</v>
      </c>
      <c r="M53" s="3685">
        <v>14667</v>
      </c>
      <c r="N53" s="3685">
        <v>15951</v>
      </c>
      <c r="O53" s="3685">
        <v>16377</v>
      </c>
      <c r="P53" s="3685">
        <v>18615</v>
      </c>
      <c r="Q53" s="3685">
        <v>19170</v>
      </c>
      <c r="R53" s="3685">
        <v>19698</v>
      </c>
      <c r="S53" s="3685">
        <v>20680</v>
      </c>
      <c r="T53" s="3685">
        <v>20047</v>
      </c>
      <c r="U53" s="3685">
        <f t="shared" si="2"/>
        <v>19991</v>
      </c>
      <c r="V53" s="3685">
        <v>20651</v>
      </c>
    </row>
    <row r="54" spans="4:26" x14ac:dyDescent="0.25">
      <c r="S54" s="4435"/>
      <c r="T54" s="4435"/>
      <c r="U54" s="4435"/>
      <c r="V54" s="4435"/>
      <c r="Z54" s="3688"/>
    </row>
    <row r="55" spans="4:26" x14ac:dyDescent="0.25">
      <c r="F55" s="3689">
        <v>12783</v>
      </c>
      <c r="G55" s="3689">
        <v>13534</v>
      </c>
      <c r="H55" s="3689">
        <v>14152</v>
      </c>
      <c r="I55" s="3689">
        <v>14855</v>
      </c>
      <c r="J55" s="3689">
        <v>13852</v>
      </c>
      <c r="K55" s="3689">
        <v>10541</v>
      </c>
      <c r="L55" s="3689">
        <v>9417</v>
      </c>
      <c r="M55" s="3689">
        <v>9931</v>
      </c>
      <c r="N55" s="3689">
        <v>11180</v>
      </c>
      <c r="O55" s="3689">
        <v>12773</v>
      </c>
      <c r="P55" s="3689">
        <v>1593</v>
      </c>
      <c r="Q55" s="3690"/>
      <c r="S55" s="4435"/>
      <c r="T55" s="4435"/>
      <c r="U55" s="4435"/>
      <c r="V55" s="4435"/>
    </row>
    <row r="56" spans="4:26" x14ac:dyDescent="0.25">
      <c r="F56" s="3691"/>
      <c r="G56" s="3691"/>
      <c r="H56" s="3691"/>
      <c r="I56" s="3691"/>
      <c r="J56" s="3691"/>
      <c r="K56" s="3691"/>
      <c r="L56" s="3691"/>
      <c r="M56" s="3691"/>
      <c r="N56" s="3691"/>
      <c r="O56" s="3691"/>
      <c r="P56" s="3691"/>
      <c r="Q56" s="3692"/>
      <c r="S56" s="4435"/>
      <c r="T56" s="4435"/>
      <c r="U56" s="4435"/>
      <c r="V56" s="4435"/>
    </row>
    <row r="57" spans="4:26" x14ac:dyDescent="0.3">
      <c r="D57" s="3596" t="s">
        <v>74</v>
      </c>
      <c r="E57" s="3596" t="s">
        <v>1460</v>
      </c>
      <c r="F57" s="3502"/>
      <c r="S57" s="4435"/>
      <c r="T57" s="4435"/>
      <c r="U57" s="4435"/>
      <c r="V57" s="4435"/>
    </row>
    <row r="58" spans="4:26" x14ac:dyDescent="0.25">
      <c r="D58" s="3538"/>
      <c r="E58" s="3693" t="s">
        <v>112</v>
      </c>
      <c r="F58" s="3693" t="s">
        <v>113</v>
      </c>
      <c r="G58" s="3693" t="s">
        <v>114</v>
      </c>
      <c r="H58" s="3693" t="s">
        <v>115</v>
      </c>
      <c r="I58" s="3693" t="s">
        <v>116</v>
      </c>
      <c r="J58" s="3693" t="s">
        <v>117</v>
      </c>
      <c r="K58" s="3693" t="s">
        <v>118</v>
      </c>
      <c r="L58" s="3693" t="s">
        <v>119</v>
      </c>
      <c r="M58" s="3693" t="s">
        <v>120</v>
      </c>
      <c r="N58" s="3693" t="s">
        <v>121</v>
      </c>
      <c r="O58" s="3693" t="s">
        <v>122</v>
      </c>
      <c r="P58" s="3693" t="s">
        <v>123</v>
      </c>
      <c r="Q58" s="3693" t="s">
        <v>124</v>
      </c>
      <c r="R58" s="3693" t="s">
        <v>125</v>
      </c>
      <c r="S58" s="3693" t="s">
        <v>126</v>
      </c>
      <c r="T58" s="3693" t="s">
        <v>302</v>
      </c>
      <c r="U58" s="4435"/>
      <c r="V58" s="4435"/>
    </row>
    <row r="59" spans="4:26" x14ac:dyDescent="0.25">
      <c r="D59" s="3680" t="s">
        <v>1462</v>
      </c>
      <c r="E59" s="3694">
        <v>100</v>
      </c>
      <c r="F59" s="3694">
        <f>+H47/$G47*100</f>
        <v>103.1446035065144</v>
      </c>
      <c r="G59" s="3694">
        <f>+I47/$G47*100</f>
        <v>109.3694708058549</v>
      </c>
      <c r="H59" s="3694">
        <f>+J47/$G47*100</f>
        <v>114.21103426089753</v>
      </c>
      <c r="I59" s="3694">
        <f>+K47/$G47*100</f>
        <v>119.953353707576</v>
      </c>
      <c r="J59" s="3694">
        <f t="shared" ref="J59:N65" si="3">+L47/$G47*100</f>
        <v>111.80633746179829</v>
      </c>
      <c r="K59" s="3694">
        <f t="shared" si="3"/>
        <v>85.467267170661088</v>
      </c>
      <c r="L59" s="3694">
        <f t="shared" si="3"/>
        <v>76.202348399549621</v>
      </c>
      <c r="M59" s="3694">
        <f t="shared" si="3"/>
        <v>80.344217468232273</v>
      </c>
      <c r="N59" s="3694">
        <f>+P47/$G47*100</f>
        <v>90.244490912015436</v>
      </c>
      <c r="O59" s="3694">
        <f>+Q47/$G47*100</f>
        <v>102.72639536754062</v>
      </c>
      <c r="P59" s="3694">
        <f t="shared" ref="P59:T65" si="4">+R47/$G47*100</f>
        <v>117.43606240952226</v>
      </c>
      <c r="Q59" s="3695">
        <f t="shared" si="4"/>
        <v>134.44587421585973</v>
      </c>
      <c r="R59" s="3695">
        <f t="shared" si="4"/>
        <v>131.29322824513432</v>
      </c>
      <c r="S59" s="3695">
        <f t="shared" si="4"/>
        <v>128.88853144603507</v>
      </c>
      <c r="T59" s="3695">
        <f t="shared" si="4"/>
        <v>146.06723500080426</v>
      </c>
      <c r="U59" s="4435"/>
      <c r="V59" s="4435"/>
    </row>
    <row r="60" spans="4:26" x14ac:dyDescent="0.25">
      <c r="D60" s="3680" t="s">
        <v>1463</v>
      </c>
      <c r="E60" s="3694">
        <v>100</v>
      </c>
      <c r="F60" s="3694">
        <f t="shared" ref="F60:I65" si="5">+H48/$G48*100</f>
        <v>89.13978494623656</v>
      </c>
      <c r="G60" s="3694">
        <f t="shared" si="5"/>
        <v>95.913978494623649</v>
      </c>
      <c r="H60" s="3694">
        <f t="shared" si="5"/>
        <v>133.87096774193549</v>
      </c>
      <c r="I60" s="3694">
        <f t="shared" si="5"/>
        <v>154.51612903225808</v>
      </c>
      <c r="J60" s="3694">
        <f t="shared" si="3"/>
        <v>151.82795698924733</v>
      </c>
      <c r="K60" s="3694">
        <f t="shared" si="3"/>
        <v>107.41935483870968</v>
      </c>
      <c r="L60" s="3694">
        <f>+N48/$G48*100</f>
        <v>88.27956989247312</v>
      </c>
      <c r="M60" s="3694">
        <f t="shared" si="3"/>
        <v>101.39784946236558</v>
      </c>
      <c r="N60" s="3694">
        <f>+P48/$G48*100</f>
        <v>106.55913978494624</v>
      </c>
      <c r="O60" s="3694">
        <f t="shared" ref="O60:O65" si="6">+Q48/$G48*100</f>
        <v>137.52688172043011</v>
      </c>
      <c r="P60" s="3694">
        <f t="shared" si="4"/>
        <v>127.31182795698925</v>
      </c>
      <c r="Q60" s="3695">
        <f t="shared" si="4"/>
        <v>127.20430107526882</v>
      </c>
      <c r="R60" s="3695">
        <f t="shared" si="4"/>
        <v>129.24731182795699</v>
      </c>
      <c r="S60" s="3695">
        <f t="shared" si="4"/>
        <v>127.09677419354838</v>
      </c>
      <c r="T60" s="3695">
        <f t="shared" si="4"/>
        <v>129.24731182795699</v>
      </c>
      <c r="U60" s="4435"/>
      <c r="V60" s="4435"/>
    </row>
    <row r="61" spans="4:26" x14ac:dyDescent="0.25">
      <c r="D61" s="3680" t="s">
        <v>1474</v>
      </c>
      <c r="E61" s="3694">
        <v>100</v>
      </c>
      <c r="F61" s="3694">
        <f t="shared" si="5"/>
        <v>174.09090909090909</v>
      </c>
      <c r="G61" s="3694">
        <f t="shared" si="5"/>
        <v>212.27272727272725</v>
      </c>
      <c r="H61" s="3694">
        <f t="shared" si="5"/>
        <v>179.54545454545453</v>
      </c>
      <c r="I61" s="3694">
        <f t="shared" si="5"/>
        <v>175.45454545454547</v>
      </c>
      <c r="J61" s="3694">
        <f t="shared" si="3"/>
        <v>162.72727272727272</v>
      </c>
      <c r="K61" s="3694">
        <f t="shared" si="3"/>
        <v>132.27272727272728</v>
      </c>
      <c r="L61" s="3694">
        <f t="shared" si="3"/>
        <v>82.727272727272734</v>
      </c>
      <c r="M61" s="3694">
        <f t="shared" si="3"/>
        <v>65.909090909090907</v>
      </c>
      <c r="N61" s="3694">
        <f t="shared" si="3"/>
        <v>65.909090909090907</v>
      </c>
      <c r="O61" s="3694">
        <f t="shared" si="6"/>
        <v>54.090909090909086</v>
      </c>
      <c r="P61" s="3694">
        <f t="shared" si="4"/>
        <v>62.272727272727266</v>
      </c>
      <c r="Q61" s="3695">
        <f t="shared" si="4"/>
        <v>69.090909090909093</v>
      </c>
      <c r="R61" s="3695">
        <f t="shared" si="4"/>
        <v>108.18181818181817</v>
      </c>
      <c r="S61" s="3695">
        <f t="shared" si="4"/>
        <v>83.181818181818173</v>
      </c>
      <c r="T61" s="3695">
        <f t="shared" si="4"/>
        <v>74.545454545454547</v>
      </c>
      <c r="U61" s="4435"/>
      <c r="V61" s="4435"/>
    </row>
    <row r="62" spans="4:26" x14ac:dyDescent="0.25">
      <c r="D62" s="3680" t="s">
        <v>1465</v>
      </c>
      <c r="E62" s="3694">
        <v>100</v>
      </c>
      <c r="F62" s="3694">
        <f t="shared" si="5"/>
        <v>90.674658488988015</v>
      </c>
      <c r="G62" s="3694">
        <f t="shared" si="5"/>
        <v>91.621530128639122</v>
      </c>
      <c r="H62" s="3694">
        <f t="shared" si="5"/>
        <v>77.645465769246087</v>
      </c>
      <c r="I62" s="3694">
        <f t="shared" si="5"/>
        <v>71.880600581464819</v>
      </c>
      <c r="J62" s="3694">
        <f t="shared" si="3"/>
        <v>67.376239595364211</v>
      </c>
      <c r="K62" s="3694">
        <f t="shared" si="3"/>
        <v>57.699430483093714</v>
      </c>
      <c r="L62" s="3694">
        <f t="shared" si="3"/>
        <v>57.721334979489427</v>
      </c>
      <c r="M62" s="3694">
        <f t="shared" si="3"/>
        <v>60.213469273965515</v>
      </c>
      <c r="N62" s="3694">
        <f t="shared" si="3"/>
        <v>68.939424110876573</v>
      </c>
      <c r="O62" s="3694">
        <f t="shared" si="6"/>
        <v>54.688557887610024</v>
      </c>
      <c r="P62" s="3694">
        <f t="shared" si="4"/>
        <v>53.875104544187344</v>
      </c>
      <c r="Q62" s="3695">
        <f t="shared" si="4"/>
        <v>53.186108566649402</v>
      </c>
      <c r="R62" s="3695">
        <f t="shared" si="4"/>
        <v>50.509777370663912</v>
      </c>
      <c r="S62" s="3695">
        <f t="shared" si="4"/>
        <v>51.540284360189567</v>
      </c>
      <c r="T62" s="3695">
        <f t="shared" si="4"/>
        <v>51.600023895814253</v>
      </c>
      <c r="U62" s="4435"/>
      <c r="V62" s="4435"/>
    </row>
    <row r="63" spans="4:26" x14ac:dyDescent="0.25">
      <c r="D63" s="3680" t="s">
        <v>1466</v>
      </c>
      <c r="E63" s="3694">
        <v>100</v>
      </c>
      <c r="F63" s="3694">
        <f t="shared" si="5"/>
        <v>101.72413793103448</v>
      </c>
      <c r="G63" s="3694">
        <f t="shared" si="5"/>
        <v>222.41379310344826</v>
      </c>
      <c r="H63" s="3694">
        <f t="shared" si="5"/>
        <v>248.27586206896552</v>
      </c>
      <c r="I63" s="3694">
        <f t="shared" si="5"/>
        <v>175.86206896551724</v>
      </c>
      <c r="J63" s="3694">
        <f t="shared" si="3"/>
        <v>160.34482758620689</v>
      </c>
      <c r="K63" s="3694">
        <f t="shared" si="3"/>
        <v>67.241379310344826</v>
      </c>
      <c r="L63" s="3694">
        <f t="shared" si="3"/>
        <v>60.344827586206897</v>
      </c>
      <c r="M63" s="3694">
        <f t="shared" si="3"/>
        <v>12.068965517241379</v>
      </c>
      <c r="N63" s="3694">
        <f t="shared" si="3"/>
        <v>36.206896551724135</v>
      </c>
      <c r="O63" s="3694">
        <f t="shared" si="6"/>
        <v>29.310344827586203</v>
      </c>
      <c r="P63" s="3694">
        <f t="shared" si="4"/>
        <v>10.344827586206897</v>
      </c>
      <c r="Q63" s="3695">
        <f t="shared" si="4"/>
        <v>5.1724137931034484</v>
      </c>
      <c r="R63" s="3695">
        <f t="shared" si="4"/>
        <v>22.413793103448278</v>
      </c>
      <c r="S63" s="3695">
        <f t="shared" si="4"/>
        <v>6.8965517241379306</v>
      </c>
      <c r="T63" s="3695">
        <f t="shared" si="4"/>
        <v>0</v>
      </c>
      <c r="U63" s="4435"/>
      <c r="V63" s="4435"/>
    </row>
    <row r="64" spans="4:26" ht="20" x14ac:dyDescent="0.25">
      <c r="D64" s="3680" t="s">
        <v>1467</v>
      </c>
      <c r="E64" s="3694">
        <v>100</v>
      </c>
      <c r="F64" s="3694">
        <f t="shared" si="5"/>
        <v>108.32712171227772</v>
      </c>
      <c r="G64" s="3694">
        <f t="shared" si="5"/>
        <v>135.88542221275691</v>
      </c>
      <c r="H64" s="3694"/>
      <c r="I64" s="3694">
        <f t="shared" si="5"/>
        <v>196.33691832605686</v>
      </c>
      <c r="J64" s="3694">
        <f t="shared" si="3"/>
        <v>200.04259397295283</v>
      </c>
      <c r="K64" s="3694">
        <f t="shared" si="3"/>
        <v>179.84240230007453</v>
      </c>
      <c r="L64" s="3694">
        <f t="shared" si="3"/>
        <v>178.53263763177509</v>
      </c>
      <c r="M64" s="3694">
        <f t="shared" si="3"/>
        <v>191.14045362581194</v>
      </c>
      <c r="N64" s="3694">
        <f t="shared" si="3"/>
        <v>205.34554360557982</v>
      </c>
      <c r="O64" s="3694">
        <f t="shared" si="6"/>
        <v>215.96209136407199</v>
      </c>
      <c r="P64" s="3694">
        <f t="shared" si="4"/>
        <v>221.70162921946545</v>
      </c>
      <c r="Q64" s="3695">
        <f t="shared" si="4"/>
        <v>237.91928442125442</v>
      </c>
      <c r="R64" s="3695">
        <f t="shared" si="4"/>
        <v>237.04610797572144</v>
      </c>
      <c r="S64" s="3695">
        <f t="shared" si="4"/>
        <v>238.85635182621661</v>
      </c>
      <c r="T64" s="3695">
        <f t="shared" si="4"/>
        <v>225.00266212330956</v>
      </c>
      <c r="U64" s="4435"/>
      <c r="V64" s="4435"/>
    </row>
    <row r="65" spans="4:22" ht="20" x14ac:dyDescent="0.25">
      <c r="D65" s="3684" t="s">
        <v>1468</v>
      </c>
      <c r="E65" s="3696">
        <v>100</v>
      </c>
      <c r="F65" s="3696">
        <f t="shared" si="5"/>
        <v>132.13855421686748</v>
      </c>
      <c r="G65" s="3696">
        <f t="shared" si="5"/>
        <v>201.47590361445782</v>
      </c>
      <c r="H65" s="3696">
        <f t="shared" si="5"/>
        <v>297.0481927710843</v>
      </c>
      <c r="I65" s="3696">
        <f t="shared" si="5"/>
        <v>419.2771084337349</v>
      </c>
      <c r="J65" s="3696">
        <f t="shared" si="3"/>
        <v>437.77108433734941</v>
      </c>
      <c r="K65" s="3696">
        <f t="shared" si="3"/>
        <v>441.77710843373495</v>
      </c>
      <c r="L65" s="3696">
        <f t="shared" si="3"/>
        <v>480.4518072289157</v>
      </c>
      <c r="M65" s="3696">
        <f t="shared" si="3"/>
        <v>493.2831325301205</v>
      </c>
      <c r="N65" s="3696">
        <f t="shared" si="3"/>
        <v>560.69277108433732</v>
      </c>
      <c r="O65" s="3696">
        <f t="shared" si="6"/>
        <v>577.40963855421694</v>
      </c>
      <c r="P65" s="3696">
        <f t="shared" si="4"/>
        <v>593.31325301204822</v>
      </c>
      <c r="Q65" s="3697">
        <f t="shared" si="4"/>
        <v>622.89156626506031</v>
      </c>
      <c r="R65" s="3697">
        <f t="shared" si="4"/>
        <v>603.82530120481931</v>
      </c>
      <c r="S65" s="3697">
        <f t="shared" si="4"/>
        <v>602.13855421686753</v>
      </c>
      <c r="T65" s="3697">
        <f t="shared" si="4"/>
        <v>622.01807228915663</v>
      </c>
      <c r="U65" s="4435"/>
      <c r="V65" s="4435"/>
    </row>
    <row r="66" spans="4:22" x14ac:dyDescent="0.25">
      <c r="S66" s="4435"/>
      <c r="T66" s="4435"/>
      <c r="U66" s="4435"/>
      <c r="V66" s="4435"/>
    </row>
  </sheetData>
  <mergeCells count="7">
    <mergeCell ref="D41:V41"/>
    <mergeCell ref="D2:V2"/>
    <mergeCell ref="D3:V3"/>
    <mergeCell ref="D4:V4"/>
    <mergeCell ref="D38:V38"/>
    <mergeCell ref="D39:V39"/>
    <mergeCell ref="D40:V40"/>
  </mergeCells>
  <pageMargins left="0.74803149606299213" right="0.74803149606299213" top="0.98425196850393704" bottom="0.98425196850393704" header="0.51181102362204722" footer="0.51181102362204722"/>
  <pageSetup paperSize="9" scale="57"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2"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249977111117893"/>
    <pageSetUpPr fitToPage="1"/>
  </sheetPr>
  <dimension ref="A1:V54"/>
  <sheetViews>
    <sheetView showGridLines="0" view="pageBreakPreview" zoomScale="110" zoomScaleNormal="100" zoomScaleSheetLayoutView="110" workbookViewId="0">
      <selection activeCell="Y27" sqref="Y27"/>
    </sheetView>
  </sheetViews>
  <sheetFormatPr defaultColWidth="9.1796875" defaultRowHeight="14.5" x14ac:dyDescent="0.35"/>
  <cols>
    <col min="1" max="1" width="3.7265625" style="3423" customWidth="1"/>
    <col min="2" max="2" width="13" style="3420" customWidth="1"/>
    <col min="3" max="3" width="8" style="3420" customWidth="1"/>
    <col min="4" max="4" width="16.1796875" style="3422" customWidth="1"/>
    <col min="5" max="5" width="7.7265625" style="3422" customWidth="1"/>
    <col min="6" max="6" width="7.26953125" style="3677" customWidth="1"/>
    <col min="7" max="7" width="7.81640625" style="3422" customWidth="1"/>
    <col min="8" max="8" width="7.54296875" style="3422" customWidth="1"/>
    <col min="9" max="9" width="7.453125" style="3422" customWidth="1"/>
    <col min="10" max="10" width="8.54296875" style="3422" customWidth="1"/>
    <col min="11" max="11" width="7.81640625" style="3422" customWidth="1"/>
    <col min="12" max="12" width="7.54296875" style="3422" customWidth="1"/>
    <col min="13" max="14" width="7.81640625" style="3422" customWidth="1"/>
    <col min="15" max="15" width="8.453125" style="3422" customWidth="1"/>
    <col min="16" max="17" width="7.81640625" style="3422" customWidth="1"/>
    <col min="18" max="18" width="7.453125" style="3422" customWidth="1"/>
    <col min="19" max="19" width="6.7265625" style="3422" customWidth="1"/>
    <col min="20" max="20" width="6.7265625" style="3422" bestFit="1" customWidth="1"/>
    <col min="21" max="21" width="6.54296875" style="3422" customWidth="1"/>
    <col min="22" max="16384" width="9.1796875" style="3422"/>
  </cols>
  <sheetData>
    <row r="1" spans="1:22" x14ac:dyDescent="0.35">
      <c r="D1" s="3421"/>
      <c r="E1" s="3421"/>
      <c r="F1" s="3657"/>
      <c r="G1" s="3421"/>
      <c r="H1" s="3421"/>
      <c r="I1" s="3421"/>
      <c r="J1" s="3421"/>
      <c r="K1" s="3421"/>
      <c r="L1" s="3421"/>
      <c r="M1" s="3421"/>
      <c r="N1" s="3421"/>
      <c r="O1" s="3421"/>
      <c r="P1" s="3421"/>
      <c r="Q1" s="3421"/>
      <c r="R1" s="3421"/>
    </row>
    <row r="2" spans="1:22" ht="13.15" customHeight="1" x14ac:dyDescent="0.35">
      <c r="A2" s="3423">
        <v>1</v>
      </c>
      <c r="B2" s="3423" t="s">
        <v>0</v>
      </c>
      <c r="C2" s="3423">
        <v>66</v>
      </c>
      <c r="D2" s="4651" t="s">
        <v>1475</v>
      </c>
      <c r="E2" s="4652"/>
      <c r="F2" s="4652"/>
      <c r="G2" s="4652"/>
      <c r="H2" s="4652"/>
      <c r="I2" s="4652"/>
      <c r="J2" s="4652"/>
      <c r="K2" s="4652"/>
      <c r="L2" s="4652"/>
      <c r="M2" s="4652"/>
      <c r="N2" s="4652"/>
      <c r="O2" s="4652"/>
      <c r="P2" s="4652"/>
      <c r="Q2" s="4652"/>
      <c r="R2" s="4652"/>
      <c r="S2" s="4652"/>
      <c r="T2" s="4653"/>
      <c r="U2" s="3698"/>
      <c r="V2" s="3698"/>
    </row>
    <row r="3" spans="1:22" ht="15" customHeight="1" x14ac:dyDescent="0.35">
      <c r="A3" s="3423">
        <v>2</v>
      </c>
      <c r="B3" s="3423" t="s">
        <v>2</v>
      </c>
      <c r="C3" s="3423"/>
      <c r="D3" s="4651" t="s">
        <v>1391</v>
      </c>
      <c r="E3" s="4652"/>
      <c r="F3" s="4652"/>
      <c r="G3" s="4652"/>
      <c r="H3" s="4652"/>
      <c r="I3" s="4652"/>
      <c r="J3" s="4652"/>
      <c r="K3" s="4652"/>
      <c r="L3" s="4652"/>
      <c r="M3" s="4652"/>
      <c r="N3" s="4652"/>
      <c r="O3" s="4652"/>
      <c r="P3" s="4652"/>
      <c r="Q3" s="4652"/>
      <c r="R3" s="4652"/>
      <c r="S3" s="4652"/>
      <c r="T3" s="4653"/>
    </row>
    <row r="4" spans="1:22" ht="12.75" customHeight="1" x14ac:dyDescent="0.35">
      <c r="A4" s="3423">
        <v>3</v>
      </c>
      <c r="B4" s="3423" t="s">
        <v>4</v>
      </c>
      <c r="C4" s="3423"/>
      <c r="D4" s="4651" t="s">
        <v>1476</v>
      </c>
      <c r="E4" s="4652"/>
      <c r="F4" s="4652"/>
      <c r="G4" s="4652"/>
      <c r="H4" s="4652"/>
      <c r="I4" s="4652"/>
      <c r="J4" s="4652"/>
      <c r="K4" s="4652"/>
      <c r="L4" s="4652"/>
      <c r="M4" s="4652"/>
      <c r="N4" s="4652"/>
      <c r="O4" s="4652"/>
      <c r="P4" s="4652"/>
      <c r="Q4" s="4652"/>
      <c r="R4" s="4652"/>
      <c r="S4" s="4652"/>
      <c r="T4" s="4653"/>
    </row>
    <row r="5" spans="1:22" ht="12.75" customHeight="1" x14ac:dyDescent="0.35">
      <c r="B5" s="3423"/>
      <c r="C5" s="3423"/>
      <c r="D5" s="948"/>
      <c r="E5" s="948"/>
      <c r="F5" s="948"/>
      <c r="G5" s="948"/>
      <c r="H5" s="948"/>
      <c r="I5" s="948"/>
      <c r="J5" s="948"/>
      <c r="K5" s="948"/>
      <c r="L5" s="948"/>
      <c r="M5" s="948"/>
      <c r="N5" s="948"/>
      <c r="O5" s="948"/>
      <c r="P5" s="948"/>
      <c r="Q5" s="948"/>
      <c r="R5" s="948"/>
      <c r="S5" s="948"/>
      <c r="T5" s="948"/>
    </row>
    <row r="6" spans="1:22" x14ac:dyDescent="0.35">
      <c r="A6" s="3423">
        <v>4</v>
      </c>
      <c r="B6" s="1192" t="s">
        <v>6</v>
      </c>
      <c r="D6" s="312" t="s">
        <v>7</v>
      </c>
      <c r="E6" s="90" t="s">
        <v>1477</v>
      </c>
      <c r="F6" s="1337"/>
      <c r="G6" s="1337"/>
      <c r="H6" s="1337"/>
      <c r="I6" s="1337"/>
      <c r="J6" s="1337"/>
      <c r="K6" s="1337"/>
      <c r="L6" s="1337"/>
      <c r="M6" s="1337"/>
      <c r="N6" s="89"/>
      <c r="O6" s="2079"/>
      <c r="P6" s="2079"/>
      <c r="Q6" s="330"/>
      <c r="R6" s="330"/>
      <c r="S6" s="330"/>
      <c r="T6" s="330"/>
    </row>
    <row r="7" spans="1:22" x14ac:dyDescent="0.35">
      <c r="A7" s="3666"/>
      <c r="B7" s="1420"/>
      <c r="C7" s="1420"/>
      <c r="D7" s="1956"/>
      <c r="E7" s="3645" t="s">
        <v>111</v>
      </c>
      <c r="F7" s="3645" t="s">
        <v>112</v>
      </c>
      <c r="G7" s="3645" t="s">
        <v>113</v>
      </c>
      <c r="H7" s="3645" t="s">
        <v>114</v>
      </c>
      <c r="I7" s="3645" t="s">
        <v>115</v>
      </c>
      <c r="J7" s="3645" t="s">
        <v>116</v>
      </c>
      <c r="K7" s="3699" t="s">
        <v>117</v>
      </c>
      <c r="L7" s="3699" t="s">
        <v>118</v>
      </c>
      <c r="M7" s="3699" t="s">
        <v>119</v>
      </c>
      <c r="N7" s="4072" t="s">
        <v>120</v>
      </c>
      <c r="O7" s="4072" t="s">
        <v>121</v>
      </c>
      <c r="P7" s="4072" t="s">
        <v>122</v>
      </c>
      <c r="Q7" s="4072" t="s">
        <v>123</v>
      </c>
      <c r="R7" s="4072" t="s">
        <v>124</v>
      </c>
      <c r="S7" s="4072" t="s">
        <v>125</v>
      </c>
      <c r="T7" s="4072" t="s">
        <v>126</v>
      </c>
      <c r="U7" s="4072" t="s">
        <v>302</v>
      </c>
    </row>
    <row r="8" spans="1:22" ht="13.5" customHeight="1" x14ac:dyDescent="0.35">
      <c r="A8" s="3666"/>
      <c r="B8" s="1420"/>
      <c r="C8" s="1420"/>
      <c r="D8" s="3700"/>
      <c r="E8" s="3701"/>
      <c r="F8" s="3701"/>
      <c r="G8" s="3701"/>
      <c r="H8" s="3701"/>
      <c r="I8" s="3701"/>
      <c r="J8" s="3701"/>
      <c r="K8" s="2898"/>
      <c r="L8" s="2898"/>
      <c r="M8" s="2915"/>
      <c r="N8" s="2898"/>
      <c r="O8" s="2898"/>
      <c r="P8" s="2898"/>
      <c r="Q8" s="4438"/>
      <c r="R8" s="4438"/>
      <c r="S8" s="4438"/>
      <c r="T8" s="4438"/>
      <c r="U8" s="4438"/>
    </row>
    <row r="9" spans="1:22" x14ac:dyDescent="0.35">
      <c r="A9" s="3666"/>
      <c r="B9" s="1420"/>
      <c r="C9" s="1420"/>
      <c r="D9" s="1270" t="s">
        <v>402</v>
      </c>
      <c r="E9" s="3702">
        <v>7893</v>
      </c>
      <c r="F9" s="3702">
        <v>9061</v>
      </c>
      <c r="G9" s="3702">
        <v>7511</v>
      </c>
      <c r="H9" s="3702">
        <v>7231</v>
      </c>
      <c r="I9" s="3702">
        <v>8003</v>
      </c>
      <c r="J9" s="3702">
        <v>8437</v>
      </c>
      <c r="K9" s="2693">
        <v>8946</v>
      </c>
      <c r="L9" s="2693">
        <v>9557</v>
      </c>
      <c r="M9" s="4439">
        <v>11643</v>
      </c>
      <c r="N9" s="2693">
        <v>12871</v>
      </c>
      <c r="O9" s="2693">
        <v>15032</v>
      </c>
      <c r="P9" s="2693">
        <v>16038</v>
      </c>
      <c r="Q9" s="2693">
        <v>16129</v>
      </c>
      <c r="R9" s="2693">
        <v>17710</v>
      </c>
      <c r="S9" s="2693">
        <v>18936</v>
      </c>
      <c r="T9" s="2693">
        <v>15213</v>
      </c>
      <c r="U9" s="2693">
        <v>13343</v>
      </c>
    </row>
    <row r="10" spans="1:22" x14ac:dyDescent="0.35">
      <c r="A10" s="3666"/>
      <c r="B10" s="1420"/>
      <c r="C10" s="1420"/>
      <c r="D10" s="1270" t="s">
        <v>1401</v>
      </c>
      <c r="E10" s="3702">
        <v>3550</v>
      </c>
      <c r="F10" s="3702">
        <v>4063</v>
      </c>
      <c r="G10" s="3702">
        <v>5074</v>
      </c>
      <c r="H10" s="3702">
        <v>5462</v>
      </c>
      <c r="I10" s="3702">
        <v>4525</v>
      </c>
      <c r="J10" s="3702">
        <v>4561</v>
      </c>
      <c r="K10" s="2693">
        <v>5110</v>
      </c>
      <c r="L10" s="2693">
        <v>4189</v>
      </c>
      <c r="M10" s="2693">
        <v>4455</v>
      </c>
      <c r="N10" s="2693">
        <v>6153</v>
      </c>
      <c r="O10" s="2693">
        <v>8189</v>
      </c>
      <c r="P10" s="2693">
        <v>8776</v>
      </c>
      <c r="Q10" s="2693">
        <v>9623</v>
      </c>
      <c r="R10" s="2693">
        <v>11314</v>
      </c>
      <c r="S10" s="2693">
        <v>12176</v>
      </c>
      <c r="T10" s="2693">
        <v>7888</v>
      </c>
      <c r="U10" s="2693">
        <v>3989</v>
      </c>
    </row>
    <row r="11" spans="1:22" x14ac:dyDescent="0.35">
      <c r="A11" s="3666"/>
      <c r="B11" s="1420"/>
      <c r="C11" s="1420"/>
      <c r="D11" s="1270" t="s">
        <v>524</v>
      </c>
      <c r="E11" s="3702">
        <v>9428</v>
      </c>
      <c r="F11" s="3702">
        <v>10722</v>
      </c>
      <c r="G11" s="3702">
        <v>14202</v>
      </c>
      <c r="H11" s="3702">
        <v>12582</v>
      </c>
      <c r="I11" s="3702">
        <v>12742</v>
      </c>
      <c r="J11" s="3702">
        <v>13574</v>
      </c>
      <c r="K11" s="2693">
        <v>14729</v>
      </c>
      <c r="L11" s="2693">
        <v>16432</v>
      </c>
      <c r="M11" s="2693">
        <v>25923</v>
      </c>
      <c r="N11" s="2693">
        <v>38131</v>
      </c>
      <c r="O11" s="2693">
        <v>74667</v>
      </c>
      <c r="P11" s="2693">
        <v>70264</v>
      </c>
      <c r="Q11" s="2693">
        <v>55442</v>
      </c>
      <c r="R11" s="2693">
        <v>62837</v>
      </c>
      <c r="S11" s="2693">
        <v>69285</v>
      </c>
      <c r="T11" s="2693">
        <v>55639</v>
      </c>
      <c r="U11" s="2693">
        <v>43275</v>
      </c>
    </row>
    <row r="12" spans="1:22" x14ac:dyDescent="0.35">
      <c r="A12" s="3666"/>
      <c r="B12" s="1420"/>
      <c r="C12" s="1420"/>
      <c r="D12" s="1270" t="s">
        <v>1402</v>
      </c>
      <c r="E12" s="3702">
        <v>13599</v>
      </c>
      <c r="F12" s="3702">
        <v>19290</v>
      </c>
      <c r="G12" s="3702">
        <v>23206</v>
      </c>
      <c r="H12" s="3702">
        <v>26228</v>
      </c>
      <c r="I12" s="3702">
        <v>24100</v>
      </c>
      <c r="J12" s="3702">
        <v>23819</v>
      </c>
      <c r="K12" s="2693">
        <v>28693</v>
      </c>
      <c r="L12" s="2693">
        <v>32454</v>
      </c>
      <c r="M12" s="2693">
        <v>37414</v>
      </c>
      <c r="N12" s="2693">
        <v>42167</v>
      </c>
      <c r="O12" s="2693">
        <v>45950</v>
      </c>
      <c r="P12" s="2693">
        <v>47377</v>
      </c>
      <c r="Q12" s="2693">
        <v>46354</v>
      </c>
      <c r="R12" s="2693">
        <v>50429</v>
      </c>
      <c r="S12" s="2693">
        <v>53987</v>
      </c>
      <c r="T12" s="2693">
        <v>35358</v>
      </c>
      <c r="U12" s="2693">
        <v>25990</v>
      </c>
    </row>
    <row r="13" spans="1:22" x14ac:dyDescent="0.35">
      <c r="A13" s="3666"/>
      <c r="B13" s="1420"/>
      <c r="C13" s="1420"/>
      <c r="D13" s="1270" t="s">
        <v>409</v>
      </c>
      <c r="E13" s="3702">
        <v>1706</v>
      </c>
      <c r="F13" s="3702">
        <v>1786</v>
      </c>
      <c r="G13" s="3702">
        <v>1977</v>
      </c>
      <c r="H13" s="3702">
        <v>2178</v>
      </c>
      <c r="I13" s="3702">
        <v>3198</v>
      </c>
      <c r="J13" s="3702">
        <v>3316</v>
      </c>
      <c r="K13" s="2693">
        <v>4837</v>
      </c>
      <c r="L13" s="2693">
        <v>4633</v>
      </c>
      <c r="M13" s="2693">
        <v>5253</v>
      </c>
      <c r="N13" s="2693">
        <v>7528</v>
      </c>
      <c r="O13" s="2693">
        <v>9608</v>
      </c>
      <c r="P13" s="2693">
        <v>11716</v>
      </c>
      <c r="Q13" s="2693">
        <v>11268</v>
      </c>
      <c r="R13" s="2693">
        <v>14393</v>
      </c>
      <c r="S13" s="2693">
        <v>19592</v>
      </c>
      <c r="T13" s="2693">
        <v>13533</v>
      </c>
      <c r="U13" s="2693">
        <v>4775</v>
      </c>
    </row>
    <row r="14" spans="1:22" x14ac:dyDescent="0.35">
      <c r="A14" s="3666"/>
      <c r="B14" s="1420"/>
      <c r="C14" s="1420"/>
      <c r="D14" s="1270" t="s">
        <v>1403</v>
      </c>
      <c r="E14" s="3702">
        <v>1314</v>
      </c>
      <c r="F14" s="3702">
        <v>1714</v>
      </c>
      <c r="G14" s="3702">
        <v>1794</v>
      </c>
      <c r="H14" s="3702">
        <v>2068</v>
      </c>
      <c r="I14" s="3702">
        <v>1770</v>
      </c>
      <c r="J14" s="3702">
        <v>1642</v>
      </c>
      <c r="K14" s="2693">
        <v>2041</v>
      </c>
      <c r="L14" s="2693">
        <v>3167</v>
      </c>
      <c r="M14" s="2693">
        <v>4151</v>
      </c>
      <c r="N14" s="2693">
        <v>5834</v>
      </c>
      <c r="O14" s="2693">
        <v>7459</v>
      </c>
      <c r="P14" s="2693">
        <v>8841</v>
      </c>
      <c r="Q14" s="2693">
        <v>9820</v>
      </c>
      <c r="R14" s="2693">
        <v>11519</v>
      </c>
      <c r="S14" s="2693">
        <v>13026</v>
      </c>
      <c r="T14" s="2693">
        <v>9959</v>
      </c>
      <c r="U14" s="2693">
        <v>6670</v>
      </c>
    </row>
    <row r="15" spans="1:22" x14ac:dyDescent="0.35">
      <c r="A15" s="3666"/>
      <c r="B15" s="1420"/>
      <c r="C15" s="1420"/>
      <c r="D15" s="1270" t="s">
        <v>406</v>
      </c>
      <c r="E15" s="3702">
        <v>3117</v>
      </c>
      <c r="F15" s="3702">
        <v>4383</v>
      </c>
      <c r="G15" s="3702">
        <v>5053</v>
      </c>
      <c r="H15" s="3702">
        <v>5759</v>
      </c>
      <c r="I15" s="3702">
        <v>6610</v>
      </c>
      <c r="J15" s="3702">
        <v>7109</v>
      </c>
      <c r="K15" s="2693">
        <v>7704</v>
      </c>
      <c r="L15" s="2693">
        <v>7163</v>
      </c>
      <c r="M15" s="2693">
        <v>7677</v>
      </c>
      <c r="N15" s="2693">
        <v>9152</v>
      </c>
      <c r="O15" s="2693">
        <v>11007</v>
      </c>
      <c r="P15" s="2693">
        <v>11632</v>
      </c>
      <c r="Q15" s="2693">
        <v>12189</v>
      </c>
      <c r="R15" s="2693">
        <v>11972</v>
      </c>
      <c r="S15" s="2693">
        <v>13825</v>
      </c>
      <c r="T15" s="2693">
        <v>9910</v>
      </c>
      <c r="U15" s="2693">
        <v>7140</v>
      </c>
    </row>
    <row r="16" spans="1:22" x14ac:dyDescent="0.35">
      <c r="A16" s="3666"/>
      <c r="B16" s="1420"/>
      <c r="C16" s="1420"/>
      <c r="D16" s="1270" t="s">
        <v>1404</v>
      </c>
      <c r="E16" s="3702">
        <v>2142</v>
      </c>
      <c r="F16" s="3702">
        <v>2550</v>
      </c>
      <c r="G16" s="3702">
        <v>2085</v>
      </c>
      <c r="H16" s="3702">
        <v>2114</v>
      </c>
      <c r="I16" s="3702">
        <v>2201</v>
      </c>
      <c r="J16" s="3702">
        <v>1933</v>
      </c>
      <c r="K16" s="2693">
        <v>2371</v>
      </c>
      <c r="L16" s="2693">
        <v>2412</v>
      </c>
      <c r="M16" s="2693">
        <v>2667</v>
      </c>
      <c r="N16" s="2693">
        <v>2852</v>
      </c>
      <c r="O16" s="2693">
        <v>3247</v>
      </c>
      <c r="P16" s="2693">
        <v>3527</v>
      </c>
      <c r="Q16" s="2693">
        <v>4344</v>
      </c>
      <c r="R16" s="2693">
        <v>5136</v>
      </c>
      <c r="S16" s="2693">
        <v>5563</v>
      </c>
      <c r="T16" s="2693">
        <v>3813</v>
      </c>
      <c r="U16" s="2693">
        <v>2620</v>
      </c>
    </row>
    <row r="17" spans="1:22" x14ac:dyDescent="0.35">
      <c r="A17" s="3666"/>
      <c r="B17" s="1420"/>
      <c r="C17" s="1420"/>
      <c r="D17" s="1270" t="s">
        <v>401</v>
      </c>
      <c r="E17" s="3702">
        <v>19940</v>
      </c>
      <c r="F17" s="3702">
        <v>30432</v>
      </c>
      <c r="G17" s="3702">
        <v>34788</v>
      </c>
      <c r="H17" s="3702">
        <v>41067</v>
      </c>
      <c r="I17" s="3702">
        <v>45985</v>
      </c>
      <c r="J17" s="3702">
        <v>52781</v>
      </c>
      <c r="K17" s="2693">
        <v>60409</v>
      </c>
      <c r="L17" s="2693">
        <v>70554</v>
      </c>
      <c r="M17" s="2693">
        <v>77035</v>
      </c>
      <c r="N17" s="2693">
        <v>82033</v>
      </c>
      <c r="O17" s="2693">
        <v>85437</v>
      </c>
      <c r="P17" s="2693">
        <v>88731</v>
      </c>
      <c r="Q17" s="2693">
        <v>93996</v>
      </c>
      <c r="R17" s="2693">
        <v>107379</v>
      </c>
      <c r="S17" s="2693">
        <v>117157</v>
      </c>
      <c r="T17" s="2693">
        <v>81344</v>
      </c>
      <c r="U17" s="2693">
        <v>62708</v>
      </c>
    </row>
    <row r="18" spans="1:22" x14ac:dyDescent="0.35">
      <c r="A18" s="3666"/>
      <c r="B18" s="1420"/>
      <c r="C18" s="1420"/>
      <c r="D18" s="155" t="s">
        <v>1478</v>
      </c>
      <c r="E18" s="3703">
        <f>SUM(E9:E17)</f>
        <v>62689</v>
      </c>
      <c r="F18" s="3703">
        <v>84001</v>
      </c>
      <c r="G18" s="3703">
        <v>95690</v>
      </c>
      <c r="H18" s="3703">
        <v>104689</v>
      </c>
      <c r="I18" s="3703">
        <v>109134</v>
      </c>
      <c r="J18" s="3703">
        <v>117172</v>
      </c>
      <c r="K18" s="3704">
        <v>134840</v>
      </c>
      <c r="L18" s="3704">
        <v>150561</v>
      </c>
      <c r="M18" s="3704">
        <v>176218</v>
      </c>
      <c r="N18" s="3704">
        <v>206721</v>
      </c>
      <c r="O18" s="3704">
        <v>260596</v>
      </c>
      <c r="P18" s="3704">
        <v>266902</v>
      </c>
      <c r="Q18" s="3704">
        <v>259165</v>
      </c>
      <c r="R18" s="3704">
        <v>292689</v>
      </c>
      <c r="S18" s="3704">
        <f>SUM(S9:S17)</f>
        <v>323547</v>
      </c>
      <c r="T18" s="3704">
        <f>SUM(T9:T17)</f>
        <v>232657</v>
      </c>
      <c r="U18" s="3704">
        <v>170510</v>
      </c>
    </row>
    <row r="19" spans="1:22" x14ac:dyDescent="0.35">
      <c r="A19" s="3666"/>
      <c r="B19" s="1420"/>
      <c r="C19" s="1420"/>
      <c r="D19" s="416"/>
      <c r="E19" s="3705"/>
      <c r="F19" s="3706"/>
      <c r="G19" s="3706"/>
      <c r="H19" s="3706"/>
      <c r="I19" s="3706"/>
      <c r="J19" s="3706"/>
      <c r="K19" s="3706"/>
      <c r="L19" s="3706"/>
      <c r="M19" s="3706"/>
      <c r="N19" s="3706"/>
      <c r="O19" s="3706"/>
      <c r="P19" s="3706"/>
      <c r="Q19" s="3706"/>
      <c r="R19" s="3706"/>
      <c r="S19" s="3706"/>
      <c r="T19" s="3706"/>
      <c r="U19" s="3706"/>
    </row>
    <row r="20" spans="1:22" hidden="1" x14ac:dyDescent="0.35">
      <c r="A20" s="3666"/>
      <c r="B20" s="1420"/>
      <c r="C20" s="1420"/>
      <c r="D20" s="312" t="s">
        <v>35</v>
      </c>
      <c r="E20" s="5037" t="s">
        <v>1479</v>
      </c>
      <c r="F20" s="5037"/>
      <c r="G20" s="5037"/>
      <c r="H20" s="5037"/>
      <c r="I20" s="5037"/>
      <c r="J20" s="5037"/>
      <c r="K20" s="5037"/>
      <c r="L20" s="5037"/>
      <c r="M20" s="5037"/>
      <c r="N20" s="3436"/>
      <c r="O20" s="802"/>
      <c r="P20" s="802"/>
      <c r="Q20" s="802"/>
      <c r="R20" s="3707"/>
      <c r="S20" s="802"/>
      <c r="T20" s="3670"/>
      <c r="U20" s="3670"/>
    </row>
    <row r="21" spans="1:22" hidden="1" x14ac:dyDescent="0.35">
      <c r="A21" s="3666"/>
      <c r="B21" s="1420"/>
      <c r="C21" s="1420"/>
      <c r="D21" s="3708"/>
      <c r="E21" s="3668" t="s">
        <v>111</v>
      </c>
      <c r="F21" s="3668" t="s">
        <v>112</v>
      </c>
      <c r="G21" s="3668" t="s">
        <v>113</v>
      </c>
      <c r="H21" s="3668" t="s">
        <v>114</v>
      </c>
      <c r="I21" s="3668" t="s">
        <v>115</v>
      </c>
      <c r="J21" s="3668" t="s">
        <v>116</v>
      </c>
      <c r="K21" s="3668" t="s">
        <v>117</v>
      </c>
      <c r="L21" s="3668" t="s">
        <v>118</v>
      </c>
      <c r="M21" s="3668" t="s">
        <v>119</v>
      </c>
      <c r="N21" s="3668" t="s">
        <v>120</v>
      </c>
      <c r="O21" s="3668" t="s">
        <v>121</v>
      </c>
      <c r="P21" s="3668" t="s">
        <v>122</v>
      </c>
      <c r="Q21" s="3668" t="s">
        <v>123</v>
      </c>
      <c r="R21" s="3709" t="s">
        <v>124</v>
      </c>
      <c r="S21" s="3709" t="s">
        <v>125</v>
      </c>
      <c r="T21" s="3670"/>
      <c r="U21" s="3670"/>
    </row>
    <row r="22" spans="1:22" hidden="1" x14ac:dyDescent="0.35">
      <c r="A22" s="3666"/>
      <c r="B22" s="1420"/>
      <c r="C22" s="1420"/>
      <c r="D22" s="1270" t="s">
        <v>402</v>
      </c>
      <c r="E22" s="3710">
        <v>114.2</v>
      </c>
      <c r="F22" s="3710">
        <v>131.4</v>
      </c>
      <c r="G22" s="3702">
        <v>109</v>
      </c>
      <c r="H22" s="3702">
        <v>104.9</v>
      </c>
      <c r="I22" s="3702">
        <v>115.9</v>
      </c>
      <c r="J22" s="3702">
        <v>128.19999999999999</v>
      </c>
      <c r="K22" s="3702">
        <v>134.6</v>
      </c>
      <c r="L22" s="3702">
        <v>141.80000000000001</v>
      </c>
      <c r="M22" s="3702">
        <v>170.6</v>
      </c>
      <c r="N22" s="3702">
        <v>195.5</v>
      </c>
      <c r="O22" s="3702">
        <v>227.5</v>
      </c>
      <c r="P22" s="3702">
        <v>236.30888551464699</v>
      </c>
      <c r="Q22" s="3702">
        <v>233.20609583297187</v>
      </c>
      <c r="R22" s="3711">
        <f>(17710/6493176)*100000</f>
        <v>272.74788177619087</v>
      </c>
      <c r="S22" s="3711">
        <f>(S9/6501008)*100000</f>
        <v>291.27790644158569</v>
      </c>
      <c r="T22" s="3670"/>
      <c r="U22" s="3670"/>
    </row>
    <row r="23" spans="1:22" hidden="1" x14ac:dyDescent="0.35">
      <c r="A23" s="3666"/>
      <c r="B23" s="1420"/>
      <c r="C23" s="1420"/>
      <c r="D23" s="1270" t="s">
        <v>1401</v>
      </c>
      <c r="E23" s="3710">
        <v>119.6</v>
      </c>
      <c r="F23" s="3710">
        <v>138.4</v>
      </c>
      <c r="G23" s="3702">
        <v>171.8</v>
      </c>
      <c r="H23" s="3702">
        <v>184.6</v>
      </c>
      <c r="I23" s="3702">
        <v>152.9</v>
      </c>
      <c r="J23" s="3702">
        <v>158.5</v>
      </c>
      <c r="K23" s="3702">
        <v>176.1</v>
      </c>
      <c r="L23" s="3702">
        <v>149</v>
      </c>
      <c r="M23" s="3702">
        <v>161.69999999999999</v>
      </c>
      <c r="N23" s="3702">
        <v>224.4</v>
      </c>
      <c r="O23" s="3702">
        <v>297.8</v>
      </c>
      <c r="P23" s="3702">
        <v>314.91800038140622</v>
      </c>
      <c r="Q23" s="3702">
        <v>341.49543986656732</v>
      </c>
      <c r="R23" s="3711">
        <f>(R10/2849339)*100000</f>
        <v>397.0745495709707</v>
      </c>
      <c r="S23" s="3711">
        <f>(S10/2872757)*100000</f>
        <v>423.84371528813608</v>
      </c>
      <c r="T23" s="3670"/>
      <c r="U23" s="3670"/>
    </row>
    <row r="24" spans="1:22" hidden="1" x14ac:dyDescent="0.35">
      <c r="A24" s="3666"/>
      <c r="B24" s="1420"/>
      <c r="C24" s="1420"/>
      <c r="D24" s="1270" t="s">
        <v>524</v>
      </c>
      <c r="E24" s="3710">
        <v>103.7</v>
      </c>
      <c r="F24" s="3710">
        <v>116.8</v>
      </c>
      <c r="G24" s="3702">
        <v>152.19999999999999</v>
      </c>
      <c r="H24" s="3702">
        <v>132.1</v>
      </c>
      <c r="I24" s="3702">
        <v>131.5</v>
      </c>
      <c r="J24" s="3702">
        <v>129.9</v>
      </c>
      <c r="K24" s="3702">
        <v>139.9</v>
      </c>
      <c r="L24" s="3702">
        <v>147</v>
      </c>
      <c r="M24" s="3702">
        <v>229.1</v>
      </c>
      <c r="N24" s="3702">
        <v>306.2</v>
      </c>
      <c r="O24" s="3702">
        <v>587</v>
      </c>
      <c r="P24" s="3702">
        <v>544.05727471369539</v>
      </c>
      <c r="Q24" s="3702">
        <v>420.00560593319847</v>
      </c>
      <c r="R24" s="3711">
        <f>(62837/13999402)*100000</f>
        <v>448.85488680159335</v>
      </c>
      <c r="S24" s="3711">
        <f>(S11/14373250)*100000</f>
        <v>482.04129198337193</v>
      </c>
      <c r="T24" s="3670"/>
      <c r="U24" s="3670"/>
    </row>
    <row r="25" spans="1:22" hidden="1" x14ac:dyDescent="0.35">
      <c r="A25" s="3666"/>
      <c r="B25" s="1420"/>
      <c r="C25" s="1420"/>
      <c r="D25" s="1270" t="s">
        <v>1402</v>
      </c>
      <c r="E25" s="3710">
        <v>139.6</v>
      </c>
      <c r="F25" s="3710">
        <v>197.2</v>
      </c>
      <c r="G25" s="3702">
        <v>235.7</v>
      </c>
      <c r="H25" s="3702">
        <v>264.3</v>
      </c>
      <c r="I25" s="3702">
        <v>240.7</v>
      </c>
      <c r="J25" s="3702">
        <v>235.7</v>
      </c>
      <c r="K25" s="3702">
        <v>274.60000000000002</v>
      </c>
      <c r="L25" s="3702">
        <v>304.89999999999998</v>
      </c>
      <c r="M25" s="3702">
        <v>345.8</v>
      </c>
      <c r="N25" s="3702">
        <v>407.6</v>
      </c>
      <c r="O25" s="3702">
        <v>439.5</v>
      </c>
      <c r="P25" s="3702">
        <v>443.0061303132016</v>
      </c>
      <c r="Q25" s="3702">
        <v>424.52216757791393</v>
      </c>
      <c r="R25" s="3711">
        <f>(50429/10974209)*100000</f>
        <v>459.52286857303335</v>
      </c>
      <c r="S25" s="3711">
        <f>(S12/11109313)*100000</f>
        <v>485.96164317271462</v>
      </c>
      <c r="T25" s="3670"/>
      <c r="U25" s="3670"/>
    </row>
    <row r="26" spans="1:22" hidden="1" x14ac:dyDescent="0.35">
      <c r="A26" s="3666"/>
      <c r="B26" s="1420"/>
      <c r="C26" s="1420"/>
      <c r="D26" s="1270" t="s">
        <v>409</v>
      </c>
      <c r="E26" s="3710">
        <v>32</v>
      </c>
      <c r="F26" s="3710">
        <v>33.6</v>
      </c>
      <c r="G26" s="3702">
        <v>37</v>
      </c>
      <c r="H26" s="3702">
        <v>40.6</v>
      </c>
      <c r="I26" s="3702">
        <v>59.2</v>
      </c>
      <c r="J26" s="3702">
        <v>62.9</v>
      </c>
      <c r="K26" s="3702">
        <v>92.5</v>
      </c>
      <c r="L26" s="3702">
        <v>85.2</v>
      </c>
      <c r="M26" s="3702">
        <v>94.6</v>
      </c>
      <c r="N26" s="3702">
        <v>138.1</v>
      </c>
      <c r="O26" s="3702">
        <v>174.1</v>
      </c>
      <c r="P26" s="3702">
        <v>208.08229953254275</v>
      </c>
      <c r="Q26" s="3702">
        <f>(Q13/5654931)*100000</f>
        <v>199.25972571548616</v>
      </c>
      <c r="R26" s="3711">
        <f>(14393/5724477)*100000</f>
        <v>251.42908251705788</v>
      </c>
      <c r="S26" s="3711">
        <f>(S13/5797008)*100000</f>
        <v>337.96744803526229</v>
      </c>
      <c r="T26" s="3670"/>
      <c r="U26" s="3670"/>
    </row>
    <row r="27" spans="1:22" hidden="1" x14ac:dyDescent="0.35">
      <c r="A27" s="3666"/>
      <c r="B27" s="1420"/>
      <c r="C27" s="1420"/>
      <c r="D27" s="1270" t="s">
        <v>1403</v>
      </c>
      <c r="E27" s="3710">
        <v>37.799999999999997</v>
      </c>
      <c r="F27" s="3710">
        <v>49.7</v>
      </c>
      <c r="G27" s="3702">
        <v>51.7</v>
      </c>
      <c r="H27" s="3702">
        <v>59</v>
      </c>
      <c r="I27" s="3702">
        <v>50.1</v>
      </c>
      <c r="J27" s="3702">
        <v>45.7</v>
      </c>
      <c r="K27" s="3702">
        <v>56.6</v>
      </c>
      <c r="L27" s="3702">
        <v>87.8</v>
      </c>
      <c r="M27" s="3702">
        <v>113.6</v>
      </c>
      <c r="N27" s="3702">
        <v>143.4</v>
      </c>
      <c r="O27" s="3702">
        <v>180.8</v>
      </c>
      <c r="P27" s="3702">
        <v>209.04056336517061</v>
      </c>
      <c r="Q27" s="3702">
        <v>229.23037419174116</v>
      </c>
      <c r="R27" s="3711">
        <f>(11519/4386153)*100000</f>
        <v>262.62193772082276</v>
      </c>
      <c r="S27" s="3711">
        <f>(S14/4463733)*100000</f>
        <v>291.81852946849642</v>
      </c>
      <c r="T27" s="3670"/>
      <c r="U27" s="3670"/>
    </row>
    <row r="28" spans="1:22" hidden="1" x14ac:dyDescent="0.35">
      <c r="A28" s="3666"/>
      <c r="B28" s="1420"/>
      <c r="C28" s="1420"/>
      <c r="D28" s="1270" t="s">
        <v>406</v>
      </c>
      <c r="E28" s="3710">
        <v>93.3</v>
      </c>
      <c r="F28" s="3710">
        <v>130.69999999999999</v>
      </c>
      <c r="G28" s="3702">
        <v>151.80000000000001</v>
      </c>
      <c r="H28" s="3702">
        <v>170.7</v>
      </c>
      <c r="I28" s="3702">
        <v>194.7</v>
      </c>
      <c r="J28" s="3702">
        <v>207.6</v>
      </c>
      <c r="K28" s="3702">
        <v>223.3</v>
      </c>
      <c r="L28" s="3702">
        <v>223.9</v>
      </c>
      <c r="M28" s="3702">
        <v>236</v>
      </c>
      <c r="N28" s="3702">
        <v>258.2</v>
      </c>
      <c r="O28" s="3702">
        <v>306.2</v>
      </c>
      <c r="P28" s="3702">
        <v>316.40735901797666</v>
      </c>
      <c r="Q28" s="3702">
        <f>(12189/3741240)*100000</f>
        <v>325.80107130256278</v>
      </c>
      <c r="R28" s="3711">
        <f>(11972/3806079)*100000</f>
        <v>314.54943525870061</v>
      </c>
      <c r="S28" s="3711">
        <f>(S15/3873298)*100000</f>
        <v>356.930966840145</v>
      </c>
      <c r="T28" s="3670"/>
      <c r="U28" s="3670"/>
    </row>
    <row r="29" spans="1:22" ht="14.25" hidden="1" customHeight="1" x14ac:dyDescent="0.35">
      <c r="B29" s="3672"/>
      <c r="C29" s="3671"/>
      <c r="D29" s="1270" t="s">
        <v>1404</v>
      </c>
      <c r="E29" s="3710">
        <v>200.8</v>
      </c>
      <c r="F29" s="3710">
        <v>238</v>
      </c>
      <c r="G29" s="3702">
        <v>193.3</v>
      </c>
      <c r="H29" s="3702">
        <v>193.1</v>
      </c>
      <c r="I29" s="3702">
        <v>199.7</v>
      </c>
      <c r="J29" s="3702">
        <v>171.7</v>
      </c>
      <c r="K29" s="3702">
        <v>206.6</v>
      </c>
      <c r="L29" s="3702">
        <v>219</v>
      </c>
      <c r="M29" s="3702">
        <v>243.6</v>
      </c>
      <c r="N29" s="3702">
        <v>248.1</v>
      </c>
      <c r="O29" s="3702">
        <v>279.60000000000002</v>
      </c>
      <c r="P29" s="3702">
        <v>302.31070902104096</v>
      </c>
      <c r="Q29" s="3702">
        <v>366.39676113360326</v>
      </c>
      <c r="R29" s="3712">
        <f>(5136/1202571)*100000</f>
        <v>427.08497045080918</v>
      </c>
      <c r="S29" s="3712">
        <f>(S16/1217917)*100000</f>
        <v>456.76347402983947</v>
      </c>
      <c r="T29" s="3601"/>
      <c r="U29" s="3713"/>
    </row>
    <row r="30" spans="1:22" hidden="1" x14ac:dyDescent="0.35">
      <c r="B30" s="3672"/>
      <c r="C30" s="3671"/>
      <c r="D30" s="1270" t="s">
        <v>401</v>
      </c>
      <c r="E30" s="3714">
        <v>443.2</v>
      </c>
      <c r="F30" s="3714">
        <v>666.6</v>
      </c>
      <c r="G30" s="3702">
        <v>749.4</v>
      </c>
      <c r="H30" s="3702">
        <v>864.8</v>
      </c>
      <c r="I30" s="3702">
        <v>950.1</v>
      </c>
      <c r="J30" s="3702">
        <v>1003.1</v>
      </c>
      <c r="K30" s="3702">
        <v>1127.7</v>
      </c>
      <c r="L30" s="3702">
        <v>1351.3</v>
      </c>
      <c r="M30" s="3702">
        <v>1457.5</v>
      </c>
      <c r="N30" s="3702">
        <v>1389.9</v>
      </c>
      <c r="O30" s="3702">
        <v>1420.4</v>
      </c>
      <c r="P30" s="3702">
        <v>1450.7244150121342</v>
      </c>
      <c r="Q30" s="3702">
        <v>1516.0400638699375</v>
      </c>
      <c r="R30" s="3712">
        <f>(107379/6407604)*100000</f>
        <v>1675.8058082241037</v>
      </c>
      <c r="S30" s="3712">
        <f>(S17/6545042)*100000</f>
        <v>1790.011431553839</v>
      </c>
      <c r="T30" s="3601"/>
      <c r="U30" s="3713"/>
      <c r="V30" s="3436"/>
    </row>
    <row r="31" spans="1:22" hidden="1" x14ac:dyDescent="0.35">
      <c r="B31" s="3672"/>
      <c r="C31" s="3671"/>
      <c r="D31" s="155" t="s">
        <v>1480</v>
      </c>
      <c r="E31" s="3715">
        <v>135.1</v>
      </c>
      <c r="F31" s="3715">
        <v>180.3</v>
      </c>
      <c r="G31" s="3715">
        <v>204.1</v>
      </c>
      <c r="H31" s="3715">
        <v>220.9</v>
      </c>
      <c r="I31" s="3715">
        <v>228.1</v>
      </c>
      <c r="J31" s="3715">
        <v>240.7</v>
      </c>
      <c r="K31" s="3715">
        <v>273.39999999999998</v>
      </c>
      <c r="L31" s="3715">
        <v>301.39999999999998</v>
      </c>
      <c r="M31" s="3715">
        <v>348.5</v>
      </c>
      <c r="N31" s="3715">
        <v>395.6</v>
      </c>
      <c r="O31" s="3715">
        <v>492.1</v>
      </c>
      <c r="P31" s="3716">
        <v>494.24508833133001</v>
      </c>
      <c r="Q31" s="3717">
        <v>471.57863707741888</v>
      </c>
      <c r="R31" s="3718">
        <f>(292689/55843011)*100000</f>
        <v>524.12825662283865</v>
      </c>
      <c r="S31" s="3718">
        <f>(S18/56753327)*100000</f>
        <v>570.09345020424973</v>
      </c>
      <c r="T31" s="3713"/>
    </row>
    <row r="32" spans="1:22" x14ac:dyDescent="0.35">
      <c r="B32" s="3672"/>
      <c r="C32" s="3671"/>
      <c r="D32" s="3601"/>
      <c r="E32" s="3601"/>
      <c r="F32" s="3601"/>
      <c r="G32" s="3601"/>
      <c r="H32" s="3601"/>
      <c r="I32" s="3601"/>
      <c r="J32" s="3601"/>
      <c r="K32" s="3601"/>
      <c r="L32" s="3601"/>
      <c r="M32" s="3601"/>
      <c r="N32" s="3601"/>
      <c r="O32" s="3601"/>
      <c r="P32" s="3601"/>
      <c r="Q32" s="3601"/>
      <c r="R32" s="3601"/>
      <c r="S32" s="3601"/>
      <c r="T32" s="3713"/>
    </row>
    <row r="33" spans="1:22" ht="15" customHeight="1" x14ac:dyDescent="0.35">
      <c r="B33" s="3672"/>
      <c r="C33" s="344"/>
      <c r="D33" s="312" t="s">
        <v>234</v>
      </c>
      <c r="E33" s="5038" t="s">
        <v>1481</v>
      </c>
      <c r="F33" s="5038"/>
      <c r="G33" s="5038"/>
      <c r="H33" s="5038"/>
      <c r="I33" s="5038"/>
      <c r="J33" s="5038"/>
      <c r="K33" s="5038"/>
      <c r="L33" s="5038"/>
      <c r="M33" s="5038"/>
      <c r="N33" s="3719"/>
      <c r="O33" s="3601"/>
      <c r="P33" s="3601"/>
      <c r="Q33" s="3601"/>
      <c r="R33" s="3601"/>
      <c r="S33" s="3601"/>
      <c r="T33" s="3713"/>
    </row>
    <row r="34" spans="1:22" s="3725" customFormat="1" ht="28.5" customHeight="1" x14ac:dyDescent="0.25">
      <c r="A34" s="3720"/>
      <c r="B34" s="3721"/>
      <c r="C34" s="3722"/>
      <c r="D34" s="3723"/>
      <c r="E34" s="3724" t="s">
        <v>1482</v>
      </c>
      <c r="F34" s="3724" t="s">
        <v>1483</v>
      </c>
      <c r="G34" s="3724" t="s">
        <v>1484</v>
      </c>
      <c r="H34" s="3724" t="s">
        <v>1485</v>
      </c>
      <c r="I34" s="3724" t="s">
        <v>1486</v>
      </c>
      <c r="J34" s="3724" t="s">
        <v>1487</v>
      </c>
      <c r="K34" s="3724" t="s">
        <v>1488</v>
      </c>
      <c r="L34" s="3743" t="s">
        <v>1489</v>
      </c>
      <c r="M34" s="3743" t="s">
        <v>1490</v>
      </c>
      <c r="N34" s="3743" t="s">
        <v>1491</v>
      </c>
      <c r="O34" s="3743" t="s">
        <v>1492</v>
      </c>
      <c r="P34" s="3743" t="s">
        <v>1493</v>
      </c>
      <c r="Q34" s="3743" t="s">
        <v>1494</v>
      </c>
      <c r="R34" s="3743" t="s">
        <v>1495</v>
      </c>
      <c r="S34" s="3743" t="s">
        <v>1496</v>
      </c>
      <c r="T34" s="3743" t="s">
        <v>1497</v>
      </c>
      <c r="V34" s="567"/>
    </row>
    <row r="35" spans="1:22" x14ac:dyDescent="0.35">
      <c r="B35" s="3672"/>
      <c r="C35" s="3671"/>
      <c r="D35" s="1270" t="s">
        <v>402</v>
      </c>
      <c r="E35" s="3726">
        <v>0.14799999999999999</v>
      </c>
      <c r="F35" s="3726">
        <f>(F9-E9)/E9</f>
        <v>0.14797922209552769</v>
      </c>
      <c r="G35" s="3726">
        <f>(G9-F9)/F9</f>
        <v>-0.17106279660081669</v>
      </c>
      <c r="H35" s="3726">
        <f t="shared" ref="H35:P44" si="0">(H9-G9)/G9</f>
        <v>-3.7278657968313138E-2</v>
      </c>
      <c r="I35" s="3726">
        <f t="shared" si="0"/>
        <v>0.10676255013137878</v>
      </c>
      <c r="J35" s="3726">
        <f t="shared" si="0"/>
        <v>5.4229663876046483E-2</v>
      </c>
      <c r="K35" s="3726">
        <f t="shared" si="0"/>
        <v>6.0329501007467111E-2</v>
      </c>
      <c r="L35" s="4436">
        <f t="shared" si="0"/>
        <v>6.8298680974737319E-2</v>
      </c>
      <c r="M35" s="4436">
        <f t="shared" si="0"/>
        <v>0.21826933138014021</v>
      </c>
      <c r="N35" s="4436">
        <f t="shared" si="0"/>
        <v>0.10547109851412866</v>
      </c>
      <c r="O35" s="4436">
        <f t="shared" si="0"/>
        <v>0.16789682231372854</v>
      </c>
      <c r="P35" s="4436">
        <f t="shared" si="0"/>
        <v>6.6923895689196378E-2</v>
      </c>
      <c r="Q35" s="4436">
        <f>(R9-Q9)/Q9</f>
        <v>9.8022196044392093E-2</v>
      </c>
      <c r="R35" s="4436">
        <f>(S9-R9)/R9</f>
        <v>6.9226425748164885E-2</v>
      </c>
      <c r="S35" s="4436">
        <f>(T9-S9)/S9</f>
        <v>-0.19660963244613436</v>
      </c>
      <c r="T35" s="4436">
        <f>(U9-T9)/T9</f>
        <v>-0.12292118582791034</v>
      </c>
      <c r="V35" s="1427"/>
    </row>
    <row r="36" spans="1:22" ht="12.75" customHeight="1" x14ac:dyDescent="0.35">
      <c r="B36" s="3672"/>
      <c r="C36" s="3671"/>
      <c r="D36" s="1270" t="s">
        <v>1401</v>
      </c>
      <c r="E36" s="3726">
        <v>0.14499999999999999</v>
      </c>
      <c r="F36" s="3726">
        <f t="shared" ref="F36:G44" si="1">(F10-E10)/E10</f>
        <v>0.14450704225352112</v>
      </c>
      <c r="G36" s="3726">
        <f t="shared" si="1"/>
        <v>0.24883091311838543</v>
      </c>
      <c r="H36" s="3726">
        <f t="shared" si="0"/>
        <v>7.6468269609775319E-2</v>
      </c>
      <c r="I36" s="3726">
        <f t="shared" si="0"/>
        <v>-0.1715488831929696</v>
      </c>
      <c r="J36" s="3726">
        <f t="shared" si="0"/>
        <v>7.9558011049723765E-3</v>
      </c>
      <c r="K36" s="3726">
        <f t="shared" si="0"/>
        <v>0.1203683402762552</v>
      </c>
      <c r="L36" s="4436">
        <f t="shared" si="0"/>
        <v>-0.18023483365949119</v>
      </c>
      <c r="M36" s="4436">
        <f t="shared" si="0"/>
        <v>6.3499641919312483E-2</v>
      </c>
      <c r="N36" s="4436">
        <f t="shared" si="0"/>
        <v>0.38114478114478112</v>
      </c>
      <c r="O36" s="4436">
        <f t="shared" si="0"/>
        <v>0.330895498130993</v>
      </c>
      <c r="P36" s="4436">
        <f t="shared" si="0"/>
        <v>7.168152399560386E-2</v>
      </c>
      <c r="Q36" s="4436">
        <f t="shared" ref="Q36:T44" si="2">(R10-Q10)/Q10</f>
        <v>0.17572482593785721</v>
      </c>
      <c r="R36" s="4436">
        <f t="shared" si="2"/>
        <v>7.6188792646278952E-2</v>
      </c>
      <c r="S36" s="4436">
        <f t="shared" si="2"/>
        <v>-0.35216819973718794</v>
      </c>
      <c r="T36" s="4436">
        <f t="shared" si="2"/>
        <v>-0.49429513184584178</v>
      </c>
      <c r="V36" s="3719"/>
    </row>
    <row r="37" spans="1:22" x14ac:dyDescent="0.35">
      <c r="B37" s="3672"/>
      <c r="C37" s="3671"/>
      <c r="D37" s="1270" t="s">
        <v>524</v>
      </c>
      <c r="E37" s="3726">
        <v>0.13700000000000001</v>
      </c>
      <c r="F37" s="3726">
        <f t="shared" si="1"/>
        <v>0.13725074246924057</v>
      </c>
      <c r="G37" s="3726">
        <f t="shared" si="1"/>
        <v>0.32456631225517629</v>
      </c>
      <c r="H37" s="3726">
        <f t="shared" si="0"/>
        <v>-0.11406844106463879</v>
      </c>
      <c r="I37" s="3726">
        <f t="shared" si="0"/>
        <v>1.271657924018439E-2</v>
      </c>
      <c r="J37" s="3726">
        <f t="shared" si="0"/>
        <v>6.5295871919635845E-2</v>
      </c>
      <c r="K37" s="3726">
        <f t="shared" si="0"/>
        <v>8.5089141004862243E-2</v>
      </c>
      <c r="L37" s="4436">
        <f t="shared" si="0"/>
        <v>0.11562224183583407</v>
      </c>
      <c r="M37" s="4436">
        <f t="shared" si="0"/>
        <v>0.57759250243427462</v>
      </c>
      <c r="N37" s="4436">
        <f t="shared" si="0"/>
        <v>0.47093314816957915</v>
      </c>
      <c r="O37" s="4436">
        <f t="shared" si="0"/>
        <v>0.95817051742676562</v>
      </c>
      <c r="P37" s="4436">
        <f t="shared" si="0"/>
        <v>-5.8968486747827016E-2</v>
      </c>
      <c r="Q37" s="4436">
        <f t="shared" si="2"/>
        <v>0.1333826341041088</v>
      </c>
      <c r="R37" s="4436">
        <f t="shared" si="2"/>
        <v>0.10261470152935373</v>
      </c>
      <c r="S37" s="4436">
        <f t="shared" si="2"/>
        <v>-0.19695460777946164</v>
      </c>
      <c r="T37" s="4436">
        <f t="shared" si="2"/>
        <v>-0.22221822822121173</v>
      </c>
      <c r="V37" s="1622"/>
    </row>
    <row r="38" spans="1:22" x14ac:dyDescent="0.35">
      <c r="B38" s="3672"/>
      <c r="C38" s="3671"/>
      <c r="D38" s="1270" t="s">
        <v>1402</v>
      </c>
      <c r="E38" s="3726">
        <v>0.41799999999999998</v>
      </c>
      <c r="F38" s="3726">
        <f t="shared" si="1"/>
        <v>0.41848665343039931</v>
      </c>
      <c r="G38" s="3726">
        <f t="shared" si="1"/>
        <v>0.20300673924313115</v>
      </c>
      <c r="H38" s="3726">
        <f t="shared" si="0"/>
        <v>0.13022494182538999</v>
      </c>
      <c r="I38" s="3726">
        <f t="shared" si="0"/>
        <v>-8.1134665243251483E-2</v>
      </c>
      <c r="J38" s="3726">
        <f t="shared" si="0"/>
        <v>-1.1659751037344398E-2</v>
      </c>
      <c r="K38" s="3726">
        <f t="shared" si="0"/>
        <v>0.20462655862966539</v>
      </c>
      <c r="L38" s="4436">
        <f t="shared" si="0"/>
        <v>0.13107726623218208</v>
      </c>
      <c r="M38" s="4436">
        <f t="shared" si="0"/>
        <v>0.15283170025266532</v>
      </c>
      <c r="N38" s="4436">
        <f t="shared" si="0"/>
        <v>0.12703800716309402</v>
      </c>
      <c r="O38" s="4436">
        <f t="shared" si="0"/>
        <v>8.9714705812602269E-2</v>
      </c>
      <c r="P38" s="4436">
        <f t="shared" si="0"/>
        <v>3.1055495103373233E-2</v>
      </c>
      <c r="Q38" s="4436">
        <f t="shared" si="2"/>
        <v>8.7910428441989902E-2</v>
      </c>
      <c r="R38" s="4436">
        <f t="shared" si="2"/>
        <v>7.0554641178686872E-2</v>
      </c>
      <c r="S38" s="4436">
        <f t="shared" si="2"/>
        <v>-0.34506455257747237</v>
      </c>
      <c r="T38" s="4436">
        <f t="shared" si="2"/>
        <v>-0.26494711239323493</v>
      </c>
      <c r="V38" s="11"/>
    </row>
    <row r="39" spans="1:22" x14ac:dyDescent="0.35">
      <c r="B39" s="3672"/>
      <c r="C39" s="3671"/>
      <c r="D39" s="1270" t="s">
        <v>409</v>
      </c>
      <c r="E39" s="3726">
        <v>4.7E-2</v>
      </c>
      <c r="F39" s="3726">
        <f t="shared" si="1"/>
        <v>4.6893317702227433E-2</v>
      </c>
      <c r="G39" s="3726">
        <f t="shared" si="1"/>
        <v>0.10694288913773796</v>
      </c>
      <c r="H39" s="3726">
        <f t="shared" si="0"/>
        <v>0.10166919575113809</v>
      </c>
      <c r="I39" s="3726">
        <f t="shared" si="0"/>
        <v>0.46831955922865015</v>
      </c>
      <c r="J39" s="3726">
        <f t="shared" si="0"/>
        <v>3.6898061288305188E-2</v>
      </c>
      <c r="K39" s="3726">
        <f t="shared" si="0"/>
        <v>0.45868516284680338</v>
      </c>
      <c r="L39" s="4436">
        <f t="shared" si="0"/>
        <v>-4.217490179863552E-2</v>
      </c>
      <c r="M39" s="4436">
        <f t="shared" si="0"/>
        <v>0.13382257716382473</v>
      </c>
      <c r="N39" s="4436">
        <f t="shared" si="0"/>
        <v>0.43308585570150393</v>
      </c>
      <c r="O39" s="4436">
        <f t="shared" si="0"/>
        <v>0.27630180658873538</v>
      </c>
      <c r="P39" s="4436">
        <f t="shared" si="0"/>
        <v>0.21940049958368027</v>
      </c>
      <c r="Q39" s="4436">
        <f t="shared" si="2"/>
        <v>0.27733404330848421</v>
      </c>
      <c r="R39" s="4436">
        <f t="shared" si="2"/>
        <v>0.36121725838949487</v>
      </c>
      <c r="S39" s="4436">
        <f t="shared" si="2"/>
        <v>-0.30925888117599021</v>
      </c>
      <c r="T39" s="4436">
        <f t="shared" si="2"/>
        <v>-0.6471587970147048</v>
      </c>
      <c r="V39" s="11"/>
    </row>
    <row r="40" spans="1:22" x14ac:dyDescent="0.35">
      <c r="B40" s="3672"/>
      <c r="C40" s="3671"/>
      <c r="D40" s="1270" t="s">
        <v>1403</v>
      </c>
      <c r="E40" s="3726">
        <v>0.30399999999999999</v>
      </c>
      <c r="F40" s="3726">
        <f t="shared" si="1"/>
        <v>0.30441400304414001</v>
      </c>
      <c r="G40" s="3726">
        <f t="shared" si="1"/>
        <v>4.6674445740956826E-2</v>
      </c>
      <c r="H40" s="3726">
        <f t="shared" si="0"/>
        <v>0.15273132664437011</v>
      </c>
      <c r="I40" s="3726">
        <f t="shared" si="0"/>
        <v>-0.14410058027079303</v>
      </c>
      <c r="J40" s="3726">
        <f t="shared" si="0"/>
        <v>-7.2316384180790963E-2</v>
      </c>
      <c r="K40" s="3726">
        <f t="shared" si="0"/>
        <v>0.24299634591961022</v>
      </c>
      <c r="L40" s="4436">
        <f t="shared" si="0"/>
        <v>0.55169034786869187</v>
      </c>
      <c r="M40" s="4436">
        <f t="shared" si="0"/>
        <v>0.31070413640669403</v>
      </c>
      <c r="N40" s="4436">
        <f t="shared" si="0"/>
        <v>0.4054444712117562</v>
      </c>
      <c r="O40" s="4436">
        <f t="shared" si="0"/>
        <v>0.27853959547480289</v>
      </c>
      <c r="P40" s="4436">
        <f t="shared" si="0"/>
        <v>0.18527952808687492</v>
      </c>
      <c r="Q40" s="4436">
        <f t="shared" si="2"/>
        <v>0.1730142566191446</v>
      </c>
      <c r="R40" s="4436">
        <f t="shared" si="2"/>
        <v>0.1308273287611772</v>
      </c>
      <c r="S40" s="4436">
        <f t="shared" si="2"/>
        <v>-0.23545217257792109</v>
      </c>
      <c r="T40" s="4436">
        <f t="shared" si="2"/>
        <v>-0.33025404157043881</v>
      </c>
      <c r="V40" s="11"/>
    </row>
    <row r="41" spans="1:22" x14ac:dyDescent="0.35">
      <c r="B41" s="3672"/>
      <c r="C41" s="3671"/>
      <c r="D41" s="1270" t="s">
        <v>406</v>
      </c>
      <c r="E41" s="3726">
        <v>0.40600000000000003</v>
      </c>
      <c r="F41" s="3726">
        <f t="shared" si="1"/>
        <v>0.40615976900866219</v>
      </c>
      <c r="G41" s="3726">
        <f t="shared" si="1"/>
        <v>0.15286333561487567</v>
      </c>
      <c r="H41" s="3726">
        <f t="shared" si="0"/>
        <v>0.13971897882446072</v>
      </c>
      <c r="I41" s="3726">
        <f t="shared" si="0"/>
        <v>0.14776870984545928</v>
      </c>
      <c r="J41" s="3726">
        <f t="shared" si="0"/>
        <v>7.5491679273827536E-2</v>
      </c>
      <c r="K41" s="3726">
        <f t="shared" si="0"/>
        <v>8.3696722464481649E-2</v>
      </c>
      <c r="L41" s="4436">
        <f t="shared" si="0"/>
        <v>-7.0223260643821395E-2</v>
      </c>
      <c r="M41" s="4436">
        <f t="shared" si="0"/>
        <v>7.1757643445483729E-2</v>
      </c>
      <c r="N41" s="4436">
        <f t="shared" si="0"/>
        <v>0.19213234336329296</v>
      </c>
      <c r="O41" s="4436">
        <f t="shared" si="0"/>
        <v>0.20268793706293706</v>
      </c>
      <c r="P41" s="4436">
        <f t="shared" si="0"/>
        <v>5.678204778777142E-2</v>
      </c>
      <c r="Q41" s="4436">
        <f t="shared" si="2"/>
        <v>-1.7802937074411353E-2</v>
      </c>
      <c r="R41" s="4436">
        <f t="shared" si="2"/>
        <v>0.15477781490143669</v>
      </c>
      <c r="S41" s="4436">
        <f t="shared" si="2"/>
        <v>-0.28318264014466549</v>
      </c>
      <c r="T41" s="4436">
        <f t="shared" si="2"/>
        <v>-0.27951564076690211</v>
      </c>
      <c r="V41" s="11"/>
    </row>
    <row r="42" spans="1:22" x14ac:dyDescent="0.35">
      <c r="B42" s="2077"/>
      <c r="C42" s="3671"/>
      <c r="D42" s="1270" t="s">
        <v>1404</v>
      </c>
      <c r="E42" s="3726">
        <v>0.19</v>
      </c>
      <c r="F42" s="3726">
        <f t="shared" si="1"/>
        <v>0.19047619047619047</v>
      </c>
      <c r="G42" s="3726">
        <f t="shared" si="1"/>
        <v>-0.18235294117647058</v>
      </c>
      <c r="H42" s="3726">
        <f t="shared" si="0"/>
        <v>1.3908872901678656E-2</v>
      </c>
      <c r="I42" s="3726">
        <f t="shared" si="0"/>
        <v>4.1154210028382217E-2</v>
      </c>
      <c r="J42" s="3726">
        <f t="shared" si="0"/>
        <v>-0.12176283507496592</v>
      </c>
      <c r="K42" s="3726">
        <f t="shared" si="0"/>
        <v>0.22659079151577857</v>
      </c>
      <c r="L42" s="4436">
        <f t="shared" si="0"/>
        <v>1.7292281737663433E-2</v>
      </c>
      <c r="M42" s="4436">
        <f t="shared" si="0"/>
        <v>0.10572139303482588</v>
      </c>
      <c r="N42" s="4436">
        <f t="shared" si="0"/>
        <v>6.9366329208848887E-2</v>
      </c>
      <c r="O42" s="4436">
        <f t="shared" si="0"/>
        <v>0.1384992987377279</v>
      </c>
      <c r="P42" s="4436">
        <f t="shared" si="0"/>
        <v>8.6233446258084392E-2</v>
      </c>
      <c r="Q42" s="4436">
        <f t="shared" si="2"/>
        <v>0.18232044198895028</v>
      </c>
      <c r="R42" s="4436">
        <f t="shared" si="2"/>
        <v>8.3138629283489099E-2</v>
      </c>
      <c r="S42" s="4436">
        <f t="shared" si="2"/>
        <v>-0.31457846485709151</v>
      </c>
      <c r="T42" s="4436">
        <f t="shared" si="2"/>
        <v>-0.3128769997377393</v>
      </c>
      <c r="V42" s="11"/>
    </row>
    <row r="43" spans="1:22" x14ac:dyDescent="0.35">
      <c r="B43" s="3603"/>
      <c r="C43" s="3671"/>
      <c r="D43" s="1270" t="s">
        <v>401</v>
      </c>
      <c r="E43" s="3726">
        <v>0.52600000000000002</v>
      </c>
      <c r="F43" s="3726">
        <f t="shared" si="1"/>
        <v>0.52617853560682049</v>
      </c>
      <c r="G43" s="3726">
        <f t="shared" si="1"/>
        <v>0.14313880126182965</v>
      </c>
      <c r="H43" s="3726">
        <f t="shared" si="0"/>
        <v>0.18049327354260089</v>
      </c>
      <c r="I43" s="3726">
        <f t="shared" si="0"/>
        <v>0.11975552146492317</v>
      </c>
      <c r="J43" s="3726">
        <f t="shared" si="0"/>
        <v>0.14778732195281069</v>
      </c>
      <c r="K43" s="3726">
        <f t="shared" si="0"/>
        <v>0.14452170288550803</v>
      </c>
      <c r="L43" s="4436">
        <f t="shared" si="0"/>
        <v>0.16793855220248638</v>
      </c>
      <c r="M43" s="4436">
        <f t="shared" si="0"/>
        <v>9.1858718144966975E-2</v>
      </c>
      <c r="N43" s="4436">
        <f t="shared" si="0"/>
        <v>6.4879600181735581E-2</v>
      </c>
      <c r="O43" s="4436">
        <f t="shared" si="0"/>
        <v>4.1495495715139032E-2</v>
      </c>
      <c r="P43" s="4436">
        <f t="shared" si="0"/>
        <v>3.855472453386706E-2</v>
      </c>
      <c r="Q43" s="4436">
        <f t="shared" si="2"/>
        <v>0.14237839908081196</v>
      </c>
      <c r="R43" s="4436">
        <f t="shared" si="2"/>
        <v>9.1060635692267577E-2</v>
      </c>
      <c r="S43" s="4436">
        <f t="shared" si="2"/>
        <v>-0.30568382597710764</v>
      </c>
      <c r="T43" s="4436">
        <f t="shared" si="2"/>
        <v>-0.22910110149488591</v>
      </c>
      <c r="V43" s="11"/>
    </row>
    <row r="44" spans="1:22" x14ac:dyDescent="0.35">
      <c r="C44" s="3671"/>
      <c r="D44" s="639" t="s">
        <v>232</v>
      </c>
      <c r="E44" s="3727">
        <v>0.34</v>
      </c>
      <c r="F44" s="3727">
        <f t="shared" si="1"/>
        <v>0.33996394901816906</v>
      </c>
      <c r="G44" s="3727">
        <f t="shared" si="1"/>
        <v>0.13915310532017475</v>
      </c>
      <c r="H44" s="3727">
        <f t="shared" si="0"/>
        <v>9.4043264708956006E-2</v>
      </c>
      <c r="I44" s="3727">
        <f t="shared" si="0"/>
        <v>4.2459093123441816E-2</v>
      </c>
      <c r="J44" s="3727">
        <f t="shared" si="0"/>
        <v>7.3652573899976176E-2</v>
      </c>
      <c r="K44" s="3727">
        <f>(L18-K18)/K18</f>
        <v>0.11659003263126669</v>
      </c>
      <c r="L44" s="4437">
        <f>(M18-L18)/L18</f>
        <v>0.1704093357509581</v>
      </c>
      <c r="M44" s="4437">
        <f t="shared" ref="M44:R44" si="3">(N18-M18)/M18</f>
        <v>0.17309809440579282</v>
      </c>
      <c r="N44" s="4437">
        <f t="shared" si="3"/>
        <v>0.26061696682968832</v>
      </c>
      <c r="O44" s="4437">
        <f t="shared" si="3"/>
        <v>2.4198376030330475E-2</v>
      </c>
      <c r="P44" s="4437">
        <f t="shared" si="3"/>
        <v>-2.8988167941791369E-2</v>
      </c>
      <c r="Q44" s="4437">
        <f t="shared" si="3"/>
        <v>0.12935388652017055</v>
      </c>
      <c r="R44" s="4437">
        <f t="shared" si="3"/>
        <v>0.1054293123417689</v>
      </c>
      <c r="S44" s="4437">
        <f t="shared" si="2"/>
        <v>-0.28091745557832404</v>
      </c>
      <c r="T44" s="4437">
        <f t="shared" si="2"/>
        <v>-0.26711854790528544</v>
      </c>
      <c r="V44" s="11"/>
    </row>
    <row r="45" spans="1:22" x14ac:dyDescent="0.35">
      <c r="L45" s="874"/>
      <c r="M45" s="874"/>
      <c r="N45" s="874"/>
      <c r="O45" s="874"/>
      <c r="P45" s="874"/>
      <c r="Q45" s="874"/>
      <c r="R45" s="874"/>
      <c r="S45" s="874"/>
      <c r="T45" s="874"/>
    </row>
    <row r="46" spans="1:22" ht="12.75" customHeight="1" x14ac:dyDescent="0.35">
      <c r="A46" s="3423">
        <v>5</v>
      </c>
      <c r="B46" s="3423" t="s">
        <v>58</v>
      </c>
      <c r="C46" s="3671"/>
      <c r="D46" s="4642" t="s">
        <v>1498</v>
      </c>
      <c r="E46" s="4643"/>
      <c r="F46" s="4643"/>
      <c r="G46" s="4643"/>
      <c r="H46" s="4643"/>
      <c r="I46" s="4643"/>
      <c r="J46" s="4643"/>
      <c r="K46" s="4643"/>
      <c r="L46" s="4643"/>
      <c r="M46" s="4643"/>
      <c r="N46" s="4643"/>
      <c r="O46" s="4643"/>
      <c r="P46" s="4643"/>
      <c r="Q46" s="4643"/>
      <c r="R46" s="4643"/>
      <c r="S46" s="4643"/>
      <c r="T46" s="4644"/>
    </row>
    <row r="47" spans="1:22" ht="12.75" customHeight="1" x14ac:dyDescent="0.35">
      <c r="A47" s="3511">
        <v>6</v>
      </c>
      <c r="B47" s="3511" t="s">
        <v>60</v>
      </c>
      <c r="C47" s="3671"/>
      <c r="D47" s="4880" t="s">
        <v>1499</v>
      </c>
      <c r="E47" s="4881"/>
      <c r="F47" s="4881"/>
      <c r="G47" s="4881"/>
      <c r="H47" s="4881"/>
      <c r="I47" s="4881"/>
      <c r="J47" s="4881"/>
      <c r="K47" s="4881"/>
      <c r="L47" s="4881"/>
      <c r="M47" s="4881"/>
      <c r="N47" s="951"/>
      <c r="O47" s="951"/>
      <c r="P47" s="951"/>
      <c r="Q47" s="3728"/>
      <c r="R47" s="3728"/>
      <c r="S47" s="3728"/>
      <c r="T47" s="3729"/>
    </row>
    <row r="48" spans="1:22" s="3595" customFormat="1" ht="12.75" customHeight="1" x14ac:dyDescent="0.3">
      <c r="A48" s="3423">
        <v>7</v>
      </c>
      <c r="B48" s="3423" t="s">
        <v>62</v>
      </c>
      <c r="C48" s="2077"/>
      <c r="D48" s="4642" t="s">
        <v>1439</v>
      </c>
      <c r="E48" s="4643"/>
      <c r="F48" s="4643"/>
      <c r="G48" s="4643"/>
      <c r="H48" s="4643"/>
      <c r="I48" s="4643"/>
      <c r="J48" s="4643"/>
      <c r="K48" s="4643"/>
      <c r="L48" s="4643"/>
      <c r="M48" s="4643"/>
      <c r="N48" s="951"/>
      <c r="O48" s="951"/>
      <c r="P48" s="951"/>
      <c r="Q48" s="3728"/>
      <c r="R48" s="3728"/>
      <c r="S48" s="3728"/>
      <c r="T48" s="3729"/>
    </row>
    <row r="49" spans="3:18" ht="15" customHeight="1" x14ac:dyDescent="0.35">
      <c r="C49" s="3423"/>
      <c r="F49" s="3422"/>
    </row>
    <row r="50" spans="3:18" ht="12.75" customHeight="1" x14ac:dyDescent="0.35">
      <c r="C50" s="3511"/>
      <c r="F50" s="3422"/>
    </row>
    <row r="51" spans="3:18" ht="12.75" customHeight="1" x14ac:dyDescent="0.35">
      <c r="C51" s="3423"/>
      <c r="F51" s="3422"/>
    </row>
    <row r="52" spans="3:18" ht="25.5" customHeight="1" x14ac:dyDescent="0.35">
      <c r="D52" s="3730" t="s">
        <v>1500</v>
      </c>
      <c r="E52" s="3730" t="s">
        <v>114</v>
      </c>
      <c r="F52" s="3730" t="s">
        <v>115</v>
      </c>
      <c r="G52" s="3730" t="s">
        <v>116</v>
      </c>
      <c r="H52" s="3730" t="s">
        <v>117</v>
      </c>
      <c r="I52" s="3730" t="s">
        <v>118</v>
      </c>
      <c r="J52" s="3730" t="s">
        <v>119</v>
      </c>
      <c r="K52" s="3730" t="s">
        <v>120</v>
      </c>
      <c r="L52" s="3730" t="s">
        <v>121</v>
      </c>
      <c r="M52" s="3730" t="s">
        <v>122</v>
      </c>
      <c r="N52" s="3730" t="s">
        <v>123</v>
      </c>
      <c r="O52" s="3731" t="s">
        <v>124</v>
      </c>
      <c r="P52" s="3731" t="s">
        <v>125</v>
      </c>
      <c r="Q52" s="3732" t="s">
        <v>126</v>
      </c>
      <c r="R52" s="3732" t="s">
        <v>302</v>
      </c>
    </row>
    <row r="53" spans="3:18" x14ac:dyDescent="0.35">
      <c r="D53" s="3733" t="s">
        <v>1478</v>
      </c>
      <c r="E53" s="3734">
        <v>104689</v>
      </c>
      <c r="F53" s="3734">
        <v>109134</v>
      </c>
      <c r="G53" s="3734">
        <v>117172</v>
      </c>
      <c r="H53" s="3734">
        <v>134480</v>
      </c>
      <c r="I53" s="3734">
        <v>150561</v>
      </c>
      <c r="J53" s="3734">
        <v>176218</v>
      </c>
      <c r="K53" s="3734">
        <v>206721</v>
      </c>
      <c r="L53" s="3734">
        <v>260596</v>
      </c>
      <c r="M53" s="3734">
        <v>266902</v>
      </c>
      <c r="N53" s="3734">
        <v>259165</v>
      </c>
      <c r="O53" s="3735">
        <v>292689</v>
      </c>
      <c r="P53" s="3735">
        <v>323547</v>
      </c>
      <c r="Q53" s="3736">
        <v>232657</v>
      </c>
      <c r="R53" s="3737">
        <f>U18</f>
        <v>170510</v>
      </c>
    </row>
    <row r="54" spans="3:18" ht="52.5" customHeight="1" x14ac:dyDescent="0.35">
      <c r="D54" s="3733" t="s">
        <v>1501</v>
      </c>
      <c r="E54" s="3738">
        <v>220.9</v>
      </c>
      <c r="F54" s="3738">
        <v>228.1</v>
      </c>
      <c r="G54" s="3738">
        <v>240.7</v>
      </c>
      <c r="H54" s="3738">
        <v>273.39999999999998</v>
      </c>
      <c r="I54" s="3738">
        <f>(150561/51029719.02)*100000</f>
        <v>295.04571628346775</v>
      </c>
      <c r="J54" s="3738">
        <f>(176218/51759547.67)*100000</f>
        <v>340.45506178589835</v>
      </c>
      <c r="K54" s="3738">
        <f>(206721/52517864.18)*100000</f>
        <v>393.6203484808205</v>
      </c>
      <c r="L54" s="3738">
        <f>(260596/53304520.02)*100000</f>
        <v>488.88161811085376</v>
      </c>
      <c r="M54" s="3738">
        <f>(266902/54120306.16)*100000</f>
        <v>493.16424635687986</v>
      </c>
      <c r="N54" s="3738">
        <f>(259165/54965281.74)*100000</f>
        <v>471.50672532875836</v>
      </c>
      <c r="O54" s="3739">
        <f>(292689/55843010.66)*100000</f>
        <v>524.12825981399192</v>
      </c>
      <c r="P54" s="3739">
        <f>(323547/56753326.89)*100000</f>
        <v>570.0934513092119</v>
      </c>
      <c r="Q54" s="3740">
        <f>(323547/57698414.32)*100000</f>
        <v>560.75544503802575</v>
      </c>
      <c r="R54" s="3741">
        <f>(R53/58678234.75)*100000</f>
        <v>290.58474701303112</v>
      </c>
    </row>
  </sheetData>
  <mergeCells count="8">
    <mergeCell ref="D47:M47"/>
    <mergeCell ref="D48:M48"/>
    <mergeCell ref="D2:T2"/>
    <mergeCell ref="D3:T3"/>
    <mergeCell ref="D4:T4"/>
    <mergeCell ref="E20:M20"/>
    <mergeCell ref="E33:M33"/>
    <mergeCell ref="D46:T46"/>
  </mergeCells>
  <pageMargins left="0.74803149606299213" right="0.74803149606299213" top="0.98425196850393704" bottom="0.98425196850393704" header="0.51181102362204722" footer="0.51181102362204722"/>
  <pageSetup paperSize="9" scale="73"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5" tint="-0.249977111117893"/>
    <pageSetUpPr fitToPage="1"/>
  </sheetPr>
  <dimension ref="A1:Y54"/>
  <sheetViews>
    <sheetView showGridLines="0" view="pageBreakPreview" topLeftCell="B1" zoomScaleNormal="100" zoomScaleSheetLayoutView="100" workbookViewId="0">
      <selection activeCell="Y41" sqref="Y41:Y42"/>
    </sheetView>
  </sheetViews>
  <sheetFormatPr defaultColWidth="9.1796875" defaultRowHeight="14.5" x14ac:dyDescent="0.35"/>
  <cols>
    <col min="1" max="1" width="3.7265625" style="3423" customWidth="1"/>
    <col min="2" max="2" width="10.81640625" style="3420" customWidth="1"/>
    <col min="3" max="3" width="7.1796875" style="3420" customWidth="1"/>
    <col min="4" max="4" width="20" style="3422" customWidth="1"/>
    <col min="5" max="5" width="8.26953125" style="3422" customWidth="1"/>
    <col min="6" max="6" width="8.453125" style="3677" customWidth="1"/>
    <col min="7" max="7" width="8.7265625" style="3422" customWidth="1"/>
    <col min="8" max="8" width="8.26953125" style="3422" customWidth="1"/>
    <col min="9" max="9" width="7.90625" style="3422" customWidth="1"/>
    <col min="10" max="10" width="7.81640625" style="3422" customWidth="1"/>
    <col min="11" max="11" width="8" style="3422" customWidth="1"/>
    <col min="12" max="12" width="8.453125" style="3422" customWidth="1"/>
    <col min="13" max="14" width="7.7265625" style="3422" customWidth="1"/>
    <col min="15" max="15" width="8.08984375" style="3422" customWidth="1"/>
    <col min="16" max="16" width="8" style="3422" customWidth="1"/>
    <col min="17" max="17" width="8.1796875" style="3422" customWidth="1"/>
    <col min="18" max="18" width="8" style="3422" customWidth="1"/>
    <col min="19" max="19" width="6.7265625" style="3422" customWidth="1"/>
    <col min="20" max="20" width="8.08984375" style="3422" customWidth="1"/>
    <col min="21" max="21" width="7.453125" style="3422" customWidth="1"/>
    <col min="22" max="256" width="9.1796875" style="3422"/>
    <col min="257" max="257" width="3.7265625" style="3422" customWidth="1"/>
    <col min="258" max="258" width="14.453125" style="3422" customWidth="1"/>
    <col min="259" max="259" width="3.7265625" style="3422" customWidth="1"/>
    <col min="260" max="260" width="15.54296875" style="3422" customWidth="1"/>
    <col min="261" max="261" width="12.81640625" style="3422" customWidth="1"/>
    <col min="262" max="262" width="13.26953125" style="3422" customWidth="1"/>
    <col min="263" max="263" width="11.7265625" style="3422" customWidth="1"/>
    <col min="264" max="264" width="13.81640625" style="3422" customWidth="1"/>
    <col min="265" max="265" width="13.1796875" style="3422" customWidth="1"/>
    <col min="266" max="266" width="13.453125" style="3422" customWidth="1"/>
    <col min="267" max="267" width="13.7265625" style="3422" customWidth="1"/>
    <col min="268" max="268" width="12.54296875" style="3422" customWidth="1"/>
    <col min="269" max="273" width="9.54296875" style="3422" customWidth="1"/>
    <col min="274" max="275" width="9" style="3422" customWidth="1"/>
    <col min="276" max="512" width="9.1796875" style="3422"/>
    <col min="513" max="513" width="3.7265625" style="3422" customWidth="1"/>
    <col min="514" max="514" width="14.453125" style="3422" customWidth="1"/>
    <col min="515" max="515" width="3.7265625" style="3422" customWidth="1"/>
    <col min="516" max="516" width="15.54296875" style="3422" customWidth="1"/>
    <col min="517" max="517" width="12.81640625" style="3422" customWidth="1"/>
    <col min="518" max="518" width="13.26953125" style="3422" customWidth="1"/>
    <col min="519" max="519" width="11.7265625" style="3422" customWidth="1"/>
    <col min="520" max="520" width="13.81640625" style="3422" customWidth="1"/>
    <col min="521" max="521" width="13.1796875" style="3422" customWidth="1"/>
    <col min="522" max="522" width="13.453125" style="3422" customWidth="1"/>
    <col min="523" max="523" width="13.7265625" style="3422" customWidth="1"/>
    <col min="524" max="524" width="12.54296875" style="3422" customWidth="1"/>
    <col min="525" max="529" width="9.54296875" style="3422" customWidth="1"/>
    <col min="530" max="531" width="9" style="3422" customWidth="1"/>
    <col min="532" max="768" width="9.1796875" style="3422"/>
    <col min="769" max="769" width="3.7265625" style="3422" customWidth="1"/>
    <col min="770" max="770" width="14.453125" style="3422" customWidth="1"/>
    <col min="771" max="771" width="3.7265625" style="3422" customWidth="1"/>
    <col min="772" max="772" width="15.54296875" style="3422" customWidth="1"/>
    <col min="773" max="773" width="12.81640625" style="3422" customWidth="1"/>
    <col min="774" max="774" width="13.26953125" style="3422" customWidth="1"/>
    <col min="775" max="775" width="11.7265625" style="3422" customWidth="1"/>
    <col min="776" max="776" width="13.81640625" style="3422" customWidth="1"/>
    <col min="777" max="777" width="13.1796875" style="3422" customWidth="1"/>
    <col min="778" max="778" width="13.453125" style="3422" customWidth="1"/>
    <col min="779" max="779" width="13.7265625" style="3422" customWidth="1"/>
    <col min="780" max="780" width="12.54296875" style="3422" customWidth="1"/>
    <col min="781" max="785" width="9.54296875" style="3422" customWidth="1"/>
    <col min="786" max="787" width="9" style="3422" customWidth="1"/>
    <col min="788" max="1024" width="9.1796875" style="3422"/>
    <col min="1025" max="1025" width="3.7265625" style="3422" customWidth="1"/>
    <col min="1026" max="1026" width="14.453125" style="3422" customWidth="1"/>
    <col min="1027" max="1027" width="3.7265625" style="3422" customWidth="1"/>
    <col min="1028" max="1028" width="15.54296875" style="3422" customWidth="1"/>
    <col min="1029" max="1029" width="12.81640625" style="3422" customWidth="1"/>
    <col min="1030" max="1030" width="13.26953125" style="3422" customWidth="1"/>
    <col min="1031" max="1031" width="11.7265625" style="3422" customWidth="1"/>
    <col min="1032" max="1032" width="13.81640625" style="3422" customWidth="1"/>
    <col min="1033" max="1033" width="13.1796875" style="3422" customWidth="1"/>
    <col min="1034" max="1034" width="13.453125" style="3422" customWidth="1"/>
    <col min="1035" max="1035" width="13.7265625" style="3422" customWidth="1"/>
    <col min="1036" max="1036" width="12.54296875" style="3422" customWidth="1"/>
    <col min="1037" max="1041" width="9.54296875" style="3422" customWidth="1"/>
    <col min="1042" max="1043" width="9" style="3422" customWidth="1"/>
    <col min="1044" max="1280" width="9.1796875" style="3422"/>
    <col min="1281" max="1281" width="3.7265625" style="3422" customWidth="1"/>
    <col min="1282" max="1282" width="14.453125" style="3422" customWidth="1"/>
    <col min="1283" max="1283" width="3.7265625" style="3422" customWidth="1"/>
    <col min="1284" max="1284" width="15.54296875" style="3422" customWidth="1"/>
    <col min="1285" max="1285" width="12.81640625" style="3422" customWidth="1"/>
    <col min="1286" max="1286" width="13.26953125" style="3422" customWidth="1"/>
    <col min="1287" max="1287" width="11.7265625" style="3422" customWidth="1"/>
    <col min="1288" max="1288" width="13.81640625" style="3422" customWidth="1"/>
    <col min="1289" max="1289" width="13.1796875" style="3422" customWidth="1"/>
    <col min="1290" max="1290" width="13.453125" style="3422" customWidth="1"/>
    <col min="1291" max="1291" width="13.7265625" style="3422" customWidth="1"/>
    <col min="1292" max="1292" width="12.54296875" style="3422" customWidth="1"/>
    <col min="1293" max="1297" width="9.54296875" style="3422" customWidth="1"/>
    <col min="1298" max="1299" width="9" style="3422" customWidth="1"/>
    <col min="1300" max="1536" width="9.1796875" style="3422"/>
    <col min="1537" max="1537" width="3.7265625" style="3422" customWidth="1"/>
    <col min="1538" max="1538" width="14.453125" style="3422" customWidth="1"/>
    <col min="1539" max="1539" width="3.7265625" style="3422" customWidth="1"/>
    <col min="1540" max="1540" width="15.54296875" style="3422" customWidth="1"/>
    <col min="1541" max="1541" width="12.81640625" style="3422" customWidth="1"/>
    <col min="1542" max="1542" width="13.26953125" style="3422" customWidth="1"/>
    <col min="1543" max="1543" width="11.7265625" style="3422" customWidth="1"/>
    <col min="1544" max="1544" width="13.81640625" style="3422" customWidth="1"/>
    <col min="1545" max="1545" width="13.1796875" style="3422" customWidth="1"/>
    <col min="1546" max="1546" width="13.453125" style="3422" customWidth="1"/>
    <col min="1547" max="1547" width="13.7265625" style="3422" customWidth="1"/>
    <col min="1548" max="1548" width="12.54296875" style="3422" customWidth="1"/>
    <col min="1549" max="1553" width="9.54296875" style="3422" customWidth="1"/>
    <col min="1554" max="1555" width="9" style="3422" customWidth="1"/>
    <col min="1556" max="1792" width="9.1796875" style="3422"/>
    <col min="1793" max="1793" width="3.7265625" style="3422" customWidth="1"/>
    <col min="1794" max="1794" width="14.453125" style="3422" customWidth="1"/>
    <col min="1795" max="1795" width="3.7265625" style="3422" customWidth="1"/>
    <col min="1796" max="1796" width="15.54296875" style="3422" customWidth="1"/>
    <col min="1797" max="1797" width="12.81640625" style="3422" customWidth="1"/>
    <col min="1798" max="1798" width="13.26953125" style="3422" customWidth="1"/>
    <col min="1799" max="1799" width="11.7265625" style="3422" customWidth="1"/>
    <col min="1800" max="1800" width="13.81640625" style="3422" customWidth="1"/>
    <col min="1801" max="1801" width="13.1796875" style="3422" customWidth="1"/>
    <col min="1802" max="1802" width="13.453125" style="3422" customWidth="1"/>
    <col min="1803" max="1803" width="13.7265625" style="3422" customWidth="1"/>
    <col min="1804" max="1804" width="12.54296875" style="3422" customWidth="1"/>
    <col min="1805" max="1809" width="9.54296875" style="3422" customWidth="1"/>
    <col min="1810" max="1811" width="9" style="3422" customWidth="1"/>
    <col min="1812" max="2048" width="9.1796875" style="3422"/>
    <col min="2049" max="2049" width="3.7265625" style="3422" customWidth="1"/>
    <col min="2050" max="2050" width="14.453125" style="3422" customWidth="1"/>
    <col min="2051" max="2051" width="3.7265625" style="3422" customWidth="1"/>
    <col min="2052" max="2052" width="15.54296875" style="3422" customWidth="1"/>
    <col min="2053" max="2053" width="12.81640625" style="3422" customWidth="1"/>
    <col min="2054" max="2054" width="13.26953125" style="3422" customWidth="1"/>
    <col min="2055" max="2055" width="11.7265625" style="3422" customWidth="1"/>
    <col min="2056" max="2056" width="13.81640625" style="3422" customWidth="1"/>
    <col min="2057" max="2057" width="13.1796875" style="3422" customWidth="1"/>
    <col min="2058" max="2058" width="13.453125" style="3422" customWidth="1"/>
    <col min="2059" max="2059" width="13.7265625" style="3422" customWidth="1"/>
    <col min="2060" max="2060" width="12.54296875" style="3422" customWidth="1"/>
    <col min="2061" max="2065" width="9.54296875" style="3422" customWidth="1"/>
    <col min="2066" max="2067" width="9" style="3422" customWidth="1"/>
    <col min="2068" max="2304" width="9.1796875" style="3422"/>
    <col min="2305" max="2305" width="3.7265625" style="3422" customWidth="1"/>
    <col min="2306" max="2306" width="14.453125" style="3422" customWidth="1"/>
    <col min="2307" max="2307" width="3.7265625" style="3422" customWidth="1"/>
    <col min="2308" max="2308" width="15.54296875" style="3422" customWidth="1"/>
    <col min="2309" max="2309" width="12.81640625" style="3422" customWidth="1"/>
    <col min="2310" max="2310" width="13.26953125" style="3422" customWidth="1"/>
    <col min="2311" max="2311" width="11.7265625" style="3422" customWidth="1"/>
    <col min="2312" max="2312" width="13.81640625" style="3422" customWidth="1"/>
    <col min="2313" max="2313" width="13.1796875" style="3422" customWidth="1"/>
    <col min="2314" max="2314" width="13.453125" style="3422" customWidth="1"/>
    <col min="2315" max="2315" width="13.7265625" style="3422" customWidth="1"/>
    <col min="2316" max="2316" width="12.54296875" style="3422" customWidth="1"/>
    <col min="2317" max="2321" width="9.54296875" style="3422" customWidth="1"/>
    <col min="2322" max="2323" width="9" style="3422" customWidth="1"/>
    <col min="2324" max="2560" width="9.1796875" style="3422"/>
    <col min="2561" max="2561" width="3.7265625" style="3422" customWidth="1"/>
    <col min="2562" max="2562" width="14.453125" style="3422" customWidth="1"/>
    <col min="2563" max="2563" width="3.7265625" style="3422" customWidth="1"/>
    <col min="2564" max="2564" width="15.54296875" style="3422" customWidth="1"/>
    <col min="2565" max="2565" width="12.81640625" style="3422" customWidth="1"/>
    <col min="2566" max="2566" width="13.26953125" style="3422" customWidth="1"/>
    <col min="2567" max="2567" width="11.7265625" style="3422" customWidth="1"/>
    <col min="2568" max="2568" width="13.81640625" style="3422" customWidth="1"/>
    <col min="2569" max="2569" width="13.1796875" style="3422" customWidth="1"/>
    <col min="2570" max="2570" width="13.453125" style="3422" customWidth="1"/>
    <col min="2571" max="2571" width="13.7265625" style="3422" customWidth="1"/>
    <col min="2572" max="2572" width="12.54296875" style="3422" customWidth="1"/>
    <col min="2573" max="2577" width="9.54296875" style="3422" customWidth="1"/>
    <col min="2578" max="2579" width="9" style="3422" customWidth="1"/>
    <col min="2580" max="2816" width="9.1796875" style="3422"/>
    <col min="2817" max="2817" width="3.7265625" style="3422" customWidth="1"/>
    <col min="2818" max="2818" width="14.453125" style="3422" customWidth="1"/>
    <col min="2819" max="2819" width="3.7265625" style="3422" customWidth="1"/>
    <col min="2820" max="2820" width="15.54296875" style="3422" customWidth="1"/>
    <col min="2821" max="2821" width="12.81640625" style="3422" customWidth="1"/>
    <col min="2822" max="2822" width="13.26953125" style="3422" customWidth="1"/>
    <col min="2823" max="2823" width="11.7265625" style="3422" customWidth="1"/>
    <col min="2824" max="2824" width="13.81640625" style="3422" customWidth="1"/>
    <col min="2825" max="2825" width="13.1796875" style="3422" customWidth="1"/>
    <col min="2826" max="2826" width="13.453125" style="3422" customWidth="1"/>
    <col min="2827" max="2827" width="13.7265625" style="3422" customWidth="1"/>
    <col min="2828" max="2828" width="12.54296875" style="3422" customWidth="1"/>
    <col min="2829" max="2833" width="9.54296875" style="3422" customWidth="1"/>
    <col min="2834" max="2835" width="9" style="3422" customWidth="1"/>
    <col min="2836" max="3072" width="9.1796875" style="3422"/>
    <col min="3073" max="3073" width="3.7265625" style="3422" customWidth="1"/>
    <col min="3074" max="3074" width="14.453125" style="3422" customWidth="1"/>
    <col min="3075" max="3075" width="3.7265625" style="3422" customWidth="1"/>
    <col min="3076" max="3076" width="15.54296875" style="3422" customWidth="1"/>
    <col min="3077" max="3077" width="12.81640625" style="3422" customWidth="1"/>
    <col min="3078" max="3078" width="13.26953125" style="3422" customWidth="1"/>
    <col min="3079" max="3079" width="11.7265625" style="3422" customWidth="1"/>
    <col min="3080" max="3080" width="13.81640625" style="3422" customWidth="1"/>
    <col min="3081" max="3081" width="13.1796875" style="3422" customWidth="1"/>
    <col min="3082" max="3082" width="13.453125" style="3422" customWidth="1"/>
    <col min="3083" max="3083" width="13.7265625" style="3422" customWidth="1"/>
    <col min="3084" max="3084" width="12.54296875" style="3422" customWidth="1"/>
    <col min="3085" max="3089" width="9.54296875" style="3422" customWidth="1"/>
    <col min="3090" max="3091" width="9" style="3422" customWidth="1"/>
    <col min="3092" max="3328" width="9.1796875" style="3422"/>
    <col min="3329" max="3329" width="3.7265625" style="3422" customWidth="1"/>
    <col min="3330" max="3330" width="14.453125" style="3422" customWidth="1"/>
    <col min="3331" max="3331" width="3.7265625" style="3422" customWidth="1"/>
    <col min="3332" max="3332" width="15.54296875" style="3422" customWidth="1"/>
    <col min="3333" max="3333" width="12.81640625" style="3422" customWidth="1"/>
    <col min="3334" max="3334" width="13.26953125" style="3422" customWidth="1"/>
    <col min="3335" max="3335" width="11.7265625" style="3422" customWidth="1"/>
    <col min="3336" max="3336" width="13.81640625" style="3422" customWidth="1"/>
    <col min="3337" max="3337" width="13.1796875" style="3422" customWidth="1"/>
    <col min="3338" max="3338" width="13.453125" style="3422" customWidth="1"/>
    <col min="3339" max="3339" width="13.7265625" style="3422" customWidth="1"/>
    <col min="3340" max="3340" width="12.54296875" style="3422" customWidth="1"/>
    <col min="3341" max="3345" width="9.54296875" style="3422" customWidth="1"/>
    <col min="3346" max="3347" width="9" style="3422" customWidth="1"/>
    <col min="3348" max="3584" width="9.1796875" style="3422"/>
    <col min="3585" max="3585" width="3.7265625" style="3422" customWidth="1"/>
    <col min="3586" max="3586" width="14.453125" style="3422" customWidth="1"/>
    <col min="3587" max="3587" width="3.7265625" style="3422" customWidth="1"/>
    <col min="3588" max="3588" width="15.54296875" style="3422" customWidth="1"/>
    <col min="3589" max="3589" width="12.81640625" style="3422" customWidth="1"/>
    <col min="3590" max="3590" width="13.26953125" style="3422" customWidth="1"/>
    <col min="3591" max="3591" width="11.7265625" style="3422" customWidth="1"/>
    <col min="3592" max="3592" width="13.81640625" style="3422" customWidth="1"/>
    <col min="3593" max="3593" width="13.1796875" style="3422" customWidth="1"/>
    <col min="3594" max="3594" width="13.453125" style="3422" customWidth="1"/>
    <col min="3595" max="3595" width="13.7265625" style="3422" customWidth="1"/>
    <col min="3596" max="3596" width="12.54296875" style="3422" customWidth="1"/>
    <col min="3597" max="3601" width="9.54296875" style="3422" customWidth="1"/>
    <col min="3602" max="3603" width="9" style="3422" customWidth="1"/>
    <col min="3604" max="3840" width="9.1796875" style="3422"/>
    <col min="3841" max="3841" width="3.7265625" style="3422" customWidth="1"/>
    <col min="3842" max="3842" width="14.453125" style="3422" customWidth="1"/>
    <col min="3843" max="3843" width="3.7265625" style="3422" customWidth="1"/>
    <col min="3844" max="3844" width="15.54296875" style="3422" customWidth="1"/>
    <col min="3845" max="3845" width="12.81640625" style="3422" customWidth="1"/>
    <col min="3846" max="3846" width="13.26953125" style="3422" customWidth="1"/>
    <col min="3847" max="3847" width="11.7265625" style="3422" customWidth="1"/>
    <col min="3848" max="3848" width="13.81640625" style="3422" customWidth="1"/>
    <col min="3849" max="3849" width="13.1796875" style="3422" customWidth="1"/>
    <col min="3850" max="3850" width="13.453125" style="3422" customWidth="1"/>
    <col min="3851" max="3851" width="13.7265625" style="3422" customWidth="1"/>
    <col min="3852" max="3852" width="12.54296875" style="3422" customWidth="1"/>
    <col min="3853" max="3857" width="9.54296875" style="3422" customWidth="1"/>
    <col min="3858" max="3859" width="9" style="3422" customWidth="1"/>
    <col min="3860" max="4096" width="9.1796875" style="3422"/>
    <col min="4097" max="4097" width="3.7265625" style="3422" customWidth="1"/>
    <col min="4098" max="4098" width="14.453125" style="3422" customWidth="1"/>
    <col min="4099" max="4099" width="3.7265625" style="3422" customWidth="1"/>
    <col min="4100" max="4100" width="15.54296875" style="3422" customWidth="1"/>
    <col min="4101" max="4101" width="12.81640625" style="3422" customWidth="1"/>
    <col min="4102" max="4102" width="13.26953125" style="3422" customWidth="1"/>
    <col min="4103" max="4103" width="11.7265625" style="3422" customWidth="1"/>
    <col min="4104" max="4104" width="13.81640625" style="3422" customWidth="1"/>
    <col min="4105" max="4105" width="13.1796875" style="3422" customWidth="1"/>
    <col min="4106" max="4106" width="13.453125" style="3422" customWidth="1"/>
    <col min="4107" max="4107" width="13.7265625" style="3422" customWidth="1"/>
    <col min="4108" max="4108" width="12.54296875" style="3422" customWidth="1"/>
    <col min="4109" max="4113" width="9.54296875" style="3422" customWidth="1"/>
    <col min="4114" max="4115" width="9" style="3422" customWidth="1"/>
    <col min="4116" max="4352" width="9.1796875" style="3422"/>
    <col min="4353" max="4353" width="3.7265625" style="3422" customWidth="1"/>
    <col min="4354" max="4354" width="14.453125" style="3422" customWidth="1"/>
    <col min="4355" max="4355" width="3.7265625" style="3422" customWidth="1"/>
    <col min="4356" max="4356" width="15.54296875" style="3422" customWidth="1"/>
    <col min="4357" max="4357" width="12.81640625" style="3422" customWidth="1"/>
    <col min="4358" max="4358" width="13.26953125" style="3422" customWidth="1"/>
    <col min="4359" max="4359" width="11.7265625" style="3422" customWidth="1"/>
    <col min="4360" max="4360" width="13.81640625" style="3422" customWidth="1"/>
    <col min="4361" max="4361" width="13.1796875" style="3422" customWidth="1"/>
    <col min="4362" max="4362" width="13.453125" style="3422" customWidth="1"/>
    <col min="4363" max="4363" width="13.7265625" style="3422" customWidth="1"/>
    <col min="4364" max="4364" width="12.54296875" style="3422" customWidth="1"/>
    <col min="4365" max="4369" width="9.54296875" style="3422" customWidth="1"/>
    <col min="4370" max="4371" width="9" style="3422" customWidth="1"/>
    <col min="4372" max="4608" width="9.1796875" style="3422"/>
    <col min="4609" max="4609" width="3.7265625" style="3422" customWidth="1"/>
    <col min="4610" max="4610" width="14.453125" style="3422" customWidth="1"/>
    <col min="4611" max="4611" width="3.7265625" style="3422" customWidth="1"/>
    <col min="4612" max="4612" width="15.54296875" style="3422" customWidth="1"/>
    <col min="4613" max="4613" width="12.81640625" style="3422" customWidth="1"/>
    <col min="4614" max="4614" width="13.26953125" style="3422" customWidth="1"/>
    <col min="4615" max="4615" width="11.7265625" style="3422" customWidth="1"/>
    <col min="4616" max="4616" width="13.81640625" style="3422" customWidth="1"/>
    <col min="4617" max="4617" width="13.1796875" style="3422" customWidth="1"/>
    <col min="4618" max="4618" width="13.453125" style="3422" customWidth="1"/>
    <col min="4619" max="4619" width="13.7265625" style="3422" customWidth="1"/>
    <col min="4620" max="4620" width="12.54296875" style="3422" customWidth="1"/>
    <col min="4621" max="4625" width="9.54296875" style="3422" customWidth="1"/>
    <col min="4626" max="4627" width="9" style="3422" customWidth="1"/>
    <col min="4628" max="4864" width="9.1796875" style="3422"/>
    <col min="4865" max="4865" width="3.7265625" style="3422" customWidth="1"/>
    <col min="4866" max="4866" width="14.453125" style="3422" customWidth="1"/>
    <col min="4867" max="4867" width="3.7265625" style="3422" customWidth="1"/>
    <col min="4868" max="4868" width="15.54296875" style="3422" customWidth="1"/>
    <col min="4869" max="4869" width="12.81640625" style="3422" customWidth="1"/>
    <col min="4870" max="4870" width="13.26953125" style="3422" customWidth="1"/>
    <col min="4871" max="4871" width="11.7265625" style="3422" customWidth="1"/>
    <col min="4872" max="4872" width="13.81640625" style="3422" customWidth="1"/>
    <col min="4873" max="4873" width="13.1796875" style="3422" customWidth="1"/>
    <col min="4874" max="4874" width="13.453125" style="3422" customWidth="1"/>
    <col min="4875" max="4875" width="13.7265625" style="3422" customWidth="1"/>
    <col min="4876" max="4876" width="12.54296875" style="3422" customWidth="1"/>
    <col min="4877" max="4881" width="9.54296875" style="3422" customWidth="1"/>
    <col min="4882" max="4883" width="9" style="3422" customWidth="1"/>
    <col min="4884" max="5120" width="9.1796875" style="3422"/>
    <col min="5121" max="5121" width="3.7265625" style="3422" customWidth="1"/>
    <col min="5122" max="5122" width="14.453125" style="3422" customWidth="1"/>
    <col min="5123" max="5123" width="3.7265625" style="3422" customWidth="1"/>
    <col min="5124" max="5124" width="15.54296875" style="3422" customWidth="1"/>
    <col min="5125" max="5125" width="12.81640625" style="3422" customWidth="1"/>
    <col min="5126" max="5126" width="13.26953125" style="3422" customWidth="1"/>
    <col min="5127" max="5127" width="11.7265625" style="3422" customWidth="1"/>
    <col min="5128" max="5128" width="13.81640625" style="3422" customWidth="1"/>
    <col min="5129" max="5129" width="13.1796875" style="3422" customWidth="1"/>
    <col min="5130" max="5130" width="13.453125" style="3422" customWidth="1"/>
    <col min="5131" max="5131" width="13.7265625" style="3422" customWidth="1"/>
    <col min="5132" max="5132" width="12.54296875" style="3422" customWidth="1"/>
    <col min="5133" max="5137" width="9.54296875" style="3422" customWidth="1"/>
    <col min="5138" max="5139" width="9" style="3422" customWidth="1"/>
    <col min="5140" max="5376" width="9.1796875" style="3422"/>
    <col min="5377" max="5377" width="3.7265625" style="3422" customWidth="1"/>
    <col min="5378" max="5378" width="14.453125" style="3422" customWidth="1"/>
    <col min="5379" max="5379" width="3.7265625" style="3422" customWidth="1"/>
    <col min="5380" max="5380" width="15.54296875" style="3422" customWidth="1"/>
    <col min="5381" max="5381" width="12.81640625" style="3422" customWidth="1"/>
    <col min="5382" max="5382" width="13.26953125" style="3422" customWidth="1"/>
    <col min="5383" max="5383" width="11.7265625" style="3422" customWidth="1"/>
    <col min="5384" max="5384" width="13.81640625" style="3422" customWidth="1"/>
    <col min="5385" max="5385" width="13.1796875" style="3422" customWidth="1"/>
    <col min="5386" max="5386" width="13.453125" style="3422" customWidth="1"/>
    <col min="5387" max="5387" width="13.7265625" style="3422" customWidth="1"/>
    <col min="5388" max="5388" width="12.54296875" style="3422" customWidth="1"/>
    <col min="5389" max="5393" width="9.54296875" style="3422" customWidth="1"/>
    <col min="5394" max="5395" width="9" style="3422" customWidth="1"/>
    <col min="5396" max="5632" width="9.1796875" style="3422"/>
    <col min="5633" max="5633" width="3.7265625" style="3422" customWidth="1"/>
    <col min="5634" max="5634" width="14.453125" style="3422" customWidth="1"/>
    <col min="5635" max="5635" width="3.7265625" style="3422" customWidth="1"/>
    <col min="5636" max="5636" width="15.54296875" style="3422" customWidth="1"/>
    <col min="5637" max="5637" width="12.81640625" style="3422" customWidth="1"/>
    <col min="5638" max="5638" width="13.26953125" style="3422" customWidth="1"/>
    <col min="5639" max="5639" width="11.7265625" style="3422" customWidth="1"/>
    <col min="5640" max="5640" width="13.81640625" style="3422" customWidth="1"/>
    <col min="5641" max="5641" width="13.1796875" style="3422" customWidth="1"/>
    <col min="5642" max="5642" width="13.453125" style="3422" customWidth="1"/>
    <col min="5643" max="5643" width="13.7265625" style="3422" customWidth="1"/>
    <col min="5644" max="5644" width="12.54296875" style="3422" customWidth="1"/>
    <col min="5645" max="5649" width="9.54296875" style="3422" customWidth="1"/>
    <col min="5650" max="5651" width="9" style="3422" customWidth="1"/>
    <col min="5652" max="5888" width="9.1796875" style="3422"/>
    <col min="5889" max="5889" width="3.7265625" style="3422" customWidth="1"/>
    <col min="5890" max="5890" width="14.453125" style="3422" customWidth="1"/>
    <col min="5891" max="5891" width="3.7265625" style="3422" customWidth="1"/>
    <col min="5892" max="5892" width="15.54296875" style="3422" customWidth="1"/>
    <col min="5893" max="5893" width="12.81640625" style="3422" customWidth="1"/>
    <col min="5894" max="5894" width="13.26953125" style="3422" customWidth="1"/>
    <col min="5895" max="5895" width="11.7265625" style="3422" customWidth="1"/>
    <col min="5896" max="5896" width="13.81640625" style="3422" customWidth="1"/>
    <col min="5897" max="5897" width="13.1796875" style="3422" customWidth="1"/>
    <col min="5898" max="5898" width="13.453125" style="3422" customWidth="1"/>
    <col min="5899" max="5899" width="13.7265625" style="3422" customWidth="1"/>
    <col min="5900" max="5900" width="12.54296875" style="3422" customWidth="1"/>
    <col min="5901" max="5905" width="9.54296875" style="3422" customWidth="1"/>
    <col min="5906" max="5907" width="9" style="3422" customWidth="1"/>
    <col min="5908" max="6144" width="9.1796875" style="3422"/>
    <col min="6145" max="6145" width="3.7265625" style="3422" customWidth="1"/>
    <col min="6146" max="6146" width="14.453125" style="3422" customWidth="1"/>
    <col min="6147" max="6147" width="3.7265625" style="3422" customWidth="1"/>
    <col min="6148" max="6148" width="15.54296875" style="3422" customWidth="1"/>
    <col min="6149" max="6149" width="12.81640625" style="3422" customWidth="1"/>
    <col min="6150" max="6150" width="13.26953125" style="3422" customWidth="1"/>
    <col min="6151" max="6151" width="11.7265625" style="3422" customWidth="1"/>
    <col min="6152" max="6152" width="13.81640625" style="3422" customWidth="1"/>
    <col min="6153" max="6153" width="13.1796875" style="3422" customWidth="1"/>
    <col min="6154" max="6154" width="13.453125" style="3422" customWidth="1"/>
    <col min="6155" max="6155" width="13.7265625" style="3422" customWidth="1"/>
    <col min="6156" max="6156" width="12.54296875" style="3422" customWidth="1"/>
    <col min="6157" max="6161" width="9.54296875" style="3422" customWidth="1"/>
    <col min="6162" max="6163" width="9" style="3422" customWidth="1"/>
    <col min="6164" max="6400" width="9.1796875" style="3422"/>
    <col min="6401" max="6401" width="3.7265625" style="3422" customWidth="1"/>
    <col min="6402" max="6402" width="14.453125" style="3422" customWidth="1"/>
    <col min="6403" max="6403" width="3.7265625" style="3422" customWidth="1"/>
    <col min="6404" max="6404" width="15.54296875" style="3422" customWidth="1"/>
    <col min="6405" max="6405" width="12.81640625" style="3422" customWidth="1"/>
    <col min="6406" max="6406" width="13.26953125" style="3422" customWidth="1"/>
    <col min="6407" max="6407" width="11.7265625" style="3422" customWidth="1"/>
    <col min="6408" max="6408" width="13.81640625" style="3422" customWidth="1"/>
    <col min="6409" max="6409" width="13.1796875" style="3422" customWidth="1"/>
    <col min="6410" max="6410" width="13.453125" style="3422" customWidth="1"/>
    <col min="6411" max="6411" width="13.7265625" style="3422" customWidth="1"/>
    <col min="6412" max="6412" width="12.54296875" style="3422" customWidth="1"/>
    <col min="6413" max="6417" width="9.54296875" style="3422" customWidth="1"/>
    <col min="6418" max="6419" width="9" style="3422" customWidth="1"/>
    <col min="6420" max="6656" width="9.1796875" style="3422"/>
    <col min="6657" max="6657" width="3.7265625" style="3422" customWidth="1"/>
    <col min="6658" max="6658" width="14.453125" style="3422" customWidth="1"/>
    <col min="6659" max="6659" width="3.7265625" style="3422" customWidth="1"/>
    <col min="6660" max="6660" width="15.54296875" style="3422" customWidth="1"/>
    <col min="6661" max="6661" width="12.81640625" style="3422" customWidth="1"/>
    <col min="6662" max="6662" width="13.26953125" style="3422" customWidth="1"/>
    <col min="6663" max="6663" width="11.7265625" style="3422" customWidth="1"/>
    <col min="6664" max="6664" width="13.81640625" style="3422" customWidth="1"/>
    <col min="6665" max="6665" width="13.1796875" style="3422" customWidth="1"/>
    <col min="6666" max="6666" width="13.453125" style="3422" customWidth="1"/>
    <col min="6667" max="6667" width="13.7265625" style="3422" customWidth="1"/>
    <col min="6668" max="6668" width="12.54296875" style="3422" customWidth="1"/>
    <col min="6669" max="6673" width="9.54296875" style="3422" customWidth="1"/>
    <col min="6674" max="6675" width="9" style="3422" customWidth="1"/>
    <col min="6676" max="6912" width="9.1796875" style="3422"/>
    <col min="6913" max="6913" width="3.7265625" style="3422" customWidth="1"/>
    <col min="6914" max="6914" width="14.453125" style="3422" customWidth="1"/>
    <col min="6915" max="6915" width="3.7265625" style="3422" customWidth="1"/>
    <col min="6916" max="6916" width="15.54296875" style="3422" customWidth="1"/>
    <col min="6917" max="6917" width="12.81640625" style="3422" customWidth="1"/>
    <col min="6918" max="6918" width="13.26953125" style="3422" customWidth="1"/>
    <col min="6919" max="6919" width="11.7265625" style="3422" customWidth="1"/>
    <col min="6920" max="6920" width="13.81640625" style="3422" customWidth="1"/>
    <col min="6921" max="6921" width="13.1796875" style="3422" customWidth="1"/>
    <col min="6922" max="6922" width="13.453125" style="3422" customWidth="1"/>
    <col min="6923" max="6923" width="13.7265625" style="3422" customWidth="1"/>
    <col min="6924" max="6924" width="12.54296875" style="3422" customWidth="1"/>
    <col min="6925" max="6929" width="9.54296875" style="3422" customWidth="1"/>
    <col min="6930" max="6931" width="9" style="3422" customWidth="1"/>
    <col min="6932" max="7168" width="9.1796875" style="3422"/>
    <col min="7169" max="7169" width="3.7265625" style="3422" customWidth="1"/>
    <col min="7170" max="7170" width="14.453125" style="3422" customWidth="1"/>
    <col min="7171" max="7171" width="3.7265625" style="3422" customWidth="1"/>
    <col min="7172" max="7172" width="15.54296875" style="3422" customWidth="1"/>
    <col min="7173" max="7173" width="12.81640625" style="3422" customWidth="1"/>
    <col min="7174" max="7174" width="13.26953125" style="3422" customWidth="1"/>
    <col min="7175" max="7175" width="11.7265625" style="3422" customWidth="1"/>
    <col min="7176" max="7176" width="13.81640625" style="3422" customWidth="1"/>
    <col min="7177" max="7177" width="13.1796875" style="3422" customWidth="1"/>
    <col min="7178" max="7178" width="13.453125" style="3422" customWidth="1"/>
    <col min="7179" max="7179" width="13.7265625" style="3422" customWidth="1"/>
    <col min="7180" max="7180" width="12.54296875" style="3422" customWidth="1"/>
    <col min="7181" max="7185" width="9.54296875" style="3422" customWidth="1"/>
    <col min="7186" max="7187" width="9" style="3422" customWidth="1"/>
    <col min="7188" max="7424" width="9.1796875" style="3422"/>
    <col min="7425" max="7425" width="3.7265625" style="3422" customWidth="1"/>
    <col min="7426" max="7426" width="14.453125" style="3422" customWidth="1"/>
    <col min="7427" max="7427" width="3.7265625" style="3422" customWidth="1"/>
    <col min="7428" max="7428" width="15.54296875" style="3422" customWidth="1"/>
    <col min="7429" max="7429" width="12.81640625" style="3422" customWidth="1"/>
    <col min="7430" max="7430" width="13.26953125" style="3422" customWidth="1"/>
    <col min="7431" max="7431" width="11.7265625" style="3422" customWidth="1"/>
    <col min="7432" max="7432" width="13.81640625" style="3422" customWidth="1"/>
    <col min="7433" max="7433" width="13.1796875" style="3422" customWidth="1"/>
    <col min="7434" max="7434" width="13.453125" style="3422" customWidth="1"/>
    <col min="7435" max="7435" width="13.7265625" style="3422" customWidth="1"/>
    <col min="7436" max="7436" width="12.54296875" style="3422" customWidth="1"/>
    <col min="7437" max="7441" width="9.54296875" style="3422" customWidth="1"/>
    <col min="7442" max="7443" width="9" style="3422" customWidth="1"/>
    <col min="7444" max="7680" width="9.1796875" style="3422"/>
    <col min="7681" max="7681" width="3.7265625" style="3422" customWidth="1"/>
    <col min="7682" max="7682" width="14.453125" style="3422" customWidth="1"/>
    <col min="7683" max="7683" width="3.7265625" style="3422" customWidth="1"/>
    <col min="7684" max="7684" width="15.54296875" style="3422" customWidth="1"/>
    <col min="7685" max="7685" width="12.81640625" style="3422" customWidth="1"/>
    <col min="7686" max="7686" width="13.26953125" style="3422" customWidth="1"/>
    <col min="7687" max="7687" width="11.7265625" style="3422" customWidth="1"/>
    <col min="7688" max="7688" width="13.81640625" style="3422" customWidth="1"/>
    <col min="7689" max="7689" width="13.1796875" style="3422" customWidth="1"/>
    <col min="7690" max="7690" width="13.453125" style="3422" customWidth="1"/>
    <col min="7691" max="7691" width="13.7265625" style="3422" customWidth="1"/>
    <col min="7692" max="7692" width="12.54296875" style="3422" customWidth="1"/>
    <col min="7693" max="7697" width="9.54296875" style="3422" customWidth="1"/>
    <col min="7698" max="7699" width="9" style="3422" customWidth="1"/>
    <col min="7700" max="7936" width="9.1796875" style="3422"/>
    <col min="7937" max="7937" width="3.7265625" style="3422" customWidth="1"/>
    <col min="7938" max="7938" width="14.453125" style="3422" customWidth="1"/>
    <col min="7939" max="7939" width="3.7265625" style="3422" customWidth="1"/>
    <col min="7940" max="7940" width="15.54296875" style="3422" customWidth="1"/>
    <col min="7941" max="7941" width="12.81640625" style="3422" customWidth="1"/>
    <col min="7942" max="7942" width="13.26953125" style="3422" customWidth="1"/>
    <col min="7943" max="7943" width="11.7265625" style="3422" customWidth="1"/>
    <col min="7944" max="7944" width="13.81640625" style="3422" customWidth="1"/>
    <col min="7945" max="7945" width="13.1796875" style="3422" customWidth="1"/>
    <col min="7946" max="7946" width="13.453125" style="3422" customWidth="1"/>
    <col min="7947" max="7947" width="13.7265625" style="3422" customWidth="1"/>
    <col min="7948" max="7948" width="12.54296875" style="3422" customWidth="1"/>
    <col min="7949" max="7953" width="9.54296875" style="3422" customWidth="1"/>
    <col min="7954" max="7955" width="9" style="3422" customWidth="1"/>
    <col min="7956" max="8192" width="9.1796875" style="3422"/>
    <col min="8193" max="8193" width="3.7265625" style="3422" customWidth="1"/>
    <col min="8194" max="8194" width="14.453125" style="3422" customWidth="1"/>
    <col min="8195" max="8195" width="3.7265625" style="3422" customWidth="1"/>
    <col min="8196" max="8196" width="15.54296875" style="3422" customWidth="1"/>
    <col min="8197" max="8197" width="12.81640625" style="3422" customWidth="1"/>
    <col min="8198" max="8198" width="13.26953125" style="3422" customWidth="1"/>
    <col min="8199" max="8199" width="11.7265625" style="3422" customWidth="1"/>
    <col min="8200" max="8200" width="13.81640625" style="3422" customWidth="1"/>
    <col min="8201" max="8201" width="13.1796875" style="3422" customWidth="1"/>
    <col min="8202" max="8202" width="13.453125" style="3422" customWidth="1"/>
    <col min="8203" max="8203" width="13.7265625" style="3422" customWidth="1"/>
    <col min="8204" max="8204" width="12.54296875" style="3422" customWidth="1"/>
    <col min="8205" max="8209" width="9.54296875" style="3422" customWidth="1"/>
    <col min="8210" max="8211" width="9" style="3422" customWidth="1"/>
    <col min="8212" max="8448" width="9.1796875" style="3422"/>
    <col min="8449" max="8449" width="3.7265625" style="3422" customWidth="1"/>
    <col min="8450" max="8450" width="14.453125" style="3422" customWidth="1"/>
    <col min="8451" max="8451" width="3.7265625" style="3422" customWidth="1"/>
    <col min="8452" max="8452" width="15.54296875" style="3422" customWidth="1"/>
    <col min="8453" max="8453" width="12.81640625" style="3422" customWidth="1"/>
    <col min="8454" max="8454" width="13.26953125" style="3422" customWidth="1"/>
    <col min="8455" max="8455" width="11.7265625" style="3422" customWidth="1"/>
    <col min="8456" max="8456" width="13.81640625" style="3422" customWidth="1"/>
    <col min="8457" max="8457" width="13.1796875" style="3422" customWidth="1"/>
    <col min="8458" max="8458" width="13.453125" style="3422" customWidth="1"/>
    <col min="8459" max="8459" width="13.7265625" style="3422" customWidth="1"/>
    <col min="8460" max="8460" width="12.54296875" style="3422" customWidth="1"/>
    <col min="8461" max="8465" width="9.54296875" style="3422" customWidth="1"/>
    <col min="8466" max="8467" width="9" style="3422" customWidth="1"/>
    <col min="8468" max="8704" width="9.1796875" style="3422"/>
    <col min="8705" max="8705" width="3.7265625" style="3422" customWidth="1"/>
    <col min="8706" max="8706" width="14.453125" style="3422" customWidth="1"/>
    <col min="8707" max="8707" width="3.7265625" style="3422" customWidth="1"/>
    <col min="8708" max="8708" width="15.54296875" style="3422" customWidth="1"/>
    <col min="8709" max="8709" width="12.81640625" style="3422" customWidth="1"/>
    <col min="8710" max="8710" width="13.26953125" style="3422" customWidth="1"/>
    <col min="8711" max="8711" width="11.7265625" style="3422" customWidth="1"/>
    <col min="8712" max="8712" width="13.81640625" style="3422" customWidth="1"/>
    <col min="8713" max="8713" width="13.1796875" style="3422" customWidth="1"/>
    <col min="8714" max="8714" width="13.453125" style="3422" customWidth="1"/>
    <col min="8715" max="8715" width="13.7265625" style="3422" customWidth="1"/>
    <col min="8716" max="8716" width="12.54296875" style="3422" customWidth="1"/>
    <col min="8717" max="8721" width="9.54296875" style="3422" customWidth="1"/>
    <col min="8722" max="8723" width="9" style="3422" customWidth="1"/>
    <col min="8724" max="8960" width="9.1796875" style="3422"/>
    <col min="8961" max="8961" width="3.7265625" style="3422" customWidth="1"/>
    <col min="8962" max="8962" width="14.453125" style="3422" customWidth="1"/>
    <col min="8963" max="8963" width="3.7265625" style="3422" customWidth="1"/>
    <col min="8964" max="8964" width="15.54296875" style="3422" customWidth="1"/>
    <col min="8965" max="8965" width="12.81640625" style="3422" customWidth="1"/>
    <col min="8966" max="8966" width="13.26953125" style="3422" customWidth="1"/>
    <col min="8967" max="8967" width="11.7265625" style="3422" customWidth="1"/>
    <col min="8968" max="8968" width="13.81640625" style="3422" customWidth="1"/>
    <col min="8969" max="8969" width="13.1796875" style="3422" customWidth="1"/>
    <col min="8970" max="8970" width="13.453125" style="3422" customWidth="1"/>
    <col min="8971" max="8971" width="13.7265625" style="3422" customWidth="1"/>
    <col min="8972" max="8972" width="12.54296875" style="3422" customWidth="1"/>
    <col min="8973" max="8977" width="9.54296875" style="3422" customWidth="1"/>
    <col min="8978" max="8979" width="9" style="3422" customWidth="1"/>
    <col min="8980" max="9216" width="9.1796875" style="3422"/>
    <col min="9217" max="9217" width="3.7265625" style="3422" customWidth="1"/>
    <col min="9218" max="9218" width="14.453125" style="3422" customWidth="1"/>
    <col min="9219" max="9219" width="3.7265625" style="3422" customWidth="1"/>
    <col min="9220" max="9220" width="15.54296875" style="3422" customWidth="1"/>
    <col min="9221" max="9221" width="12.81640625" style="3422" customWidth="1"/>
    <col min="9222" max="9222" width="13.26953125" style="3422" customWidth="1"/>
    <col min="9223" max="9223" width="11.7265625" style="3422" customWidth="1"/>
    <col min="9224" max="9224" width="13.81640625" style="3422" customWidth="1"/>
    <col min="9225" max="9225" width="13.1796875" style="3422" customWidth="1"/>
    <col min="9226" max="9226" width="13.453125" style="3422" customWidth="1"/>
    <col min="9227" max="9227" width="13.7265625" style="3422" customWidth="1"/>
    <col min="9228" max="9228" width="12.54296875" style="3422" customWidth="1"/>
    <col min="9229" max="9233" width="9.54296875" style="3422" customWidth="1"/>
    <col min="9234" max="9235" width="9" style="3422" customWidth="1"/>
    <col min="9236" max="9472" width="9.1796875" style="3422"/>
    <col min="9473" max="9473" width="3.7265625" style="3422" customWidth="1"/>
    <col min="9474" max="9474" width="14.453125" style="3422" customWidth="1"/>
    <col min="9475" max="9475" width="3.7265625" style="3422" customWidth="1"/>
    <col min="9476" max="9476" width="15.54296875" style="3422" customWidth="1"/>
    <col min="9477" max="9477" width="12.81640625" style="3422" customWidth="1"/>
    <col min="9478" max="9478" width="13.26953125" style="3422" customWidth="1"/>
    <col min="9479" max="9479" width="11.7265625" style="3422" customWidth="1"/>
    <col min="9480" max="9480" width="13.81640625" style="3422" customWidth="1"/>
    <col min="9481" max="9481" width="13.1796875" style="3422" customWidth="1"/>
    <col min="9482" max="9482" width="13.453125" style="3422" customWidth="1"/>
    <col min="9483" max="9483" width="13.7265625" style="3422" customWidth="1"/>
    <col min="9484" max="9484" width="12.54296875" style="3422" customWidth="1"/>
    <col min="9485" max="9489" width="9.54296875" style="3422" customWidth="1"/>
    <col min="9490" max="9491" width="9" style="3422" customWidth="1"/>
    <col min="9492" max="9728" width="9.1796875" style="3422"/>
    <col min="9729" max="9729" width="3.7265625" style="3422" customWidth="1"/>
    <col min="9730" max="9730" width="14.453125" style="3422" customWidth="1"/>
    <col min="9731" max="9731" width="3.7265625" style="3422" customWidth="1"/>
    <col min="9732" max="9732" width="15.54296875" style="3422" customWidth="1"/>
    <col min="9733" max="9733" width="12.81640625" style="3422" customWidth="1"/>
    <col min="9734" max="9734" width="13.26953125" style="3422" customWidth="1"/>
    <col min="9735" max="9735" width="11.7265625" style="3422" customWidth="1"/>
    <col min="9736" max="9736" width="13.81640625" style="3422" customWidth="1"/>
    <col min="9737" max="9737" width="13.1796875" style="3422" customWidth="1"/>
    <col min="9738" max="9738" width="13.453125" style="3422" customWidth="1"/>
    <col min="9739" max="9739" width="13.7265625" style="3422" customWidth="1"/>
    <col min="9740" max="9740" width="12.54296875" style="3422" customWidth="1"/>
    <col min="9741" max="9745" width="9.54296875" style="3422" customWidth="1"/>
    <col min="9746" max="9747" width="9" style="3422" customWidth="1"/>
    <col min="9748" max="9984" width="9.1796875" style="3422"/>
    <col min="9985" max="9985" width="3.7265625" style="3422" customWidth="1"/>
    <col min="9986" max="9986" width="14.453125" style="3422" customWidth="1"/>
    <col min="9987" max="9987" width="3.7265625" style="3422" customWidth="1"/>
    <col min="9988" max="9988" width="15.54296875" style="3422" customWidth="1"/>
    <col min="9989" max="9989" width="12.81640625" style="3422" customWidth="1"/>
    <col min="9990" max="9990" width="13.26953125" style="3422" customWidth="1"/>
    <col min="9991" max="9991" width="11.7265625" style="3422" customWidth="1"/>
    <col min="9992" max="9992" width="13.81640625" style="3422" customWidth="1"/>
    <col min="9993" max="9993" width="13.1796875" style="3422" customWidth="1"/>
    <col min="9994" max="9994" width="13.453125" style="3422" customWidth="1"/>
    <col min="9995" max="9995" width="13.7265625" style="3422" customWidth="1"/>
    <col min="9996" max="9996" width="12.54296875" style="3422" customWidth="1"/>
    <col min="9997" max="10001" width="9.54296875" style="3422" customWidth="1"/>
    <col min="10002" max="10003" width="9" style="3422" customWidth="1"/>
    <col min="10004" max="10240" width="9.1796875" style="3422"/>
    <col min="10241" max="10241" width="3.7265625" style="3422" customWidth="1"/>
    <col min="10242" max="10242" width="14.453125" style="3422" customWidth="1"/>
    <col min="10243" max="10243" width="3.7265625" style="3422" customWidth="1"/>
    <col min="10244" max="10244" width="15.54296875" style="3422" customWidth="1"/>
    <col min="10245" max="10245" width="12.81640625" style="3422" customWidth="1"/>
    <col min="10246" max="10246" width="13.26953125" style="3422" customWidth="1"/>
    <col min="10247" max="10247" width="11.7265625" style="3422" customWidth="1"/>
    <col min="10248" max="10248" width="13.81640625" style="3422" customWidth="1"/>
    <col min="10249" max="10249" width="13.1796875" style="3422" customWidth="1"/>
    <col min="10250" max="10250" width="13.453125" style="3422" customWidth="1"/>
    <col min="10251" max="10251" width="13.7265625" style="3422" customWidth="1"/>
    <col min="10252" max="10252" width="12.54296875" style="3422" customWidth="1"/>
    <col min="10253" max="10257" width="9.54296875" style="3422" customWidth="1"/>
    <col min="10258" max="10259" width="9" style="3422" customWidth="1"/>
    <col min="10260" max="10496" width="9.1796875" style="3422"/>
    <col min="10497" max="10497" width="3.7265625" style="3422" customWidth="1"/>
    <col min="10498" max="10498" width="14.453125" style="3422" customWidth="1"/>
    <col min="10499" max="10499" width="3.7265625" style="3422" customWidth="1"/>
    <col min="10500" max="10500" width="15.54296875" style="3422" customWidth="1"/>
    <col min="10501" max="10501" width="12.81640625" style="3422" customWidth="1"/>
    <col min="10502" max="10502" width="13.26953125" style="3422" customWidth="1"/>
    <col min="10503" max="10503" width="11.7265625" style="3422" customWidth="1"/>
    <col min="10504" max="10504" width="13.81640625" style="3422" customWidth="1"/>
    <col min="10505" max="10505" width="13.1796875" style="3422" customWidth="1"/>
    <col min="10506" max="10506" width="13.453125" style="3422" customWidth="1"/>
    <col min="10507" max="10507" width="13.7265625" style="3422" customWidth="1"/>
    <col min="10508" max="10508" width="12.54296875" style="3422" customWidth="1"/>
    <col min="10509" max="10513" width="9.54296875" style="3422" customWidth="1"/>
    <col min="10514" max="10515" width="9" style="3422" customWidth="1"/>
    <col min="10516" max="10752" width="9.1796875" style="3422"/>
    <col min="10753" max="10753" width="3.7265625" style="3422" customWidth="1"/>
    <col min="10754" max="10754" width="14.453125" style="3422" customWidth="1"/>
    <col min="10755" max="10755" width="3.7265625" style="3422" customWidth="1"/>
    <col min="10756" max="10756" width="15.54296875" style="3422" customWidth="1"/>
    <col min="10757" max="10757" width="12.81640625" style="3422" customWidth="1"/>
    <col min="10758" max="10758" width="13.26953125" style="3422" customWidth="1"/>
    <col min="10759" max="10759" width="11.7265625" style="3422" customWidth="1"/>
    <col min="10760" max="10760" width="13.81640625" style="3422" customWidth="1"/>
    <col min="10761" max="10761" width="13.1796875" style="3422" customWidth="1"/>
    <col min="10762" max="10762" width="13.453125" style="3422" customWidth="1"/>
    <col min="10763" max="10763" width="13.7265625" style="3422" customWidth="1"/>
    <col min="10764" max="10764" width="12.54296875" style="3422" customWidth="1"/>
    <col min="10765" max="10769" width="9.54296875" style="3422" customWidth="1"/>
    <col min="10770" max="10771" width="9" style="3422" customWidth="1"/>
    <col min="10772" max="11008" width="9.1796875" style="3422"/>
    <col min="11009" max="11009" width="3.7265625" style="3422" customWidth="1"/>
    <col min="11010" max="11010" width="14.453125" style="3422" customWidth="1"/>
    <col min="11011" max="11011" width="3.7265625" style="3422" customWidth="1"/>
    <col min="11012" max="11012" width="15.54296875" style="3422" customWidth="1"/>
    <col min="11013" max="11013" width="12.81640625" style="3422" customWidth="1"/>
    <col min="11014" max="11014" width="13.26953125" style="3422" customWidth="1"/>
    <col min="11015" max="11015" width="11.7265625" style="3422" customWidth="1"/>
    <col min="11016" max="11016" width="13.81640625" style="3422" customWidth="1"/>
    <col min="11017" max="11017" width="13.1796875" style="3422" customWidth="1"/>
    <col min="11018" max="11018" width="13.453125" style="3422" customWidth="1"/>
    <col min="11019" max="11019" width="13.7265625" style="3422" customWidth="1"/>
    <col min="11020" max="11020" width="12.54296875" style="3422" customWidth="1"/>
    <col min="11021" max="11025" width="9.54296875" style="3422" customWidth="1"/>
    <col min="11026" max="11027" width="9" style="3422" customWidth="1"/>
    <col min="11028" max="11264" width="9.1796875" style="3422"/>
    <col min="11265" max="11265" width="3.7265625" style="3422" customWidth="1"/>
    <col min="11266" max="11266" width="14.453125" style="3422" customWidth="1"/>
    <col min="11267" max="11267" width="3.7265625" style="3422" customWidth="1"/>
    <col min="11268" max="11268" width="15.54296875" style="3422" customWidth="1"/>
    <col min="11269" max="11269" width="12.81640625" style="3422" customWidth="1"/>
    <col min="11270" max="11270" width="13.26953125" style="3422" customWidth="1"/>
    <col min="11271" max="11271" width="11.7265625" style="3422" customWidth="1"/>
    <col min="11272" max="11272" width="13.81640625" style="3422" customWidth="1"/>
    <col min="11273" max="11273" width="13.1796875" style="3422" customWidth="1"/>
    <col min="11274" max="11274" width="13.453125" style="3422" customWidth="1"/>
    <col min="11275" max="11275" width="13.7265625" style="3422" customWidth="1"/>
    <col min="11276" max="11276" width="12.54296875" style="3422" customWidth="1"/>
    <col min="11277" max="11281" width="9.54296875" style="3422" customWidth="1"/>
    <col min="11282" max="11283" width="9" style="3422" customWidth="1"/>
    <col min="11284" max="11520" width="9.1796875" style="3422"/>
    <col min="11521" max="11521" width="3.7265625" style="3422" customWidth="1"/>
    <col min="11522" max="11522" width="14.453125" style="3422" customWidth="1"/>
    <col min="11523" max="11523" width="3.7265625" style="3422" customWidth="1"/>
    <col min="11524" max="11524" width="15.54296875" style="3422" customWidth="1"/>
    <col min="11525" max="11525" width="12.81640625" style="3422" customWidth="1"/>
    <col min="11526" max="11526" width="13.26953125" style="3422" customWidth="1"/>
    <col min="11527" max="11527" width="11.7265625" style="3422" customWidth="1"/>
    <col min="11528" max="11528" width="13.81640625" style="3422" customWidth="1"/>
    <col min="11529" max="11529" width="13.1796875" style="3422" customWidth="1"/>
    <col min="11530" max="11530" width="13.453125" style="3422" customWidth="1"/>
    <col min="11531" max="11531" width="13.7265625" style="3422" customWidth="1"/>
    <col min="11532" max="11532" width="12.54296875" style="3422" customWidth="1"/>
    <col min="11533" max="11537" width="9.54296875" style="3422" customWidth="1"/>
    <col min="11538" max="11539" width="9" style="3422" customWidth="1"/>
    <col min="11540" max="11776" width="9.1796875" style="3422"/>
    <col min="11777" max="11777" width="3.7265625" style="3422" customWidth="1"/>
    <col min="11778" max="11778" width="14.453125" style="3422" customWidth="1"/>
    <col min="11779" max="11779" width="3.7265625" style="3422" customWidth="1"/>
    <col min="11780" max="11780" width="15.54296875" style="3422" customWidth="1"/>
    <col min="11781" max="11781" width="12.81640625" style="3422" customWidth="1"/>
    <col min="11782" max="11782" width="13.26953125" style="3422" customWidth="1"/>
    <col min="11783" max="11783" width="11.7265625" style="3422" customWidth="1"/>
    <col min="11784" max="11784" width="13.81640625" style="3422" customWidth="1"/>
    <col min="11785" max="11785" width="13.1796875" style="3422" customWidth="1"/>
    <col min="11786" max="11786" width="13.453125" style="3422" customWidth="1"/>
    <col min="11787" max="11787" width="13.7265625" style="3422" customWidth="1"/>
    <col min="11788" max="11788" width="12.54296875" style="3422" customWidth="1"/>
    <col min="11789" max="11793" width="9.54296875" style="3422" customWidth="1"/>
    <col min="11794" max="11795" width="9" style="3422" customWidth="1"/>
    <col min="11796" max="12032" width="9.1796875" style="3422"/>
    <col min="12033" max="12033" width="3.7265625" style="3422" customWidth="1"/>
    <col min="12034" max="12034" width="14.453125" style="3422" customWidth="1"/>
    <col min="12035" max="12035" width="3.7265625" style="3422" customWidth="1"/>
    <col min="12036" max="12036" width="15.54296875" style="3422" customWidth="1"/>
    <col min="12037" max="12037" width="12.81640625" style="3422" customWidth="1"/>
    <col min="12038" max="12038" width="13.26953125" style="3422" customWidth="1"/>
    <col min="12039" max="12039" width="11.7265625" style="3422" customWidth="1"/>
    <col min="12040" max="12040" width="13.81640625" style="3422" customWidth="1"/>
    <col min="12041" max="12041" width="13.1796875" style="3422" customWidth="1"/>
    <col min="12042" max="12042" width="13.453125" style="3422" customWidth="1"/>
    <col min="12043" max="12043" width="13.7265625" style="3422" customWidth="1"/>
    <col min="12044" max="12044" width="12.54296875" style="3422" customWidth="1"/>
    <col min="12045" max="12049" width="9.54296875" style="3422" customWidth="1"/>
    <col min="12050" max="12051" width="9" style="3422" customWidth="1"/>
    <col min="12052" max="12288" width="9.1796875" style="3422"/>
    <col min="12289" max="12289" width="3.7265625" style="3422" customWidth="1"/>
    <col min="12290" max="12290" width="14.453125" style="3422" customWidth="1"/>
    <col min="12291" max="12291" width="3.7265625" style="3422" customWidth="1"/>
    <col min="12292" max="12292" width="15.54296875" style="3422" customWidth="1"/>
    <col min="12293" max="12293" width="12.81640625" style="3422" customWidth="1"/>
    <col min="12294" max="12294" width="13.26953125" style="3422" customWidth="1"/>
    <col min="12295" max="12295" width="11.7265625" style="3422" customWidth="1"/>
    <col min="12296" max="12296" width="13.81640625" style="3422" customWidth="1"/>
    <col min="12297" max="12297" width="13.1796875" style="3422" customWidth="1"/>
    <col min="12298" max="12298" width="13.453125" style="3422" customWidth="1"/>
    <col min="12299" max="12299" width="13.7265625" style="3422" customWidth="1"/>
    <col min="12300" max="12300" width="12.54296875" style="3422" customWidth="1"/>
    <col min="12301" max="12305" width="9.54296875" style="3422" customWidth="1"/>
    <col min="12306" max="12307" width="9" style="3422" customWidth="1"/>
    <col min="12308" max="12544" width="9.1796875" style="3422"/>
    <col min="12545" max="12545" width="3.7265625" style="3422" customWidth="1"/>
    <col min="12546" max="12546" width="14.453125" style="3422" customWidth="1"/>
    <col min="12547" max="12547" width="3.7265625" style="3422" customWidth="1"/>
    <col min="12548" max="12548" width="15.54296875" style="3422" customWidth="1"/>
    <col min="12549" max="12549" width="12.81640625" style="3422" customWidth="1"/>
    <col min="12550" max="12550" width="13.26953125" style="3422" customWidth="1"/>
    <col min="12551" max="12551" width="11.7265625" style="3422" customWidth="1"/>
    <col min="12552" max="12552" width="13.81640625" style="3422" customWidth="1"/>
    <col min="12553" max="12553" width="13.1796875" style="3422" customWidth="1"/>
    <col min="12554" max="12554" width="13.453125" style="3422" customWidth="1"/>
    <col min="12555" max="12555" width="13.7265625" style="3422" customWidth="1"/>
    <col min="12556" max="12556" width="12.54296875" style="3422" customWidth="1"/>
    <col min="12557" max="12561" width="9.54296875" style="3422" customWidth="1"/>
    <col min="12562" max="12563" width="9" style="3422" customWidth="1"/>
    <col min="12564" max="12800" width="9.1796875" style="3422"/>
    <col min="12801" max="12801" width="3.7265625" style="3422" customWidth="1"/>
    <col min="12802" max="12802" width="14.453125" style="3422" customWidth="1"/>
    <col min="12803" max="12803" width="3.7265625" style="3422" customWidth="1"/>
    <col min="12804" max="12804" width="15.54296875" style="3422" customWidth="1"/>
    <col min="12805" max="12805" width="12.81640625" style="3422" customWidth="1"/>
    <col min="12806" max="12806" width="13.26953125" style="3422" customWidth="1"/>
    <col min="12807" max="12807" width="11.7265625" style="3422" customWidth="1"/>
    <col min="12808" max="12808" width="13.81640625" style="3422" customWidth="1"/>
    <col min="12809" max="12809" width="13.1796875" style="3422" customWidth="1"/>
    <col min="12810" max="12810" width="13.453125" style="3422" customWidth="1"/>
    <col min="12811" max="12811" width="13.7265625" style="3422" customWidth="1"/>
    <col min="12812" max="12812" width="12.54296875" style="3422" customWidth="1"/>
    <col min="12813" max="12817" width="9.54296875" style="3422" customWidth="1"/>
    <col min="12818" max="12819" width="9" style="3422" customWidth="1"/>
    <col min="12820" max="13056" width="9.1796875" style="3422"/>
    <col min="13057" max="13057" width="3.7265625" style="3422" customWidth="1"/>
    <col min="13058" max="13058" width="14.453125" style="3422" customWidth="1"/>
    <col min="13059" max="13059" width="3.7265625" style="3422" customWidth="1"/>
    <col min="13060" max="13060" width="15.54296875" style="3422" customWidth="1"/>
    <col min="13061" max="13061" width="12.81640625" style="3422" customWidth="1"/>
    <col min="13062" max="13062" width="13.26953125" style="3422" customWidth="1"/>
    <col min="13063" max="13063" width="11.7265625" style="3422" customWidth="1"/>
    <col min="13064" max="13064" width="13.81640625" style="3422" customWidth="1"/>
    <col min="13065" max="13065" width="13.1796875" style="3422" customWidth="1"/>
    <col min="13066" max="13066" width="13.453125" style="3422" customWidth="1"/>
    <col min="13067" max="13067" width="13.7265625" style="3422" customWidth="1"/>
    <col min="13068" max="13068" width="12.54296875" style="3422" customWidth="1"/>
    <col min="13069" max="13073" width="9.54296875" style="3422" customWidth="1"/>
    <col min="13074" max="13075" width="9" style="3422" customWidth="1"/>
    <col min="13076" max="13312" width="9.1796875" style="3422"/>
    <col min="13313" max="13313" width="3.7265625" style="3422" customWidth="1"/>
    <col min="13314" max="13314" width="14.453125" style="3422" customWidth="1"/>
    <col min="13315" max="13315" width="3.7265625" style="3422" customWidth="1"/>
    <col min="13316" max="13316" width="15.54296875" style="3422" customWidth="1"/>
    <col min="13317" max="13317" width="12.81640625" style="3422" customWidth="1"/>
    <col min="13318" max="13318" width="13.26953125" style="3422" customWidth="1"/>
    <col min="13319" max="13319" width="11.7265625" style="3422" customWidth="1"/>
    <col min="13320" max="13320" width="13.81640625" style="3422" customWidth="1"/>
    <col min="13321" max="13321" width="13.1796875" style="3422" customWidth="1"/>
    <col min="13322" max="13322" width="13.453125" style="3422" customWidth="1"/>
    <col min="13323" max="13323" width="13.7265625" style="3422" customWidth="1"/>
    <col min="13324" max="13324" width="12.54296875" style="3422" customWidth="1"/>
    <col min="13325" max="13329" width="9.54296875" style="3422" customWidth="1"/>
    <col min="13330" max="13331" width="9" style="3422" customWidth="1"/>
    <col min="13332" max="13568" width="9.1796875" style="3422"/>
    <col min="13569" max="13569" width="3.7265625" style="3422" customWidth="1"/>
    <col min="13570" max="13570" width="14.453125" style="3422" customWidth="1"/>
    <col min="13571" max="13571" width="3.7265625" style="3422" customWidth="1"/>
    <col min="13572" max="13572" width="15.54296875" style="3422" customWidth="1"/>
    <col min="13573" max="13573" width="12.81640625" style="3422" customWidth="1"/>
    <col min="13574" max="13574" width="13.26953125" style="3422" customWidth="1"/>
    <col min="13575" max="13575" width="11.7265625" style="3422" customWidth="1"/>
    <col min="13576" max="13576" width="13.81640625" style="3422" customWidth="1"/>
    <col min="13577" max="13577" width="13.1796875" style="3422" customWidth="1"/>
    <col min="13578" max="13578" width="13.453125" style="3422" customWidth="1"/>
    <col min="13579" max="13579" width="13.7265625" style="3422" customWidth="1"/>
    <col min="13580" max="13580" width="12.54296875" style="3422" customWidth="1"/>
    <col min="13581" max="13585" width="9.54296875" style="3422" customWidth="1"/>
    <col min="13586" max="13587" width="9" style="3422" customWidth="1"/>
    <col min="13588" max="13824" width="9.1796875" style="3422"/>
    <col min="13825" max="13825" width="3.7265625" style="3422" customWidth="1"/>
    <col min="13826" max="13826" width="14.453125" style="3422" customWidth="1"/>
    <col min="13827" max="13827" width="3.7265625" style="3422" customWidth="1"/>
    <col min="13828" max="13828" width="15.54296875" style="3422" customWidth="1"/>
    <col min="13829" max="13829" width="12.81640625" style="3422" customWidth="1"/>
    <col min="13830" max="13830" width="13.26953125" style="3422" customWidth="1"/>
    <col min="13831" max="13831" width="11.7265625" style="3422" customWidth="1"/>
    <col min="13832" max="13832" width="13.81640625" style="3422" customWidth="1"/>
    <col min="13833" max="13833" width="13.1796875" style="3422" customWidth="1"/>
    <col min="13834" max="13834" width="13.453125" style="3422" customWidth="1"/>
    <col min="13835" max="13835" width="13.7265625" style="3422" customWidth="1"/>
    <col min="13836" max="13836" width="12.54296875" style="3422" customWidth="1"/>
    <col min="13837" max="13841" width="9.54296875" style="3422" customWidth="1"/>
    <col min="13842" max="13843" width="9" style="3422" customWidth="1"/>
    <col min="13844" max="14080" width="9.1796875" style="3422"/>
    <col min="14081" max="14081" width="3.7265625" style="3422" customWidth="1"/>
    <col min="14082" max="14082" width="14.453125" style="3422" customWidth="1"/>
    <col min="14083" max="14083" width="3.7265625" style="3422" customWidth="1"/>
    <col min="14084" max="14084" width="15.54296875" style="3422" customWidth="1"/>
    <col min="14085" max="14085" width="12.81640625" style="3422" customWidth="1"/>
    <col min="14086" max="14086" width="13.26953125" style="3422" customWidth="1"/>
    <col min="14087" max="14087" width="11.7265625" style="3422" customWidth="1"/>
    <col min="14088" max="14088" width="13.81640625" style="3422" customWidth="1"/>
    <col min="14089" max="14089" width="13.1796875" style="3422" customWidth="1"/>
    <col min="14090" max="14090" width="13.453125" style="3422" customWidth="1"/>
    <col min="14091" max="14091" width="13.7265625" style="3422" customWidth="1"/>
    <col min="14092" max="14092" width="12.54296875" style="3422" customWidth="1"/>
    <col min="14093" max="14097" width="9.54296875" style="3422" customWidth="1"/>
    <col min="14098" max="14099" width="9" style="3422" customWidth="1"/>
    <col min="14100" max="14336" width="9.1796875" style="3422"/>
    <col min="14337" max="14337" width="3.7265625" style="3422" customWidth="1"/>
    <col min="14338" max="14338" width="14.453125" style="3422" customWidth="1"/>
    <col min="14339" max="14339" width="3.7265625" style="3422" customWidth="1"/>
    <col min="14340" max="14340" width="15.54296875" style="3422" customWidth="1"/>
    <col min="14341" max="14341" width="12.81640625" style="3422" customWidth="1"/>
    <col min="14342" max="14342" width="13.26953125" style="3422" customWidth="1"/>
    <col min="14343" max="14343" width="11.7265625" style="3422" customWidth="1"/>
    <col min="14344" max="14344" width="13.81640625" style="3422" customWidth="1"/>
    <col min="14345" max="14345" width="13.1796875" style="3422" customWidth="1"/>
    <col min="14346" max="14346" width="13.453125" style="3422" customWidth="1"/>
    <col min="14347" max="14347" width="13.7265625" style="3422" customWidth="1"/>
    <col min="14348" max="14348" width="12.54296875" style="3422" customWidth="1"/>
    <col min="14349" max="14353" width="9.54296875" style="3422" customWidth="1"/>
    <col min="14354" max="14355" width="9" style="3422" customWidth="1"/>
    <col min="14356" max="14592" width="9.1796875" style="3422"/>
    <col min="14593" max="14593" width="3.7265625" style="3422" customWidth="1"/>
    <col min="14594" max="14594" width="14.453125" style="3422" customWidth="1"/>
    <col min="14595" max="14595" width="3.7265625" style="3422" customWidth="1"/>
    <col min="14596" max="14596" width="15.54296875" style="3422" customWidth="1"/>
    <col min="14597" max="14597" width="12.81640625" style="3422" customWidth="1"/>
    <col min="14598" max="14598" width="13.26953125" style="3422" customWidth="1"/>
    <col min="14599" max="14599" width="11.7265625" style="3422" customWidth="1"/>
    <col min="14600" max="14600" width="13.81640625" style="3422" customWidth="1"/>
    <col min="14601" max="14601" width="13.1796875" style="3422" customWidth="1"/>
    <col min="14602" max="14602" width="13.453125" style="3422" customWidth="1"/>
    <col min="14603" max="14603" width="13.7265625" style="3422" customWidth="1"/>
    <col min="14604" max="14604" width="12.54296875" style="3422" customWidth="1"/>
    <col min="14605" max="14609" width="9.54296875" style="3422" customWidth="1"/>
    <col min="14610" max="14611" width="9" style="3422" customWidth="1"/>
    <col min="14612" max="14848" width="9.1796875" style="3422"/>
    <col min="14849" max="14849" width="3.7265625" style="3422" customWidth="1"/>
    <col min="14850" max="14850" width="14.453125" style="3422" customWidth="1"/>
    <col min="14851" max="14851" width="3.7265625" style="3422" customWidth="1"/>
    <col min="14852" max="14852" width="15.54296875" style="3422" customWidth="1"/>
    <col min="14853" max="14853" width="12.81640625" style="3422" customWidth="1"/>
    <col min="14854" max="14854" width="13.26953125" style="3422" customWidth="1"/>
    <col min="14855" max="14855" width="11.7265625" style="3422" customWidth="1"/>
    <col min="14856" max="14856" width="13.81640625" style="3422" customWidth="1"/>
    <col min="14857" max="14857" width="13.1796875" style="3422" customWidth="1"/>
    <col min="14858" max="14858" width="13.453125" style="3422" customWidth="1"/>
    <col min="14859" max="14859" width="13.7265625" style="3422" customWidth="1"/>
    <col min="14860" max="14860" width="12.54296875" style="3422" customWidth="1"/>
    <col min="14861" max="14865" width="9.54296875" style="3422" customWidth="1"/>
    <col min="14866" max="14867" width="9" style="3422" customWidth="1"/>
    <col min="14868" max="15104" width="9.1796875" style="3422"/>
    <col min="15105" max="15105" width="3.7265625" style="3422" customWidth="1"/>
    <col min="15106" max="15106" width="14.453125" style="3422" customWidth="1"/>
    <col min="15107" max="15107" width="3.7265625" style="3422" customWidth="1"/>
    <col min="15108" max="15108" width="15.54296875" style="3422" customWidth="1"/>
    <col min="15109" max="15109" width="12.81640625" style="3422" customWidth="1"/>
    <col min="15110" max="15110" width="13.26953125" style="3422" customWidth="1"/>
    <col min="15111" max="15111" width="11.7265625" style="3422" customWidth="1"/>
    <col min="15112" max="15112" width="13.81640625" style="3422" customWidth="1"/>
    <col min="15113" max="15113" width="13.1796875" style="3422" customWidth="1"/>
    <col min="15114" max="15114" width="13.453125" style="3422" customWidth="1"/>
    <col min="15115" max="15115" width="13.7265625" style="3422" customWidth="1"/>
    <col min="15116" max="15116" width="12.54296875" style="3422" customWidth="1"/>
    <col min="15117" max="15121" width="9.54296875" style="3422" customWidth="1"/>
    <col min="15122" max="15123" width="9" style="3422" customWidth="1"/>
    <col min="15124" max="15360" width="9.1796875" style="3422"/>
    <col min="15361" max="15361" width="3.7265625" style="3422" customWidth="1"/>
    <col min="15362" max="15362" width="14.453125" style="3422" customWidth="1"/>
    <col min="15363" max="15363" width="3.7265625" style="3422" customWidth="1"/>
    <col min="15364" max="15364" width="15.54296875" style="3422" customWidth="1"/>
    <col min="15365" max="15365" width="12.81640625" style="3422" customWidth="1"/>
    <col min="15366" max="15366" width="13.26953125" style="3422" customWidth="1"/>
    <col min="15367" max="15367" width="11.7265625" style="3422" customWidth="1"/>
    <col min="15368" max="15368" width="13.81640625" style="3422" customWidth="1"/>
    <col min="15369" max="15369" width="13.1796875" style="3422" customWidth="1"/>
    <col min="15370" max="15370" width="13.453125" style="3422" customWidth="1"/>
    <col min="15371" max="15371" width="13.7265625" style="3422" customWidth="1"/>
    <col min="15372" max="15372" width="12.54296875" style="3422" customWidth="1"/>
    <col min="15373" max="15377" width="9.54296875" style="3422" customWidth="1"/>
    <col min="15378" max="15379" width="9" style="3422" customWidth="1"/>
    <col min="15380" max="15616" width="9.1796875" style="3422"/>
    <col min="15617" max="15617" width="3.7265625" style="3422" customWidth="1"/>
    <col min="15618" max="15618" width="14.453125" style="3422" customWidth="1"/>
    <col min="15619" max="15619" width="3.7265625" style="3422" customWidth="1"/>
    <col min="15620" max="15620" width="15.54296875" style="3422" customWidth="1"/>
    <col min="15621" max="15621" width="12.81640625" style="3422" customWidth="1"/>
    <col min="15622" max="15622" width="13.26953125" style="3422" customWidth="1"/>
    <col min="15623" max="15623" width="11.7265625" style="3422" customWidth="1"/>
    <col min="15624" max="15624" width="13.81640625" style="3422" customWidth="1"/>
    <col min="15625" max="15625" width="13.1796875" style="3422" customWidth="1"/>
    <col min="15626" max="15626" width="13.453125" style="3422" customWidth="1"/>
    <col min="15627" max="15627" width="13.7265625" style="3422" customWidth="1"/>
    <col min="15628" max="15628" width="12.54296875" style="3422" customWidth="1"/>
    <col min="15629" max="15633" width="9.54296875" style="3422" customWidth="1"/>
    <col min="15634" max="15635" width="9" style="3422" customWidth="1"/>
    <col min="15636" max="15872" width="9.1796875" style="3422"/>
    <col min="15873" max="15873" width="3.7265625" style="3422" customWidth="1"/>
    <col min="15874" max="15874" width="14.453125" style="3422" customWidth="1"/>
    <col min="15875" max="15875" width="3.7265625" style="3422" customWidth="1"/>
    <col min="15876" max="15876" width="15.54296875" style="3422" customWidth="1"/>
    <col min="15877" max="15877" width="12.81640625" style="3422" customWidth="1"/>
    <col min="15878" max="15878" width="13.26953125" style="3422" customWidth="1"/>
    <col min="15879" max="15879" width="11.7265625" style="3422" customWidth="1"/>
    <col min="15880" max="15880" width="13.81640625" style="3422" customWidth="1"/>
    <col min="15881" max="15881" width="13.1796875" style="3422" customWidth="1"/>
    <col min="15882" max="15882" width="13.453125" style="3422" customWidth="1"/>
    <col min="15883" max="15883" width="13.7265625" style="3422" customWidth="1"/>
    <col min="15884" max="15884" width="12.54296875" style="3422" customWidth="1"/>
    <col min="15885" max="15889" width="9.54296875" style="3422" customWidth="1"/>
    <col min="15890" max="15891" width="9" style="3422" customWidth="1"/>
    <col min="15892" max="16128" width="9.1796875" style="3422"/>
    <col min="16129" max="16129" width="3.7265625" style="3422" customWidth="1"/>
    <col min="16130" max="16130" width="14.453125" style="3422" customWidth="1"/>
    <col min="16131" max="16131" width="3.7265625" style="3422" customWidth="1"/>
    <col min="16132" max="16132" width="15.54296875" style="3422" customWidth="1"/>
    <col min="16133" max="16133" width="12.81640625" style="3422" customWidth="1"/>
    <col min="16134" max="16134" width="13.26953125" style="3422" customWidth="1"/>
    <col min="16135" max="16135" width="11.7265625" style="3422" customWidth="1"/>
    <col min="16136" max="16136" width="13.81640625" style="3422" customWidth="1"/>
    <col min="16137" max="16137" width="13.1796875" style="3422" customWidth="1"/>
    <col min="16138" max="16138" width="13.453125" style="3422" customWidth="1"/>
    <col min="16139" max="16139" width="13.7265625" style="3422" customWidth="1"/>
    <col min="16140" max="16140" width="12.54296875" style="3422" customWidth="1"/>
    <col min="16141" max="16145" width="9.54296875" style="3422" customWidth="1"/>
    <col min="16146" max="16147" width="9" style="3422" customWidth="1"/>
    <col min="16148" max="16384" width="9.1796875" style="3422"/>
  </cols>
  <sheetData>
    <row r="1" spans="1:21" x14ac:dyDescent="0.35">
      <c r="D1" s="3421"/>
      <c r="E1" s="3421"/>
      <c r="F1" s="3657"/>
      <c r="G1" s="3421"/>
      <c r="H1" s="3421"/>
      <c r="I1" s="3421"/>
      <c r="J1" s="3421"/>
      <c r="K1" s="3421"/>
      <c r="L1" s="3421"/>
      <c r="M1" s="3421"/>
      <c r="N1" s="3421"/>
      <c r="O1" s="3421"/>
      <c r="P1" s="3421"/>
      <c r="Q1" s="3421"/>
      <c r="R1" s="3421"/>
    </row>
    <row r="2" spans="1:21" ht="15" customHeight="1" x14ac:dyDescent="0.35">
      <c r="A2" s="3423">
        <v>1</v>
      </c>
      <c r="B2" s="3423" t="s">
        <v>0</v>
      </c>
      <c r="C2" s="3423">
        <v>67</v>
      </c>
      <c r="D2" s="5039" t="s">
        <v>1502</v>
      </c>
      <c r="E2" s="5040"/>
      <c r="F2" s="5040"/>
      <c r="G2" s="5040"/>
      <c r="H2" s="5040"/>
      <c r="I2" s="5040"/>
      <c r="J2" s="5040"/>
      <c r="K2" s="5040"/>
      <c r="L2" s="5040"/>
      <c r="M2" s="5040"/>
      <c r="N2" s="5040"/>
      <c r="O2" s="5040"/>
      <c r="P2" s="5040"/>
      <c r="Q2" s="5040"/>
      <c r="R2" s="5040"/>
      <c r="S2" s="5040"/>
      <c r="T2" s="5041"/>
      <c r="U2" s="3698"/>
    </row>
    <row r="3" spans="1:21" ht="15" customHeight="1" x14ac:dyDescent="0.35">
      <c r="A3" s="3423">
        <v>2</v>
      </c>
      <c r="B3" s="3423" t="s">
        <v>2</v>
      </c>
      <c r="C3" s="3423"/>
      <c r="D3" s="5039" t="s">
        <v>1391</v>
      </c>
      <c r="E3" s="5040"/>
      <c r="F3" s="5040"/>
      <c r="G3" s="5040"/>
      <c r="H3" s="5040"/>
      <c r="I3" s="5040"/>
      <c r="J3" s="5040"/>
      <c r="K3" s="5040"/>
      <c r="L3" s="5040"/>
      <c r="M3" s="5040"/>
      <c r="N3" s="5040"/>
      <c r="O3" s="5040"/>
      <c r="P3" s="5040"/>
      <c r="Q3" s="5040"/>
      <c r="R3" s="5040"/>
      <c r="S3" s="5040"/>
      <c r="T3" s="5041"/>
    </row>
    <row r="4" spans="1:21" ht="12.75" customHeight="1" x14ac:dyDescent="0.35">
      <c r="A4" s="3423">
        <v>3</v>
      </c>
      <c r="B4" s="3423" t="s">
        <v>4</v>
      </c>
      <c r="C4" s="3423"/>
      <c r="D4" s="5039" t="s">
        <v>1503</v>
      </c>
      <c r="E4" s="5040"/>
      <c r="F4" s="5040"/>
      <c r="G4" s="5040"/>
      <c r="H4" s="5040"/>
      <c r="I4" s="5040"/>
      <c r="J4" s="5040"/>
      <c r="K4" s="5040"/>
      <c r="L4" s="5040"/>
      <c r="M4" s="5040"/>
      <c r="N4" s="5040"/>
      <c r="O4" s="5040"/>
      <c r="P4" s="5040"/>
      <c r="Q4" s="5040"/>
      <c r="R4" s="5040"/>
      <c r="S4" s="5040"/>
      <c r="T4" s="5041"/>
    </row>
    <row r="5" spans="1:21" ht="13.5" customHeight="1" x14ac:dyDescent="0.35">
      <c r="A5" s="1879"/>
      <c r="B5" s="1879"/>
      <c r="C5" s="1879"/>
      <c r="D5" s="5042"/>
      <c r="E5" s="5042"/>
      <c r="F5" s="5042"/>
      <c r="G5" s="5042"/>
      <c r="H5" s="5042"/>
      <c r="I5" s="5042"/>
      <c r="J5" s="5042"/>
      <c r="K5" s="5042"/>
      <c r="L5" s="5042"/>
      <c r="M5" s="5042"/>
      <c r="N5" s="3742"/>
      <c r="O5" s="3742"/>
      <c r="P5" s="482"/>
      <c r="Q5" s="330"/>
      <c r="R5" s="330"/>
    </row>
    <row r="6" spans="1:21" x14ac:dyDescent="0.35">
      <c r="A6" s="3423">
        <v>4</v>
      </c>
      <c r="B6" s="1192" t="s">
        <v>6</v>
      </c>
      <c r="D6" s="312" t="s">
        <v>7</v>
      </c>
      <c r="E6" s="90" t="s">
        <v>1477</v>
      </c>
      <c r="F6" s="1337"/>
      <c r="G6" s="1337"/>
      <c r="H6" s="1337"/>
      <c r="I6" s="1337"/>
      <c r="J6" s="1337"/>
      <c r="K6" s="1337"/>
      <c r="L6" s="1337"/>
      <c r="M6" s="1337"/>
      <c r="N6" s="89"/>
      <c r="O6" s="2079"/>
      <c r="P6" s="2079"/>
      <c r="Q6" s="330"/>
      <c r="R6" s="330"/>
      <c r="S6" s="330"/>
    </row>
    <row r="7" spans="1:21" x14ac:dyDescent="0.35">
      <c r="A7" s="3666"/>
      <c r="B7" s="1420"/>
      <c r="C7" s="1420"/>
      <c r="D7" s="1270"/>
      <c r="E7" s="3699" t="s">
        <v>111</v>
      </c>
      <c r="F7" s="3699" t="s">
        <v>112</v>
      </c>
      <c r="G7" s="3699" t="s">
        <v>113</v>
      </c>
      <c r="H7" s="3699" t="s">
        <v>114</v>
      </c>
      <c r="I7" s="3699" t="s">
        <v>115</v>
      </c>
      <c r="J7" s="3699" t="s">
        <v>116</v>
      </c>
      <c r="K7" s="3699" t="s">
        <v>117</v>
      </c>
      <c r="L7" s="3699" t="s">
        <v>118</v>
      </c>
      <c r="M7" s="3699" t="s">
        <v>119</v>
      </c>
      <c r="N7" s="4072" t="s">
        <v>120</v>
      </c>
      <c r="O7" s="4072" t="s">
        <v>121</v>
      </c>
      <c r="P7" s="4072" t="s">
        <v>122</v>
      </c>
      <c r="Q7" s="4072" t="s">
        <v>123</v>
      </c>
      <c r="R7" s="4072" t="s">
        <v>124</v>
      </c>
      <c r="S7" s="4072" t="s">
        <v>125</v>
      </c>
      <c r="T7" s="4072" t="s">
        <v>126</v>
      </c>
      <c r="U7" s="4447" t="s">
        <v>302</v>
      </c>
    </row>
    <row r="8" spans="1:21" ht="4.9000000000000004" customHeight="1" x14ac:dyDescent="0.35">
      <c r="A8" s="3666"/>
      <c r="B8" s="1420"/>
      <c r="C8" s="1420"/>
      <c r="D8" s="2151"/>
      <c r="E8" s="4440"/>
      <c r="F8" s="4440"/>
      <c r="G8" s="4440"/>
      <c r="H8" s="4440"/>
      <c r="I8" s="4440"/>
      <c r="J8" s="4440"/>
      <c r="K8" s="4440"/>
      <c r="L8" s="4440"/>
      <c r="M8" s="4440"/>
      <c r="N8" s="4440"/>
      <c r="O8" s="4440"/>
      <c r="P8" s="4440"/>
      <c r="Q8" s="4438"/>
      <c r="R8" s="4438"/>
      <c r="S8" s="4441"/>
      <c r="T8" s="4441"/>
      <c r="U8" s="4448"/>
    </row>
    <row r="9" spans="1:21" x14ac:dyDescent="0.35">
      <c r="A9" s="3666"/>
      <c r="B9" s="1420"/>
      <c r="C9" s="1420"/>
      <c r="D9" s="1270" t="s">
        <v>402</v>
      </c>
      <c r="E9" s="4442">
        <v>8238</v>
      </c>
      <c r="F9" s="4442">
        <v>8626</v>
      </c>
      <c r="G9" s="4442">
        <v>10312</v>
      </c>
      <c r="H9" s="4442">
        <v>9117</v>
      </c>
      <c r="I9" s="4442">
        <v>9087</v>
      </c>
      <c r="J9" s="4442">
        <v>9456</v>
      </c>
      <c r="K9" s="4442">
        <v>9047</v>
      </c>
      <c r="L9" s="4442">
        <v>9211</v>
      </c>
      <c r="M9" s="4442">
        <v>9001</v>
      </c>
      <c r="N9" s="4442">
        <v>9288</v>
      </c>
      <c r="O9" s="4442">
        <v>9616</v>
      </c>
      <c r="P9" s="4442">
        <v>9224</v>
      </c>
      <c r="Q9" s="4442">
        <v>8797</v>
      </c>
      <c r="R9" s="4442">
        <v>8050</v>
      </c>
      <c r="S9" s="4442">
        <v>8094</v>
      </c>
      <c r="T9" s="4442">
        <v>8731</v>
      </c>
      <c r="U9" s="4449">
        <v>8708</v>
      </c>
    </row>
    <row r="10" spans="1:21" x14ac:dyDescent="0.35">
      <c r="A10" s="3666"/>
      <c r="B10" s="1420"/>
      <c r="C10" s="1420"/>
      <c r="D10" s="1270" t="s">
        <v>1401</v>
      </c>
      <c r="E10" s="4442">
        <v>4734</v>
      </c>
      <c r="F10" s="4442">
        <v>4972</v>
      </c>
      <c r="G10" s="4442">
        <v>4559</v>
      </c>
      <c r="H10" s="4442">
        <v>4386</v>
      </c>
      <c r="I10" s="4442">
        <v>4396</v>
      </c>
      <c r="J10" s="4442">
        <v>4523</v>
      </c>
      <c r="K10" s="4442">
        <v>4581</v>
      </c>
      <c r="L10" s="4442">
        <v>4737</v>
      </c>
      <c r="M10" s="4442">
        <v>4785</v>
      </c>
      <c r="N10" s="4442">
        <v>5098</v>
      </c>
      <c r="O10" s="4442">
        <v>4584</v>
      </c>
      <c r="P10" s="4442">
        <v>4094</v>
      </c>
      <c r="Q10" s="4442">
        <v>3928</v>
      </c>
      <c r="R10" s="4442">
        <v>3488</v>
      </c>
      <c r="S10" s="4442">
        <v>3284</v>
      </c>
      <c r="T10" s="4442">
        <v>3457</v>
      </c>
      <c r="U10" s="4449">
        <v>3746</v>
      </c>
    </row>
    <row r="11" spans="1:21" x14ac:dyDescent="0.35">
      <c r="A11" s="3666"/>
      <c r="B11" s="1420"/>
      <c r="C11" s="1420"/>
      <c r="D11" s="1270" t="s">
        <v>524</v>
      </c>
      <c r="E11" s="4442">
        <v>16402</v>
      </c>
      <c r="F11" s="4442">
        <v>16333</v>
      </c>
      <c r="G11" s="4442">
        <v>15676</v>
      </c>
      <c r="H11" s="4442">
        <v>15124</v>
      </c>
      <c r="I11" s="4442">
        <v>15398</v>
      </c>
      <c r="J11" s="4442">
        <v>18176</v>
      </c>
      <c r="K11" s="4442">
        <v>15645</v>
      </c>
      <c r="L11" s="4442">
        <v>13664</v>
      </c>
      <c r="M11" s="4442">
        <v>11512</v>
      </c>
      <c r="N11" s="4442">
        <v>11113</v>
      </c>
      <c r="O11" s="4442">
        <v>10264</v>
      </c>
      <c r="P11" s="4442">
        <v>9902</v>
      </c>
      <c r="Q11" s="4442">
        <v>9510</v>
      </c>
      <c r="R11" s="4442">
        <v>9566</v>
      </c>
      <c r="S11" s="4442">
        <v>10116</v>
      </c>
      <c r="T11" s="4442">
        <v>10752</v>
      </c>
      <c r="U11" s="4449">
        <v>10810</v>
      </c>
    </row>
    <row r="12" spans="1:21" x14ac:dyDescent="0.35">
      <c r="A12" s="3666"/>
      <c r="B12" s="1420"/>
      <c r="C12" s="1420"/>
      <c r="D12" s="1270" t="s">
        <v>1402</v>
      </c>
      <c r="E12" s="4442">
        <v>11378</v>
      </c>
      <c r="F12" s="4442">
        <v>12122</v>
      </c>
      <c r="G12" s="4442">
        <v>11932</v>
      </c>
      <c r="H12" s="4442">
        <v>11649</v>
      </c>
      <c r="I12" s="4442">
        <v>11355</v>
      </c>
      <c r="J12" s="4442">
        <v>13279</v>
      </c>
      <c r="K12" s="4442">
        <v>13269</v>
      </c>
      <c r="L12" s="4442">
        <v>12480</v>
      </c>
      <c r="M12" s="4442">
        <v>11034</v>
      </c>
      <c r="N12" s="4442">
        <v>10964</v>
      </c>
      <c r="O12" s="4442">
        <v>9889</v>
      </c>
      <c r="P12" s="4442">
        <v>9079</v>
      </c>
      <c r="Q12" s="4442">
        <v>8947</v>
      </c>
      <c r="R12" s="4442">
        <v>8484</v>
      </c>
      <c r="S12" s="4442">
        <v>8759</v>
      </c>
      <c r="T12" s="4442">
        <v>9308</v>
      </c>
      <c r="U12" s="4449">
        <v>9809</v>
      </c>
    </row>
    <row r="13" spans="1:21" x14ac:dyDescent="0.35">
      <c r="A13" s="3666"/>
      <c r="B13" s="1420"/>
      <c r="C13" s="1420"/>
      <c r="D13" s="1270" t="s">
        <v>409</v>
      </c>
      <c r="E13" s="4442">
        <v>4491</v>
      </c>
      <c r="F13" s="4442">
        <v>5070</v>
      </c>
      <c r="G13" s="4442">
        <v>4671</v>
      </c>
      <c r="H13" s="4442">
        <v>4780</v>
      </c>
      <c r="I13" s="4442">
        <v>4528</v>
      </c>
      <c r="J13" s="4442">
        <v>4675</v>
      </c>
      <c r="K13" s="4450">
        <v>4905</v>
      </c>
      <c r="L13" s="4442">
        <v>4799</v>
      </c>
      <c r="M13" s="4442">
        <v>4836</v>
      </c>
      <c r="N13" s="4442">
        <v>4866</v>
      </c>
      <c r="O13" s="4442">
        <v>4423</v>
      </c>
      <c r="P13" s="4442">
        <v>4312</v>
      </c>
      <c r="Q13" s="4442">
        <v>4369</v>
      </c>
      <c r="R13" s="4442">
        <v>3828</v>
      </c>
      <c r="S13" s="4442">
        <v>3862</v>
      </c>
      <c r="T13" s="4442">
        <v>4060</v>
      </c>
      <c r="U13" s="4449">
        <v>3990</v>
      </c>
    </row>
    <row r="14" spans="1:21" x14ac:dyDescent="0.35">
      <c r="A14" s="3666"/>
      <c r="B14" s="1420"/>
      <c r="C14" s="1420"/>
      <c r="D14" s="1270" t="s">
        <v>1403</v>
      </c>
      <c r="E14" s="4442">
        <v>4375</v>
      </c>
      <c r="F14" s="4442">
        <v>4674</v>
      </c>
      <c r="G14" s="4442">
        <v>4756</v>
      </c>
      <c r="H14" s="4442">
        <v>4631</v>
      </c>
      <c r="I14" s="4442">
        <v>4169</v>
      </c>
      <c r="J14" s="4442">
        <v>4695</v>
      </c>
      <c r="K14" s="4442">
        <v>4603</v>
      </c>
      <c r="L14" s="4442">
        <v>4345</v>
      </c>
      <c r="M14" s="4442">
        <v>3955</v>
      </c>
      <c r="N14" s="4442">
        <v>4065</v>
      </c>
      <c r="O14" s="4442">
        <v>3797</v>
      </c>
      <c r="P14" s="4442">
        <v>3474</v>
      </c>
      <c r="Q14" s="4442">
        <v>3331</v>
      </c>
      <c r="R14" s="4442">
        <v>3216</v>
      </c>
      <c r="S14" s="4442">
        <v>3198</v>
      </c>
      <c r="T14" s="4442">
        <v>3470</v>
      </c>
      <c r="U14" s="4449">
        <v>3513</v>
      </c>
    </row>
    <row r="15" spans="1:21" x14ac:dyDescent="0.35">
      <c r="A15" s="3666"/>
      <c r="B15" s="1420"/>
      <c r="C15" s="1420"/>
      <c r="D15" s="1270" t="s">
        <v>406</v>
      </c>
      <c r="E15" s="4442">
        <v>4519</v>
      </c>
      <c r="F15" s="4442">
        <v>4610</v>
      </c>
      <c r="G15" s="4442">
        <v>4546</v>
      </c>
      <c r="H15" s="4442">
        <v>4588</v>
      </c>
      <c r="I15" s="4442">
        <v>4513</v>
      </c>
      <c r="J15" s="4442">
        <v>5021</v>
      </c>
      <c r="K15" s="4442">
        <v>4759</v>
      </c>
      <c r="L15" s="4442">
        <v>4649</v>
      </c>
      <c r="M15" s="4442">
        <v>4885</v>
      </c>
      <c r="N15" s="4442">
        <v>5228</v>
      </c>
      <c r="O15" s="4442">
        <v>4616</v>
      </c>
      <c r="P15" s="4442">
        <v>4585</v>
      </c>
      <c r="Q15" s="4442">
        <v>4164</v>
      </c>
      <c r="R15" s="4442">
        <v>4326</v>
      </c>
      <c r="S15" s="4442">
        <v>4182</v>
      </c>
      <c r="T15" s="4442">
        <v>4021</v>
      </c>
      <c r="U15" s="4449">
        <v>3824</v>
      </c>
    </row>
    <row r="16" spans="1:21" x14ac:dyDescent="0.35">
      <c r="A16" s="3666"/>
      <c r="B16" s="1420"/>
      <c r="C16" s="1420"/>
      <c r="D16" s="1270" t="s">
        <v>1404</v>
      </c>
      <c r="E16" s="4442">
        <v>2191</v>
      </c>
      <c r="F16" s="4442">
        <v>2212</v>
      </c>
      <c r="G16" s="4442">
        <v>1993</v>
      </c>
      <c r="H16" s="4442">
        <v>1957</v>
      </c>
      <c r="I16" s="4442">
        <v>1749</v>
      </c>
      <c r="J16" s="4442">
        <v>1917</v>
      </c>
      <c r="K16" s="4442">
        <v>1845</v>
      </c>
      <c r="L16" s="4442">
        <v>1857</v>
      </c>
      <c r="M16" s="4442">
        <v>1722</v>
      </c>
      <c r="N16" s="4442">
        <v>1826</v>
      </c>
      <c r="O16" s="4442">
        <v>1731</v>
      </c>
      <c r="P16" s="4442">
        <v>1578</v>
      </c>
      <c r="Q16" s="4442">
        <v>1719</v>
      </c>
      <c r="R16" s="4442">
        <v>1587</v>
      </c>
      <c r="S16" s="4442">
        <v>1538</v>
      </c>
      <c r="T16" s="4442">
        <v>1578</v>
      </c>
      <c r="U16" s="4449">
        <v>1590</v>
      </c>
    </row>
    <row r="17" spans="1:21" x14ac:dyDescent="0.35">
      <c r="A17" s="3666"/>
      <c r="B17" s="1420"/>
      <c r="C17" s="1420"/>
      <c r="D17" s="1270" t="s">
        <v>401</v>
      </c>
      <c r="E17" s="4442">
        <v>9751</v>
      </c>
      <c r="F17" s="4442">
        <v>10498</v>
      </c>
      <c r="G17" s="4442">
        <v>9631</v>
      </c>
      <c r="H17" s="4442">
        <v>8969</v>
      </c>
      <c r="I17" s="4442">
        <v>8623</v>
      </c>
      <c r="J17" s="4442">
        <v>8772</v>
      </c>
      <c r="K17" s="4442">
        <v>9678</v>
      </c>
      <c r="L17" s="4442">
        <v>9179</v>
      </c>
      <c r="M17" s="4442">
        <v>8809</v>
      </c>
      <c r="N17" s="4442">
        <v>8440</v>
      </c>
      <c r="O17" s="4442">
        <v>7760</v>
      </c>
      <c r="P17" s="4442">
        <v>7369</v>
      </c>
      <c r="Q17" s="4442">
        <v>7130</v>
      </c>
      <c r="R17" s="4442">
        <v>7115</v>
      </c>
      <c r="S17" s="4442">
        <v>7075</v>
      </c>
      <c r="T17" s="4442">
        <v>7043</v>
      </c>
      <c r="U17" s="4449">
        <v>7303</v>
      </c>
    </row>
    <row r="18" spans="1:21" x14ac:dyDescent="0.35">
      <c r="A18" s="3666"/>
      <c r="B18" s="1420"/>
      <c r="C18" s="1420"/>
      <c r="D18" s="155" t="s">
        <v>1478</v>
      </c>
      <c r="E18" s="4443">
        <v>66079</v>
      </c>
      <c r="F18" s="4443">
        <v>69117</v>
      </c>
      <c r="G18" s="4443">
        <v>68076</v>
      </c>
      <c r="H18" s="4443">
        <v>65201</v>
      </c>
      <c r="I18" s="4443">
        <v>63818</v>
      </c>
      <c r="J18" s="4443">
        <v>69197</v>
      </c>
      <c r="K18" s="4443">
        <v>68332</v>
      </c>
      <c r="L18" s="4443">
        <v>64921</v>
      </c>
      <c r="M18" s="4443">
        <v>60539</v>
      </c>
      <c r="N18" s="4443">
        <v>60888</v>
      </c>
      <c r="O18" s="4443">
        <v>56680</v>
      </c>
      <c r="P18" s="4443">
        <v>53617</v>
      </c>
      <c r="Q18" s="4443">
        <v>51895</v>
      </c>
      <c r="R18" s="4443">
        <v>49660</v>
      </c>
      <c r="S18" s="4443">
        <v>50108</v>
      </c>
      <c r="T18" s="1701">
        <v>52420</v>
      </c>
      <c r="U18" s="4451">
        <v>53293</v>
      </c>
    </row>
    <row r="19" spans="1:21" hidden="1" x14ac:dyDescent="0.35">
      <c r="A19" s="3666"/>
      <c r="B19" s="1420"/>
      <c r="C19" s="1420"/>
      <c r="D19" s="416"/>
      <c r="E19" s="1701"/>
      <c r="F19" s="1701"/>
      <c r="G19" s="1701"/>
      <c r="H19" s="1701"/>
      <c r="I19" s="1701"/>
      <c r="J19" s="1701"/>
      <c r="K19" s="1701"/>
      <c r="L19" s="1701"/>
      <c r="M19" s="1701"/>
      <c r="N19" s="3699"/>
      <c r="O19" s="1622"/>
      <c r="P19" s="1622"/>
      <c r="Q19" s="1622"/>
      <c r="R19" s="1622"/>
      <c r="S19" s="1622"/>
      <c r="T19" s="4418"/>
      <c r="U19" s="874"/>
    </row>
    <row r="20" spans="1:21" hidden="1" x14ac:dyDescent="0.35">
      <c r="A20" s="3666"/>
      <c r="B20" s="1420"/>
      <c r="C20" s="1420"/>
      <c r="D20" s="90" t="s">
        <v>35</v>
      </c>
      <c r="E20" s="5043" t="s">
        <v>1479</v>
      </c>
      <c r="F20" s="5043"/>
      <c r="G20" s="5043"/>
      <c r="H20" s="5043"/>
      <c r="I20" s="5043"/>
      <c r="J20" s="5043"/>
      <c r="K20" s="5043"/>
      <c r="L20" s="5043"/>
      <c r="M20" s="5043"/>
      <c r="N20" s="4452"/>
      <c r="O20" s="1622"/>
      <c r="P20" s="1622"/>
      <c r="Q20" s="1622"/>
      <c r="R20" s="1622"/>
      <c r="S20" s="1622"/>
      <c r="T20" s="4418"/>
      <c r="U20" s="874"/>
    </row>
    <row r="21" spans="1:21" hidden="1" x14ac:dyDescent="0.35">
      <c r="A21" s="3666"/>
      <c r="B21" s="1420"/>
      <c r="C21" s="1420"/>
      <c r="D21" s="3708"/>
      <c r="E21" s="1275" t="s">
        <v>111</v>
      </c>
      <c r="F21" s="1275" t="s">
        <v>112</v>
      </c>
      <c r="G21" s="1275" t="s">
        <v>113</v>
      </c>
      <c r="H21" s="1275" t="s">
        <v>114</v>
      </c>
      <c r="I21" s="1275" t="s">
        <v>115</v>
      </c>
      <c r="J21" s="1275" t="s">
        <v>116</v>
      </c>
      <c r="K21" s="1275" t="s">
        <v>117</v>
      </c>
      <c r="L21" s="1275" t="s">
        <v>294</v>
      </c>
      <c r="M21" s="1275" t="s">
        <v>119</v>
      </c>
      <c r="N21" s="1275" t="s">
        <v>120</v>
      </c>
      <c r="O21" s="1275" t="s">
        <v>121</v>
      </c>
      <c r="P21" s="1275" t="s">
        <v>122</v>
      </c>
      <c r="Q21" s="1275" t="s">
        <v>123</v>
      </c>
      <c r="R21" s="1275" t="s">
        <v>124</v>
      </c>
      <c r="S21" s="1275" t="s">
        <v>125</v>
      </c>
      <c r="T21" s="4418"/>
      <c r="U21" s="874"/>
    </row>
    <row r="22" spans="1:21" hidden="1" x14ac:dyDescent="0.35">
      <c r="A22" s="3666"/>
      <c r="B22" s="1420"/>
      <c r="C22" s="1420"/>
      <c r="D22" s="1270" t="s">
        <v>402</v>
      </c>
      <c r="E22" s="1712">
        <v>119.2</v>
      </c>
      <c r="F22" s="1712">
        <v>125.1</v>
      </c>
      <c r="G22" s="1712">
        <v>149.6</v>
      </c>
      <c r="H22" s="3488">
        <v>140.53696589936487</v>
      </c>
      <c r="I22" s="3488">
        <v>140.15557432089582</v>
      </c>
      <c r="J22" s="3488">
        <v>145.91531539266504</v>
      </c>
      <c r="K22" s="3488">
        <v>139.65280640654649</v>
      </c>
      <c r="L22" s="3488">
        <v>144.8329501449426</v>
      </c>
      <c r="M22" s="3488">
        <v>142.68147870236899</v>
      </c>
      <c r="N22" s="3488">
        <v>147.74346693412164</v>
      </c>
      <c r="O22" s="3488">
        <v>152.79310256767116</v>
      </c>
      <c r="P22" s="3488">
        <v>142.32071151437199</v>
      </c>
      <c r="Q22" s="2089">
        <v>135.61955835725382</v>
      </c>
      <c r="R22" s="2089">
        <f>(R9/6493176)*100000</f>
        <v>123.97630989826858</v>
      </c>
      <c r="S22" s="2089">
        <f>(S9/6501008)*100000</f>
        <v>124.50376926162836</v>
      </c>
      <c r="T22" s="4418"/>
      <c r="U22" s="874"/>
    </row>
    <row r="23" spans="1:21" hidden="1" x14ac:dyDescent="0.35">
      <c r="A23" s="3666"/>
      <c r="B23" s="1420"/>
      <c r="C23" s="1420"/>
      <c r="D23" s="1270" t="s">
        <v>1401</v>
      </c>
      <c r="E23" s="1712">
        <v>159.5</v>
      </c>
      <c r="F23" s="1712">
        <v>169.4</v>
      </c>
      <c r="G23" s="1712">
        <v>154.30000000000001</v>
      </c>
      <c r="H23" s="3488">
        <v>163.48172547530666</v>
      </c>
      <c r="I23" s="3488">
        <v>163.1587073432097</v>
      </c>
      <c r="J23" s="3488">
        <v>167.08694134385209</v>
      </c>
      <c r="K23" s="3488">
        <v>168.3701295806199</v>
      </c>
      <c r="L23" s="3488">
        <v>176.84543453096225</v>
      </c>
      <c r="M23" s="3488">
        <v>179.05248747207577</v>
      </c>
      <c r="N23" s="3488">
        <v>189.68544390059256</v>
      </c>
      <c r="O23" s="3488">
        <v>172.72489033258432</v>
      </c>
      <c r="P23" s="3488">
        <v>145.87056963926938</v>
      </c>
      <c r="Q23" s="2089">
        <v>138.93058617038028</v>
      </c>
      <c r="R23" s="2089">
        <f>(R10/2849339)*100000</f>
        <v>122.41435645249652</v>
      </c>
      <c r="S23" s="2089">
        <f>(S10/2872759)*100000</f>
        <v>114.31519316448056</v>
      </c>
      <c r="T23" s="4418"/>
      <c r="U23" s="874"/>
    </row>
    <row r="24" spans="1:21" hidden="1" x14ac:dyDescent="0.35">
      <c r="A24" s="3666"/>
      <c r="B24" s="1420"/>
      <c r="C24" s="1420"/>
      <c r="D24" s="1270" t="s">
        <v>524</v>
      </c>
      <c r="E24" s="1712">
        <v>180.4</v>
      </c>
      <c r="F24" s="1712">
        <v>178</v>
      </c>
      <c r="G24" s="1712">
        <v>168</v>
      </c>
      <c r="H24" s="3488">
        <v>139.52535846115083</v>
      </c>
      <c r="I24" s="3488">
        <v>138.56959706491494</v>
      </c>
      <c r="J24" s="3488">
        <v>159.51935057768449</v>
      </c>
      <c r="K24" s="3488">
        <v>133.8843621356497</v>
      </c>
      <c r="L24" s="3488">
        <v>116.68302429119576</v>
      </c>
      <c r="M24" s="3488">
        <v>100.97337387555973</v>
      </c>
      <c r="N24" s="3488">
        <v>97.361147980753685</v>
      </c>
      <c r="O24" s="3488">
        <v>85.097256290721219</v>
      </c>
      <c r="P24" s="3488">
        <v>74.507109421560727</v>
      </c>
      <c r="Q24" s="2089">
        <v>69.728606235057597</v>
      </c>
      <c r="R24" s="2089">
        <f>(R11/13999402)*100000</f>
        <v>68.331490159365373</v>
      </c>
      <c r="S24" s="2089">
        <f>(S11/14373250)*100000</f>
        <v>70.380742003374323</v>
      </c>
      <c r="T24" s="4418"/>
      <c r="U24" s="874"/>
    </row>
    <row r="25" spans="1:21" hidden="1" x14ac:dyDescent="0.35">
      <c r="A25" s="3666"/>
      <c r="B25" s="1420"/>
      <c r="C25" s="1420"/>
      <c r="D25" s="1270" t="s">
        <v>1402</v>
      </c>
      <c r="E25" s="1712">
        <v>116.8</v>
      </c>
      <c r="F25" s="1712">
        <v>123.9</v>
      </c>
      <c r="G25" s="1712">
        <v>121.2</v>
      </c>
      <c r="H25" s="3488">
        <v>117.11260136120254</v>
      </c>
      <c r="I25" s="3488">
        <v>113.25220916517823</v>
      </c>
      <c r="J25" s="3488">
        <v>131.34099483552606</v>
      </c>
      <c r="K25" s="3488">
        <v>130.100087280358</v>
      </c>
      <c r="L25" s="3488">
        <v>124.2955872690403</v>
      </c>
      <c r="M25" s="3488">
        <v>118.25918603875978</v>
      </c>
      <c r="N25" s="3488">
        <v>118.20140994360055</v>
      </c>
      <c r="O25" s="3488">
        <v>111.97616884706908</v>
      </c>
      <c r="P25" s="3488">
        <v>84.679895449036692</v>
      </c>
      <c r="Q25" s="2089">
        <v>82.501490260105598</v>
      </c>
      <c r="R25" s="2089">
        <f>(R12/10974209)*100000</f>
        <v>77.308533125257583</v>
      </c>
      <c r="S25" s="2089">
        <f>(S12/11109313)*100000</f>
        <v>78.843759285565184</v>
      </c>
      <c r="T25" s="4418"/>
      <c r="U25" s="874"/>
    </row>
    <row r="26" spans="1:21" hidden="1" x14ac:dyDescent="0.35">
      <c r="A26" s="3666"/>
      <c r="B26" s="1420"/>
      <c r="C26" s="1420"/>
      <c r="D26" s="1270" t="s">
        <v>409</v>
      </c>
      <c r="E26" s="1712">
        <v>84.2</v>
      </c>
      <c r="F26" s="1712">
        <v>95.5</v>
      </c>
      <c r="G26" s="1712">
        <v>87.4</v>
      </c>
      <c r="H26" s="3488">
        <v>92.367569965482033</v>
      </c>
      <c r="I26" s="3488">
        <v>86.769986068435443</v>
      </c>
      <c r="J26" s="3488">
        <v>88.811718667052915</v>
      </c>
      <c r="K26" s="3488">
        <v>92.346895260929529</v>
      </c>
      <c r="L26" s="3488">
        <v>91.087418136711506</v>
      </c>
      <c r="M26" s="3488">
        <v>105.05821936222362</v>
      </c>
      <c r="N26" s="3488">
        <v>118.289256354681</v>
      </c>
      <c r="O26" s="3488">
        <v>116.2328611888373</v>
      </c>
      <c r="P26" s="3488">
        <v>77.155671156429392</v>
      </c>
      <c r="Q26" s="2089">
        <v>77.260005387755342</v>
      </c>
      <c r="R26" s="2089">
        <f>(R13/5724477)*100000</f>
        <v>66.870737711060769</v>
      </c>
      <c r="S26" s="2089">
        <f>(S13/5797008)*100000</f>
        <v>66.620573923651648</v>
      </c>
      <c r="T26" s="4418"/>
      <c r="U26" s="874"/>
    </row>
    <row r="27" spans="1:21" hidden="1" x14ac:dyDescent="0.35">
      <c r="A27" s="3666"/>
      <c r="B27" s="1420"/>
      <c r="C27" s="1420"/>
      <c r="D27" s="1270" t="s">
        <v>1403</v>
      </c>
      <c r="E27" s="1712">
        <v>125.8</v>
      </c>
      <c r="F27" s="1712">
        <v>135.6</v>
      </c>
      <c r="G27" s="1712">
        <v>137.1</v>
      </c>
      <c r="H27" s="3488">
        <v>124.65286891644881</v>
      </c>
      <c r="I27" s="3488">
        <v>110.44530598765617</v>
      </c>
      <c r="J27" s="3488">
        <v>122.39772096870665</v>
      </c>
      <c r="K27" s="3488">
        <v>118.07445611385074</v>
      </c>
      <c r="L27" s="3488">
        <v>112.10800759152725</v>
      </c>
      <c r="M27" s="3488">
        <v>101.59697948337819</v>
      </c>
      <c r="N27" s="3488">
        <v>104.19662412653368</v>
      </c>
      <c r="O27" s="3488">
        <v>94.916549613881941</v>
      </c>
      <c r="P27" s="3488">
        <v>82.002913052295312</v>
      </c>
      <c r="Q27" s="2089">
        <v>77.281583357616427</v>
      </c>
      <c r="R27" s="2089">
        <f>(R14/4386153)*100000</f>
        <v>73.321655674118063</v>
      </c>
      <c r="S27" s="2089">
        <f>(S14/4463733)*100000</f>
        <v>71.644070109032057</v>
      </c>
      <c r="T27" s="4418"/>
      <c r="U27" s="874"/>
    </row>
    <row r="28" spans="1:21" hidden="1" x14ac:dyDescent="0.35">
      <c r="A28" s="3666"/>
      <c r="B28" s="1420"/>
      <c r="C28" s="1420"/>
      <c r="D28" s="1270" t="s">
        <v>406</v>
      </c>
      <c r="E28" s="1712">
        <v>135.30000000000001</v>
      </c>
      <c r="F28" s="1712">
        <v>137.4</v>
      </c>
      <c r="G28" s="1712">
        <v>136.6</v>
      </c>
      <c r="H28" s="3488">
        <v>141.41865381252592</v>
      </c>
      <c r="I28" s="3488">
        <v>137.0629743322807</v>
      </c>
      <c r="J28" s="3488">
        <v>150.20530978300633</v>
      </c>
      <c r="K28" s="3488">
        <v>140.2031808355371</v>
      </c>
      <c r="L28" s="3488">
        <v>136.50541886240899</v>
      </c>
      <c r="M28" s="3488">
        <v>141.96659199326331</v>
      </c>
      <c r="N28" s="3488">
        <v>155.12784934733449</v>
      </c>
      <c r="O28" s="3488">
        <v>134.0581514122602</v>
      </c>
      <c r="P28" s="3488">
        <v>124.63927604237307</v>
      </c>
      <c r="Q28" s="2089">
        <v>111.29998356944262</v>
      </c>
      <c r="R28" s="2089">
        <f>(R15/3806079)*100000</f>
        <v>113.6602787277931</v>
      </c>
      <c r="S28" s="2089">
        <f>(S15/3873298)*100000</f>
        <v>107.97000385717804</v>
      </c>
      <c r="T28" s="4418"/>
      <c r="U28" s="874"/>
    </row>
    <row r="29" spans="1:21" ht="14.25" hidden="1" customHeight="1" x14ac:dyDescent="0.35">
      <c r="B29" s="3672"/>
      <c r="C29" s="3671"/>
      <c r="D29" s="1270" t="s">
        <v>1404</v>
      </c>
      <c r="E29" s="1712">
        <v>205.4</v>
      </c>
      <c r="F29" s="1712">
        <v>206.4</v>
      </c>
      <c r="G29" s="1712">
        <v>184.8</v>
      </c>
      <c r="H29" s="3488">
        <v>182.3188661903279</v>
      </c>
      <c r="I29" s="3488">
        <v>161.27684735246601</v>
      </c>
      <c r="J29" s="3488">
        <v>174.91145872103718</v>
      </c>
      <c r="K29" s="3488">
        <v>166.53305770277046</v>
      </c>
      <c r="L29" s="3488">
        <v>166.75968763057756</v>
      </c>
      <c r="M29" s="3488">
        <v>153.42117432948615</v>
      </c>
      <c r="N29" s="3488">
        <v>160.92359380575562</v>
      </c>
      <c r="O29" s="3488">
        <v>151.28822013824669</v>
      </c>
      <c r="P29" s="3488">
        <v>134.4910624986002</v>
      </c>
      <c r="Q29" s="4444">
        <v>144.73441778733297</v>
      </c>
      <c r="R29" s="2089">
        <f>(R16/1202571)*100000</f>
        <v>131.96726014513905</v>
      </c>
      <c r="S29" s="4444">
        <f>(S16/1217917)*100000</f>
        <v>126.28118336471205</v>
      </c>
      <c r="T29" s="3652"/>
      <c r="U29" s="874"/>
    </row>
    <row r="30" spans="1:21" hidden="1" x14ac:dyDescent="0.35">
      <c r="B30" s="3672"/>
      <c r="C30" s="3671"/>
      <c r="D30" s="1270" t="s">
        <v>401</v>
      </c>
      <c r="E30" s="1712">
        <v>216.7</v>
      </c>
      <c r="F30" s="1712">
        <v>229.9</v>
      </c>
      <c r="G30" s="1712">
        <v>207.5</v>
      </c>
      <c r="H30" s="3488">
        <v>172.64213467888507</v>
      </c>
      <c r="I30" s="3488">
        <v>162.58261702383953</v>
      </c>
      <c r="J30" s="3488">
        <v>161.97972949202241</v>
      </c>
      <c r="K30" s="3488">
        <v>175.01204697000284</v>
      </c>
      <c r="L30" s="3488">
        <v>164.66273036666144</v>
      </c>
      <c r="M30" s="3488">
        <v>158.6973412309429</v>
      </c>
      <c r="N30" s="3488">
        <v>148.98128973702845</v>
      </c>
      <c r="O30" s="3488">
        <v>134.00603493642961</v>
      </c>
      <c r="P30" s="3488">
        <v>119.93917448679049</v>
      </c>
      <c r="Q30" s="4444">
        <v>113.64138755842464</v>
      </c>
      <c r="R30" s="2089">
        <f>(R17/6274123)*100000</f>
        <v>113.40230339762228</v>
      </c>
      <c r="S30" s="4444">
        <f>(S17/6545042)*100000</f>
        <v>108.09709089720128</v>
      </c>
      <c r="T30" s="3652"/>
      <c r="U30" s="3413"/>
    </row>
    <row r="31" spans="1:21" hidden="1" x14ac:dyDescent="0.35">
      <c r="B31" s="3672"/>
      <c r="C31" s="3671"/>
      <c r="D31" s="155" t="s">
        <v>1480</v>
      </c>
      <c r="E31" s="4453">
        <v>142.5</v>
      </c>
      <c r="F31" s="4453">
        <v>148.4</v>
      </c>
      <c r="G31" s="4453">
        <v>145.19999999999999</v>
      </c>
      <c r="H31" s="4454">
        <v>134.82571521464288</v>
      </c>
      <c r="I31" s="4454">
        <v>130.26683024641071</v>
      </c>
      <c r="J31" s="4454">
        <v>142.03350564921692</v>
      </c>
      <c r="K31" s="4454">
        <v>135.77990292035815</v>
      </c>
      <c r="L31" s="4454">
        <v>129.72048694851287</v>
      </c>
      <c r="M31" s="4454">
        <v>124.64173839102422</v>
      </c>
      <c r="N31" s="4454">
        <v>126.40841556659892</v>
      </c>
      <c r="O31" s="4454">
        <v>117.53037073875666</v>
      </c>
      <c r="P31" s="4454">
        <v>99.070023437985171</v>
      </c>
      <c r="Q31" s="4455">
        <v>94.414143546077824</v>
      </c>
      <c r="R31" s="4412">
        <f>(R18/56753327)*100000</f>
        <v>87.501478107177746</v>
      </c>
      <c r="S31" s="4445">
        <f>(S18/56753327)*100000</f>
        <v>88.29085914205524</v>
      </c>
      <c r="T31" s="874"/>
      <c r="U31" s="874"/>
    </row>
    <row r="32" spans="1:21" x14ac:dyDescent="0.35">
      <c r="B32" s="3672"/>
      <c r="C32" s="3671"/>
      <c r="D32" s="3652"/>
      <c r="E32" s="3652"/>
      <c r="F32" s="3652"/>
      <c r="G32" s="3652"/>
      <c r="H32" s="3652"/>
      <c r="I32" s="3652"/>
      <c r="J32" s="3652"/>
      <c r="K32" s="3652"/>
      <c r="L32" s="3652"/>
      <c r="M32" s="3652"/>
      <c r="N32" s="3652"/>
      <c r="O32" s="3652"/>
      <c r="P32" s="3652"/>
      <c r="Q32" s="3652"/>
      <c r="R32" s="3652"/>
      <c r="S32" s="4446"/>
      <c r="T32" s="4419"/>
      <c r="U32" s="874"/>
    </row>
    <row r="33" spans="1:25" ht="15" customHeight="1" x14ac:dyDescent="0.35">
      <c r="B33" s="3672"/>
      <c r="C33" s="344"/>
      <c r="D33" s="90" t="s">
        <v>234</v>
      </c>
      <c r="E33" s="5044" t="s">
        <v>1481</v>
      </c>
      <c r="F33" s="5044"/>
      <c r="G33" s="5044"/>
      <c r="H33" s="5044"/>
      <c r="I33" s="5044"/>
      <c r="J33" s="5044"/>
      <c r="K33" s="5044"/>
      <c r="L33" s="5044"/>
      <c r="M33" s="5044"/>
      <c r="N33" s="1262"/>
      <c r="O33" s="4415"/>
      <c r="P33" s="4415"/>
      <c r="Q33" s="3652"/>
      <c r="R33" s="3652"/>
      <c r="S33" s="3652"/>
      <c r="T33" s="874"/>
      <c r="U33" s="874"/>
    </row>
    <row r="34" spans="1:25" ht="27.75" customHeight="1" x14ac:dyDescent="0.35">
      <c r="B34" s="3672"/>
      <c r="C34" s="3671"/>
      <c r="D34" s="3723"/>
      <c r="E34" s="3743" t="s">
        <v>1504</v>
      </c>
      <c r="F34" s="3743" t="s">
        <v>1505</v>
      </c>
      <c r="G34" s="3743" t="s">
        <v>1506</v>
      </c>
      <c r="H34" s="3743" t="s">
        <v>1507</v>
      </c>
      <c r="I34" s="3743" t="s">
        <v>1508</v>
      </c>
      <c r="J34" s="3743" t="s">
        <v>1509</v>
      </c>
      <c r="K34" s="3743" t="s">
        <v>1488</v>
      </c>
      <c r="L34" s="3743" t="s">
        <v>1489</v>
      </c>
      <c r="M34" s="3743" t="s">
        <v>1490</v>
      </c>
      <c r="N34" s="3743" t="s">
        <v>1491</v>
      </c>
      <c r="O34" s="4456" t="s">
        <v>1492</v>
      </c>
      <c r="P34" s="4457" t="s">
        <v>1493</v>
      </c>
      <c r="Q34" s="3743" t="s">
        <v>1510</v>
      </c>
      <c r="R34" s="3743" t="s">
        <v>1495</v>
      </c>
      <c r="S34" s="3743" t="s">
        <v>1496</v>
      </c>
      <c r="T34" s="3743" t="s">
        <v>1511</v>
      </c>
      <c r="U34" s="4458"/>
      <c r="V34" s="3744"/>
      <c r="W34" s="3744"/>
      <c r="X34" s="3436"/>
      <c r="Y34" s="3436"/>
    </row>
    <row r="35" spans="1:25" x14ac:dyDescent="0.35">
      <c r="B35" s="3672"/>
      <c r="C35" s="3671"/>
      <c r="D35" s="1270" t="s">
        <v>402</v>
      </c>
      <c r="E35" s="4436">
        <v>4.7E-2</v>
      </c>
      <c r="F35" s="4436">
        <f t="shared" ref="F35:P44" si="0">(F9-E9)/E9</f>
        <v>4.7098810390871569E-2</v>
      </c>
      <c r="G35" s="4436">
        <f t="shared" si="0"/>
        <v>0.1954555993507999</v>
      </c>
      <c r="H35" s="4436">
        <f t="shared" si="0"/>
        <v>-0.1158844065166796</v>
      </c>
      <c r="I35" s="4436">
        <f t="shared" si="0"/>
        <v>-3.290556103981573E-3</v>
      </c>
      <c r="J35" s="4436">
        <f t="shared" si="0"/>
        <v>4.0607461208319574E-2</v>
      </c>
      <c r="K35" s="4436">
        <f t="shared" si="0"/>
        <v>-4.3252961082910324E-2</v>
      </c>
      <c r="L35" s="4436">
        <f t="shared" si="0"/>
        <v>1.8127556095943406E-2</v>
      </c>
      <c r="M35" s="4436">
        <f t="shared" si="0"/>
        <v>-2.2798827488872003E-2</v>
      </c>
      <c r="N35" s="4436">
        <f t="shared" si="0"/>
        <v>3.1885346072658596E-2</v>
      </c>
      <c r="O35" s="4436">
        <f t="shared" si="0"/>
        <v>3.5314384151593457E-2</v>
      </c>
      <c r="P35" s="4436">
        <f t="shared" si="0"/>
        <v>-4.076539101497504E-2</v>
      </c>
      <c r="Q35" s="4436">
        <f>(R9-Q9)/Q9</f>
        <v>-8.4915312038194843E-2</v>
      </c>
      <c r="R35" s="4436">
        <f>(S9-R9)/R9</f>
        <v>5.46583850931677E-3</v>
      </c>
      <c r="S35" s="4436">
        <f>(T9-S9)/S9</f>
        <v>7.8700271806276256E-2</v>
      </c>
      <c r="T35" s="4436">
        <f>(U9-T9)/T9</f>
        <v>-2.6342916046271903E-3</v>
      </c>
      <c r="U35" s="4459"/>
      <c r="V35" s="3745"/>
      <c r="W35" s="3745"/>
    </row>
    <row r="36" spans="1:25" ht="12.75" customHeight="1" x14ac:dyDescent="0.35">
      <c r="B36" s="3672"/>
      <c r="C36" s="3671"/>
      <c r="D36" s="1270" t="s">
        <v>1401</v>
      </c>
      <c r="E36" s="4436">
        <v>0.05</v>
      </c>
      <c r="F36" s="4436">
        <f t="shared" si="0"/>
        <v>5.0274609209970428E-2</v>
      </c>
      <c r="G36" s="4436">
        <f t="shared" si="0"/>
        <v>-8.3065164923572007E-2</v>
      </c>
      <c r="H36" s="4436">
        <f t="shared" si="0"/>
        <v>-3.7946918183812239E-2</v>
      </c>
      <c r="I36" s="4436">
        <f t="shared" si="0"/>
        <v>2.2799817601459188E-3</v>
      </c>
      <c r="J36" s="4436">
        <f t="shared" si="0"/>
        <v>2.8889899909008188E-2</v>
      </c>
      <c r="K36" s="4436">
        <f t="shared" si="0"/>
        <v>1.2823347335839045E-2</v>
      </c>
      <c r="L36" s="4436">
        <f t="shared" si="0"/>
        <v>3.4053700065487885E-2</v>
      </c>
      <c r="M36" s="4436">
        <f t="shared" si="0"/>
        <v>1.013299556681444E-2</v>
      </c>
      <c r="N36" s="4436">
        <f t="shared" si="0"/>
        <v>6.5412748171368856E-2</v>
      </c>
      <c r="O36" s="4436">
        <f t="shared" si="0"/>
        <v>-0.10082385249117301</v>
      </c>
      <c r="P36" s="4436">
        <f t="shared" si="0"/>
        <v>-0.10689354275741711</v>
      </c>
      <c r="Q36" s="4436">
        <f t="shared" ref="Q36:T44" si="1">(R10-Q10)/Q10</f>
        <v>-0.11201629327902241</v>
      </c>
      <c r="R36" s="4436">
        <f t="shared" si="1"/>
        <v>-5.8486238532110095E-2</v>
      </c>
      <c r="S36" s="4436">
        <f t="shared" si="1"/>
        <v>5.2679658952496954E-2</v>
      </c>
      <c r="T36" s="4436">
        <f t="shared" si="1"/>
        <v>8.3598495805611808E-2</v>
      </c>
      <c r="U36" s="4459"/>
      <c r="V36" s="3745"/>
      <c r="W36" s="3745"/>
    </row>
    <row r="37" spans="1:25" ht="10.5" customHeight="1" x14ac:dyDescent="0.35">
      <c r="B37" s="3672"/>
      <c r="C37" s="3671"/>
      <c r="D37" s="1270" t="s">
        <v>524</v>
      </c>
      <c r="E37" s="4436">
        <v>-4.0000000000000001E-3</v>
      </c>
      <c r="F37" s="4436">
        <f t="shared" si="0"/>
        <v>-4.2068040482867945E-3</v>
      </c>
      <c r="G37" s="4436">
        <f t="shared" si="0"/>
        <v>-4.0225310720626954E-2</v>
      </c>
      <c r="H37" s="4436">
        <f t="shared" si="0"/>
        <v>-3.5213064557285019E-2</v>
      </c>
      <c r="I37" s="4436">
        <f t="shared" si="0"/>
        <v>1.8116900290928325E-2</v>
      </c>
      <c r="J37" s="4436">
        <f t="shared" si="0"/>
        <v>0.18041304065463046</v>
      </c>
      <c r="K37" s="4436">
        <f t="shared" si="0"/>
        <v>-0.13924955985915494</v>
      </c>
      <c r="L37" s="4436">
        <f t="shared" si="0"/>
        <v>-0.12662192393736019</v>
      </c>
      <c r="M37" s="4436">
        <f t="shared" si="0"/>
        <v>-0.15749414519906324</v>
      </c>
      <c r="N37" s="4436">
        <f t="shared" si="0"/>
        <v>-3.4659485753995828E-2</v>
      </c>
      <c r="O37" s="4436">
        <f t="shared" si="0"/>
        <v>-7.639701250787366E-2</v>
      </c>
      <c r="P37" s="4436">
        <f t="shared" si="0"/>
        <v>-3.5268901013250198E-2</v>
      </c>
      <c r="Q37" s="4436">
        <f t="shared" si="1"/>
        <v>5.8885383806519453E-3</v>
      </c>
      <c r="R37" s="4436">
        <f t="shared" si="1"/>
        <v>5.7495295839431318E-2</v>
      </c>
      <c r="S37" s="4436">
        <f t="shared" si="1"/>
        <v>6.2870699881376044E-2</v>
      </c>
      <c r="T37" s="4436">
        <f t="shared" si="1"/>
        <v>5.394345238095238E-3</v>
      </c>
      <c r="U37" s="4459"/>
      <c r="V37" s="3745"/>
      <c r="W37" s="3745"/>
    </row>
    <row r="38" spans="1:25" hidden="1" x14ac:dyDescent="0.35">
      <c r="B38" s="3672"/>
      <c r="C38" s="3671"/>
      <c r="D38" s="1270" t="s">
        <v>1402</v>
      </c>
      <c r="E38" s="4436">
        <v>6.5000000000000002E-2</v>
      </c>
      <c r="F38" s="4436">
        <f t="shared" si="0"/>
        <v>6.5389347864299521E-2</v>
      </c>
      <c r="G38" s="4436">
        <f t="shared" si="0"/>
        <v>-1.5673981191222569E-2</v>
      </c>
      <c r="H38" s="4436">
        <f t="shared" si="0"/>
        <v>-2.3717733825008382E-2</v>
      </c>
      <c r="I38" s="4436">
        <f t="shared" si="0"/>
        <v>-2.523821787277878E-2</v>
      </c>
      <c r="J38" s="4436">
        <f t="shared" si="0"/>
        <v>0.16944077498899163</v>
      </c>
      <c r="K38" s="4436">
        <f t="shared" si="0"/>
        <v>-7.5306875517734771E-4</v>
      </c>
      <c r="L38" s="4436">
        <f t="shared" si="0"/>
        <v>-5.9461903685281481E-2</v>
      </c>
      <c r="M38" s="4436">
        <f t="shared" si="0"/>
        <v>-0.11586538461538462</v>
      </c>
      <c r="N38" s="4436">
        <f t="shared" si="0"/>
        <v>-6.3440275512053656E-3</v>
      </c>
      <c r="O38" s="4436">
        <f t="shared" si="0"/>
        <v>-9.8048157606712885E-2</v>
      </c>
      <c r="P38" s="4436">
        <f t="shared" si="0"/>
        <v>-8.1909192031550213E-2</v>
      </c>
      <c r="Q38" s="4436">
        <f t="shared" si="1"/>
        <v>-5.1749189672515926E-2</v>
      </c>
      <c r="R38" s="4436">
        <f t="shared" si="1"/>
        <v>3.2413955681282414E-2</v>
      </c>
      <c r="S38" s="4436">
        <f t="shared" si="1"/>
        <v>6.2678387943829197E-2</v>
      </c>
      <c r="T38" s="4436">
        <f t="shared" si="1"/>
        <v>5.3824666953158573E-2</v>
      </c>
      <c r="U38" s="4459"/>
      <c r="V38" s="3745"/>
      <c r="W38" s="3745"/>
    </row>
    <row r="39" spans="1:25" hidden="1" x14ac:dyDescent="0.35">
      <c r="B39" s="3672"/>
      <c r="C39" s="3671"/>
      <c r="D39" s="1270" t="s">
        <v>409</v>
      </c>
      <c r="E39" s="4436">
        <v>0.129</v>
      </c>
      <c r="F39" s="4436">
        <f t="shared" si="0"/>
        <v>0.12892451569806279</v>
      </c>
      <c r="G39" s="4436">
        <f t="shared" si="0"/>
        <v>-7.8698224852071008E-2</v>
      </c>
      <c r="H39" s="4436">
        <f t="shared" si="0"/>
        <v>2.3335474202526227E-2</v>
      </c>
      <c r="I39" s="4436">
        <f t="shared" si="0"/>
        <v>-5.2719665271966525E-2</v>
      </c>
      <c r="J39" s="4436">
        <f t="shared" si="0"/>
        <v>3.2464664310954065E-2</v>
      </c>
      <c r="K39" s="4436">
        <f t="shared" si="0"/>
        <v>4.9197860962566842E-2</v>
      </c>
      <c r="L39" s="4436">
        <f t="shared" si="0"/>
        <v>-2.1610601427115187E-2</v>
      </c>
      <c r="M39" s="4436">
        <f t="shared" si="0"/>
        <v>7.7099395707439051E-3</v>
      </c>
      <c r="N39" s="4436">
        <f t="shared" si="0"/>
        <v>6.2034739454094297E-3</v>
      </c>
      <c r="O39" s="4436">
        <f t="shared" si="0"/>
        <v>-9.1039868475133581E-2</v>
      </c>
      <c r="P39" s="4436">
        <f t="shared" si="0"/>
        <v>-2.5096088627628306E-2</v>
      </c>
      <c r="Q39" s="4436">
        <f t="shared" si="1"/>
        <v>-0.12382696269169147</v>
      </c>
      <c r="R39" s="4436">
        <f t="shared" si="1"/>
        <v>8.881922675026124E-3</v>
      </c>
      <c r="S39" s="4436">
        <f t="shared" si="1"/>
        <v>5.1268772656654582E-2</v>
      </c>
      <c r="T39" s="4436">
        <f t="shared" si="1"/>
        <v>-1.7241379310344827E-2</v>
      </c>
      <c r="U39" s="4459"/>
      <c r="V39" s="3745"/>
      <c r="W39" s="3745"/>
    </row>
    <row r="40" spans="1:25" x14ac:dyDescent="0.35">
      <c r="B40" s="3672"/>
      <c r="C40" s="3671"/>
      <c r="D40" s="1270" t="s">
        <v>1403</v>
      </c>
      <c r="E40" s="4436">
        <v>6.8000000000000005E-2</v>
      </c>
      <c r="F40" s="4436">
        <f t="shared" si="0"/>
        <v>6.834285714285715E-2</v>
      </c>
      <c r="G40" s="4436">
        <f t="shared" si="0"/>
        <v>1.7543859649122806E-2</v>
      </c>
      <c r="H40" s="4436">
        <f t="shared" si="0"/>
        <v>-2.6282590412111017E-2</v>
      </c>
      <c r="I40" s="4436">
        <f t="shared" si="0"/>
        <v>-9.9762470308788598E-2</v>
      </c>
      <c r="J40" s="4436">
        <f t="shared" si="0"/>
        <v>0.12616934516670664</v>
      </c>
      <c r="K40" s="4436">
        <f t="shared" si="0"/>
        <v>-1.9595314164004261E-2</v>
      </c>
      <c r="L40" s="4436">
        <f t="shared" si="0"/>
        <v>-5.6050401911796652E-2</v>
      </c>
      <c r="M40" s="4436">
        <f t="shared" si="0"/>
        <v>-8.9758342922899886E-2</v>
      </c>
      <c r="N40" s="4436">
        <f t="shared" si="0"/>
        <v>2.7812895069532238E-2</v>
      </c>
      <c r="O40" s="4436">
        <f t="shared" si="0"/>
        <v>-6.5928659286592861E-2</v>
      </c>
      <c r="P40" s="4436">
        <f t="shared" si="0"/>
        <v>-8.5067158282854882E-2</v>
      </c>
      <c r="Q40" s="4436">
        <f t="shared" si="1"/>
        <v>-3.4524166916841792E-2</v>
      </c>
      <c r="R40" s="4436">
        <f t="shared" si="1"/>
        <v>-5.597014925373134E-3</v>
      </c>
      <c r="S40" s="4436">
        <f t="shared" si="1"/>
        <v>8.5053158223889938E-2</v>
      </c>
      <c r="T40" s="4436">
        <f t="shared" si="1"/>
        <v>1.2391930835734871E-2</v>
      </c>
      <c r="U40" s="4459"/>
      <c r="V40" s="3745"/>
      <c r="W40" s="3745"/>
    </row>
    <row r="41" spans="1:25" x14ac:dyDescent="0.35">
      <c r="B41" s="3672"/>
      <c r="C41" s="3671"/>
      <c r="D41" s="1270" t="s">
        <v>406</v>
      </c>
      <c r="E41" s="4436">
        <v>0.02</v>
      </c>
      <c r="F41" s="4436">
        <f t="shared" si="0"/>
        <v>2.0137198495242311E-2</v>
      </c>
      <c r="G41" s="4436">
        <f t="shared" si="0"/>
        <v>-1.3882863340563991E-2</v>
      </c>
      <c r="H41" s="4436">
        <f t="shared" si="0"/>
        <v>9.2388913330400356E-3</v>
      </c>
      <c r="I41" s="4436">
        <f t="shared" si="0"/>
        <v>-1.6346992153443766E-2</v>
      </c>
      <c r="J41" s="4436">
        <f t="shared" si="0"/>
        <v>0.11256370485264791</v>
      </c>
      <c r="K41" s="4436">
        <f t="shared" si="0"/>
        <v>-5.2180840470025892E-2</v>
      </c>
      <c r="L41" s="4436">
        <f t="shared" si="0"/>
        <v>-2.3114099600756461E-2</v>
      </c>
      <c r="M41" s="4436">
        <f t="shared" si="0"/>
        <v>5.0763605076360505E-2</v>
      </c>
      <c r="N41" s="4436">
        <f t="shared" si="0"/>
        <v>7.0214943705220065E-2</v>
      </c>
      <c r="O41" s="4436">
        <f t="shared" si="0"/>
        <v>-0.117061973986228</v>
      </c>
      <c r="P41" s="4436">
        <f t="shared" si="0"/>
        <v>-6.7157712305025994E-3</v>
      </c>
      <c r="Q41" s="4436">
        <f t="shared" si="1"/>
        <v>3.8904899135446688E-2</v>
      </c>
      <c r="R41" s="4436">
        <f t="shared" si="1"/>
        <v>-3.3287101248266296E-2</v>
      </c>
      <c r="S41" s="4436">
        <f t="shared" si="1"/>
        <v>-3.8498326159732185E-2</v>
      </c>
      <c r="T41" s="4436">
        <f t="shared" si="1"/>
        <v>-4.8992787863715491E-2</v>
      </c>
      <c r="U41" s="4459"/>
      <c r="V41" s="3745"/>
      <c r="W41" s="3745"/>
    </row>
    <row r="42" spans="1:25" x14ac:dyDescent="0.35">
      <c r="B42" s="2077"/>
      <c r="C42" s="3671"/>
      <c r="D42" s="1270" t="s">
        <v>1404</v>
      </c>
      <c r="E42" s="4436">
        <v>0.01</v>
      </c>
      <c r="F42" s="4436">
        <f t="shared" si="0"/>
        <v>9.5846645367412137E-3</v>
      </c>
      <c r="G42" s="4436">
        <f t="shared" si="0"/>
        <v>-9.9005424954792046E-2</v>
      </c>
      <c r="H42" s="4436">
        <f t="shared" si="0"/>
        <v>-1.8063221274460611E-2</v>
      </c>
      <c r="I42" s="4436">
        <f t="shared" si="0"/>
        <v>-0.10628513030148186</v>
      </c>
      <c r="J42" s="4436">
        <f t="shared" si="0"/>
        <v>9.6054888507718691E-2</v>
      </c>
      <c r="K42" s="4436">
        <f t="shared" si="0"/>
        <v>-3.7558685446009391E-2</v>
      </c>
      <c r="L42" s="4436">
        <f t="shared" si="0"/>
        <v>6.5040650406504065E-3</v>
      </c>
      <c r="M42" s="4436">
        <f t="shared" si="0"/>
        <v>-7.2697899838449112E-2</v>
      </c>
      <c r="N42" s="4436">
        <f t="shared" si="0"/>
        <v>6.039488966318235E-2</v>
      </c>
      <c r="O42" s="4436">
        <f t="shared" si="0"/>
        <v>-5.2026286966046005E-2</v>
      </c>
      <c r="P42" s="4436">
        <f t="shared" si="0"/>
        <v>-8.838821490467938E-2</v>
      </c>
      <c r="Q42" s="4436">
        <f t="shared" si="1"/>
        <v>-7.6788830715532289E-2</v>
      </c>
      <c r="R42" s="4436">
        <f t="shared" si="1"/>
        <v>-3.0875866414618779E-2</v>
      </c>
      <c r="S42" s="4436">
        <f t="shared" si="1"/>
        <v>2.600780234070221E-2</v>
      </c>
      <c r="T42" s="4436">
        <f t="shared" si="1"/>
        <v>7.6045627376425855E-3</v>
      </c>
      <c r="U42" s="4459"/>
      <c r="V42" s="3745"/>
      <c r="W42" s="3745"/>
    </row>
    <row r="43" spans="1:25" x14ac:dyDescent="0.35">
      <c r="B43" s="3603"/>
      <c r="C43" s="3671"/>
      <c r="D43" s="1270" t="s">
        <v>401</v>
      </c>
      <c r="E43" s="4436">
        <v>7.6999999999999999E-2</v>
      </c>
      <c r="F43" s="4436">
        <f t="shared" si="0"/>
        <v>7.6607527433083786E-2</v>
      </c>
      <c r="G43" s="4436">
        <f t="shared" si="0"/>
        <v>-8.2587159458944556E-2</v>
      </c>
      <c r="H43" s="4436">
        <f t="shared" si="0"/>
        <v>-6.8736372131658188E-2</v>
      </c>
      <c r="I43" s="4436">
        <f t="shared" si="0"/>
        <v>-3.8577321886497935E-2</v>
      </c>
      <c r="J43" s="4436">
        <f t="shared" si="0"/>
        <v>1.7279369129073407E-2</v>
      </c>
      <c r="K43" s="4436">
        <f t="shared" si="0"/>
        <v>0.10328317373461013</v>
      </c>
      <c r="L43" s="4436">
        <f t="shared" si="0"/>
        <v>-5.1560239718950199E-2</v>
      </c>
      <c r="M43" s="4436">
        <f t="shared" si="0"/>
        <v>-4.0309401895631335E-2</v>
      </c>
      <c r="N43" s="4436">
        <f t="shared" si="0"/>
        <v>-4.188897718242706E-2</v>
      </c>
      <c r="O43" s="4436">
        <f t="shared" si="0"/>
        <v>-8.0568720379146919E-2</v>
      </c>
      <c r="P43" s="4436">
        <f t="shared" si="0"/>
        <v>-5.0386597938144331E-2</v>
      </c>
      <c r="Q43" s="4436">
        <f t="shared" si="1"/>
        <v>-2.1037868162692847E-3</v>
      </c>
      <c r="R43" s="4436">
        <f t="shared" si="1"/>
        <v>-5.6219255094869993E-3</v>
      </c>
      <c r="S43" s="4436">
        <f t="shared" si="1"/>
        <v>-4.5229681978798588E-3</v>
      </c>
      <c r="T43" s="4436">
        <f t="shared" si="1"/>
        <v>3.6916086894789153E-2</v>
      </c>
      <c r="U43" s="4459"/>
      <c r="V43" s="3745"/>
      <c r="W43" s="3745"/>
    </row>
    <row r="44" spans="1:25" x14ac:dyDescent="0.35">
      <c r="C44" s="3671"/>
      <c r="D44" s="155" t="s">
        <v>232</v>
      </c>
      <c r="E44" s="4437">
        <v>4.5999999999999999E-2</v>
      </c>
      <c r="F44" s="4437">
        <f t="shared" si="0"/>
        <v>4.5975272022881701E-2</v>
      </c>
      <c r="G44" s="4437">
        <f t="shared" si="0"/>
        <v>-1.5061417596249837E-2</v>
      </c>
      <c r="H44" s="4437">
        <f t="shared" si="0"/>
        <v>-4.2232211058229038E-2</v>
      </c>
      <c r="I44" s="4437">
        <f t="shared" si="0"/>
        <v>-2.1211331114553457E-2</v>
      </c>
      <c r="J44" s="4437">
        <f t="shared" si="0"/>
        <v>8.428656491898838E-2</v>
      </c>
      <c r="K44" s="4437">
        <f t="shared" si="0"/>
        <v>-1.2500541931008569E-2</v>
      </c>
      <c r="L44" s="4437">
        <f t="shared" si="0"/>
        <v>-4.9918047181408416E-2</v>
      </c>
      <c r="M44" s="4437">
        <f t="shared" si="0"/>
        <v>-6.7497419941159251E-2</v>
      </c>
      <c r="N44" s="4437">
        <f t="shared" si="0"/>
        <v>5.7648788384347281E-3</v>
      </c>
      <c r="O44" s="4437">
        <f t="shared" si="0"/>
        <v>-6.9110497963473919E-2</v>
      </c>
      <c r="P44" s="4437">
        <f t="shared" si="0"/>
        <v>-5.4040225829216658E-2</v>
      </c>
      <c r="Q44" s="4437">
        <f t="shared" si="1"/>
        <v>-4.3067732922246846E-2</v>
      </c>
      <c r="R44" s="4437">
        <f t="shared" si="1"/>
        <v>9.0213451469995966E-3</v>
      </c>
      <c r="S44" s="4437">
        <f t="shared" si="1"/>
        <v>4.6140336872355713E-2</v>
      </c>
      <c r="T44" s="4437">
        <f t="shared" si="1"/>
        <v>1.665394887447539E-2</v>
      </c>
      <c r="U44" s="4459"/>
      <c r="V44" s="3745"/>
      <c r="W44" s="3745"/>
    </row>
    <row r="45" spans="1:25" x14ac:dyDescent="0.35">
      <c r="D45" s="874"/>
      <c r="E45" s="874"/>
      <c r="F45" s="4460"/>
      <c r="G45" s="874"/>
      <c r="H45" s="874"/>
      <c r="I45" s="874"/>
      <c r="J45" s="874"/>
      <c r="K45" s="874"/>
      <c r="L45" s="874"/>
      <c r="M45" s="874"/>
      <c r="N45" s="874"/>
      <c r="O45" s="874"/>
      <c r="P45" s="874"/>
      <c r="Q45" s="874"/>
      <c r="R45" s="874"/>
      <c r="S45" s="874"/>
      <c r="T45" s="874"/>
      <c r="U45" s="874"/>
    </row>
    <row r="46" spans="1:25" ht="12.75" customHeight="1" x14ac:dyDescent="0.35">
      <c r="A46" s="3423">
        <v>5</v>
      </c>
      <c r="B46" s="3423" t="s">
        <v>58</v>
      </c>
      <c r="C46" s="3671"/>
      <c r="D46" s="5039" t="s">
        <v>1512</v>
      </c>
      <c r="E46" s="5040"/>
      <c r="F46" s="5040"/>
      <c r="G46" s="5040"/>
      <c r="H46" s="5040"/>
      <c r="I46" s="5040"/>
      <c r="J46" s="5040"/>
      <c r="K46" s="5040"/>
      <c r="L46" s="5040"/>
      <c r="M46" s="5040"/>
      <c r="N46" s="5040"/>
      <c r="O46" s="5040"/>
      <c r="P46" s="5040"/>
      <c r="Q46" s="5040"/>
      <c r="R46" s="5040"/>
      <c r="S46" s="5040"/>
    </row>
    <row r="47" spans="1:25" ht="12.75" customHeight="1" x14ac:dyDescent="0.35">
      <c r="A47" s="3511">
        <v>6</v>
      </c>
      <c r="B47" s="3511" t="s">
        <v>60</v>
      </c>
      <c r="C47" s="3671"/>
      <c r="D47" s="5039" t="s">
        <v>1513</v>
      </c>
      <c r="E47" s="5040"/>
      <c r="F47" s="5040"/>
      <c r="G47" s="5040"/>
      <c r="H47" s="5040"/>
      <c r="I47" s="5040"/>
      <c r="J47" s="5040"/>
      <c r="K47" s="5040"/>
      <c r="L47" s="5040"/>
      <c r="M47" s="5040"/>
      <c r="N47" s="5040"/>
      <c r="O47" s="5040"/>
      <c r="P47" s="5040"/>
      <c r="Q47" s="5040"/>
      <c r="R47" s="5040"/>
      <c r="S47" s="5041"/>
    </row>
    <row r="48" spans="1:25" s="3595" customFormat="1" ht="12.75" customHeight="1" x14ac:dyDescent="0.3">
      <c r="A48" s="3423">
        <v>7</v>
      </c>
      <c r="B48" s="3423" t="s">
        <v>62</v>
      </c>
      <c r="C48" s="2077"/>
      <c r="D48" s="5039" t="s">
        <v>1471</v>
      </c>
      <c r="E48" s="5040"/>
      <c r="F48" s="5040"/>
      <c r="G48" s="5040"/>
      <c r="H48" s="5040"/>
      <c r="I48" s="5040"/>
      <c r="J48" s="5040"/>
      <c r="K48" s="5040"/>
      <c r="L48" s="5040"/>
      <c r="M48" s="5040"/>
      <c r="N48" s="5040"/>
      <c r="O48" s="5040"/>
      <c r="P48" s="5040"/>
      <c r="Q48" s="5040"/>
      <c r="R48" s="5040"/>
      <c r="S48" s="5041"/>
    </row>
    <row r="49" spans="3:19" ht="15" customHeight="1" x14ac:dyDescent="0.35">
      <c r="C49" s="3423"/>
      <c r="F49" s="3422"/>
    </row>
    <row r="50" spans="3:19" ht="12.75" customHeight="1" x14ac:dyDescent="0.35">
      <c r="C50" s="3511"/>
      <c r="F50" s="3422"/>
    </row>
    <row r="51" spans="3:19" ht="12.75" customHeight="1" x14ac:dyDescent="0.35">
      <c r="C51" s="3423"/>
      <c r="E51" s="4414"/>
      <c r="F51" s="4414"/>
      <c r="G51" s="4414"/>
      <c r="H51" s="4414"/>
      <c r="I51" s="4414"/>
      <c r="J51" s="4414"/>
      <c r="K51" s="4414"/>
      <c r="L51" s="4414"/>
      <c r="M51" s="4414"/>
      <c r="N51" s="4414"/>
      <c r="O51" s="4414"/>
      <c r="P51" s="4414"/>
      <c r="Q51" s="4414"/>
      <c r="R51" s="4414"/>
      <c r="S51" s="4414"/>
    </row>
    <row r="52" spans="3:19" ht="16.5" customHeight="1" x14ac:dyDescent="0.35">
      <c r="D52" s="3746" t="s">
        <v>1514</v>
      </c>
      <c r="E52" s="4461" t="s">
        <v>114</v>
      </c>
      <c r="F52" s="4461" t="s">
        <v>115</v>
      </c>
      <c r="G52" s="4461" t="s">
        <v>116</v>
      </c>
      <c r="H52" s="4461" t="s">
        <v>117</v>
      </c>
      <c r="I52" s="4461" t="s">
        <v>118</v>
      </c>
      <c r="J52" s="4461" t="s">
        <v>119</v>
      </c>
      <c r="K52" s="4462" t="s">
        <v>120</v>
      </c>
      <c r="L52" s="4462" t="s">
        <v>121</v>
      </c>
      <c r="M52" s="4462" t="s">
        <v>122</v>
      </c>
      <c r="N52" s="4462" t="s">
        <v>123</v>
      </c>
      <c r="O52" s="4462" t="s">
        <v>124</v>
      </c>
      <c r="P52" s="4462" t="s">
        <v>125</v>
      </c>
      <c r="Q52" s="4462" t="s">
        <v>126</v>
      </c>
      <c r="R52" s="4462" t="s">
        <v>302</v>
      </c>
      <c r="S52" s="4414"/>
    </row>
    <row r="53" spans="3:19" x14ac:dyDescent="0.35">
      <c r="D53" s="3747" t="s">
        <v>1478</v>
      </c>
      <c r="E53" s="4463">
        <v>65201</v>
      </c>
      <c r="F53" s="4464">
        <v>63818</v>
      </c>
      <c r="G53" s="4464">
        <v>70514</v>
      </c>
      <c r="H53" s="4464">
        <v>64921</v>
      </c>
      <c r="I53" s="4464">
        <v>64921</v>
      </c>
      <c r="J53" s="4464">
        <v>60539</v>
      </c>
      <c r="K53" s="4464">
        <v>60888</v>
      </c>
      <c r="L53" s="4464">
        <v>56680</v>
      </c>
      <c r="M53" s="4464">
        <v>53617</v>
      </c>
      <c r="N53" s="4464">
        <v>51895</v>
      </c>
      <c r="O53" s="4464">
        <v>49660</v>
      </c>
      <c r="P53" s="4464">
        <v>50108</v>
      </c>
      <c r="Q53" s="4465">
        <v>52420</v>
      </c>
      <c r="R53" s="4465">
        <v>53293</v>
      </c>
      <c r="S53" s="4414"/>
    </row>
    <row r="54" spans="3:19" ht="43.5" x14ac:dyDescent="0.35">
      <c r="D54" s="3748" t="s">
        <v>1515</v>
      </c>
      <c r="E54" s="4466">
        <v>134.82571521464288</v>
      </c>
      <c r="F54" s="4467">
        <v>130.26683024641071</v>
      </c>
      <c r="G54" s="4467">
        <v>142.03350564921692</v>
      </c>
      <c r="H54" s="4467">
        <f>(53293/58678234.75)*100000</f>
        <v>90.822432247759465</v>
      </c>
      <c r="I54" s="4467">
        <f>(64921/51029719.02)*100000</f>
        <v>127.22194291243424</v>
      </c>
      <c r="J54" s="4467">
        <f>(60539/51759547.67)*100000</f>
        <v>116.96199585431964</v>
      </c>
      <c r="K54" s="4467">
        <f>(60888/52517864.18)*100000</f>
        <v>115.93769272739682</v>
      </c>
      <c r="L54" s="4467">
        <f>(56680/53304520.02)*100000</f>
        <v>106.33244606411147</v>
      </c>
      <c r="M54" s="4467">
        <f>(53617/54120306.16)*100000</f>
        <v>99.070023442749857</v>
      </c>
      <c r="N54" s="4467">
        <f>(51895/54965281.74)*100000</f>
        <v>94.414143541511848</v>
      </c>
      <c r="O54" s="4467">
        <f>(49660/55843010.66)*100000</f>
        <v>88.927870136434379</v>
      </c>
      <c r="P54" s="4467">
        <f>(50108/55843010.66)*100000</f>
        <v>89.730119146122703</v>
      </c>
      <c r="Q54" s="4467">
        <f>(50108/57698414.32)*100000</f>
        <v>86.844674313053105</v>
      </c>
      <c r="R54" s="4467">
        <f>(53293/58678234.75)*100000</f>
        <v>90.822432247759465</v>
      </c>
      <c r="S54" s="4414"/>
    </row>
  </sheetData>
  <mergeCells count="9">
    <mergeCell ref="D46:S46"/>
    <mergeCell ref="D47:S47"/>
    <mergeCell ref="D48:S48"/>
    <mergeCell ref="D2:T2"/>
    <mergeCell ref="D3:T3"/>
    <mergeCell ref="D4:T4"/>
    <mergeCell ref="D5:M5"/>
    <mergeCell ref="E20:M20"/>
    <mergeCell ref="E33:M33"/>
  </mergeCells>
  <pageMargins left="0.74803149606299213" right="0.74803149606299213" top="0.98425196850393704" bottom="0.98425196850393704" header="0.51181102362204722" footer="0.51181102362204722"/>
  <pageSetup paperSize="9" scale="61"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249977111117893"/>
    <pageSetUpPr fitToPage="1"/>
  </sheetPr>
  <dimension ref="A1:R37"/>
  <sheetViews>
    <sheetView showGridLines="0" view="pageBreakPreview" zoomScaleNormal="100" zoomScaleSheetLayoutView="100" workbookViewId="0">
      <selection activeCell="Y27" sqref="Y27"/>
    </sheetView>
  </sheetViews>
  <sheetFormatPr defaultColWidth="9.1796875" defaultRowHeight="14" x14ac:dyDescent="0.3"/>
  <cols>
    <col min="1" max="1" width="3.7265625" style="3423" customWidth="1"/>
    <col min="2" max="2" width="9.7265625" style="3749" customWidth="1"/>
    <col min="3" max="3" width="7.453125" style="3749" customWidth="1"/>
    <col min="4" max="4" width="36.81640625" style="3751" customWidth="1"/>
    <col min="5" max="5" width="8" style="3751" customWidth="1"/>
    <col min="6" max="6" width="7.54296875" style="3751" customWidth="1"/>
    <col min="7" max="9" width="8" style="3751" bestFit="1" customWidth="1"/>
    <col min="10" max="10" width="7.54296875" style="3751" customWidth="1"/>
    <col min="11" max="11" width="8.81640625" style="3751" customWidth="1"/>
    <col min="12" max="12" width="7.7265625" style="3751" customWidth="1"/>
    <col min="13" max="13" width="9.26953125" style="3751" bestFit="1" customWidth="1"/>
    <col min="14" max="14" width="7.7265625" style="3752" customWidth="1"/>
    <col min="15" max="16" width="8" style="3751" customWidth="1"/>
    <col min="17" max="17" width="13" style="3751" customWidth="1"/>
    <col min="18" max="18" width="19.54296875" style="3751" bestFit="1" customWidth="1"/>
    <col min="19" max="16384" width="9.1796875" style="3751"/>
  </cols>
  <sheetData>
    <row r="1" spans="1:18" x14ac:dyDescent="0.3">
      <c r="D1" s="3750"/>
    </row>
    <row r="2" spans="1:18" ht="13.9" customHeight="1" x14ac:dyDescent="0.3">
      <c r="A2" s="3423">
        <v>1</v>
      </c>
      <c r="B2" s="3423" t="s">
        <v>1516</v>
      </c>
      <c r="C2" s="3423">
        <v>68</v>
      </c>
      <c r="D2" s="4642" t="s">
        <v>1517</v>
      </c>
      <c r="E2" s="4643"/>
      <c r="F2" s="4643"/>
      <c r="G2" s="4643"/>
      <c r="H2" s="4643"/>
      <c r="I2" s="4643"/>
      <c r="J2" s="4643"/>
      <c r="K2" s="4643"/>
      <c r="L2" s="4643"/>
      <c r="M2" s="4643"/>
      <c r="N2" s="4643"/>
      <c r="O2" s="4644"/>
    </row>
    <row r="3" spans="1:18" ht="14.25" customHeight="1" x14ac:dyDescent="0.3">
      <c r="A3" s="3423">
        <v>2</v>
      </c>
      <c r="B3" s="3423" t="s">
        <v>1518</v>
      </c>
      <c r="C3" s="3423"/>
      <c r="D3" s="4642" t="s">
        <v>1519</v>
      </c>
      <c r="E3" s="4643"/>
      <c r="F3" s="4643"/>
      <c r="G3" s="4643"/>
      <c r="H3" s="4643"/>
      <c r="I3" s="4643"/>
      <c r="J3" s="4643"/>
      <c r="K3" s="4643"/>
      <c r="L3" s="4643"/>
      <c r="M3" s="4643"/>
      <c r="N3" s="4643"/>
      <c r="O3" s="4644"/>
    </row>
    <row r="4" spans="1:18" ht="13.9" customHeight="1" x14ac:dyDescent="0.3">
      <c r="A4" s="3423">
        <v>3</v>
      </c>
      <c r="B4" s="3423" t="s">
        <v>4</v>
      </c>
      <c r="C4" s="3423"/>
      <c r="D4" s="4642" t="s">
        <v>1520</v>
      </c>
      <c r="E4" s="4643"/>
      <c r="F4" s="4643"/>
      <c r="G4" s="4643"/>
      <c r="H4" s="4643"/>
      <c r="I4" s="4643"/>
      <c r="J4" s="4643"/>
      <c r="K4" s="4643"/>
      <c r="L4" s="4643"/>
      <c r="M4" s="4643"/>
      <c r="N4" s="4643"/>
      <c r="O4" s="4644"/>
    </row>
    <row r="5" spans="1:18" ht="15" customHeight="1" x14ac:dyDescent="0.3">
      <c r="A5" s="3423">
        <v>4</v>
      </c>
      <c r="B5" s="819" t="s">
        <v>763</v>
      </c>
      <c r="C5" s="819"/>
      <c r="D5" s="4642" t="s">
        <v>1521</v>
      </c>
      <c r="E5" s="4643"/>
      <c r="F5" s="4643"/>
      <c r="G5" s="4643"/>
      <c r="H5" s="4643"/>
      <c r="I5" s="4643"/>
      <c r="J5" s="4643"/>
      <c r="K5" s="4643"/>
      <c r="L5" s="4643"/>
      <c r="M5" s="4643"/>
      <c r="N5" s="4643"/>
      <c r="O5" s="4644"/>
    </row>
    <row r="6" spans="1:18" s="2722" customFormat="1" ht="15.75" customHeight="1" x14ac:dyDescent="0.3">
      <c r="A6" s="3423">
        <v>5</v>
      </c>
      <c r="B6" s="1326" t="s">
        <v>6</v>
      </c>
      <c r="C6" s="1326"/>
      <c r="D6" s="3753"/>
      <c r="E6" s="3753"/>
      <c r="F6" s="3753"/>
      <c r="G6" s="3753"/>
      <c r="H6" s="3753"/>
      <c r="I6" s="3753"/>
      <c r="J6" s="3753"/>
      <c r="N6" s="3754"/>
      <c r="R6" s="3755"/>
    </row>
    <row r="7" spans="1:18" ht="15.75" customHeight="1" x14ac:dyDescent="0.3">
      <c r="B7" s="1326"/>
      <c r="C7" s="1326"/>
      <c r="D7" s="3756" t="s">
        <v>1522</v>
      </c>
      <c r="E7" s="3757"/>
      <c r="F7" s="3757"/>
      <c r="G7" s="3757"/>
      <c r="H7" s="3757"/>
      <c r="I7" s="3757"/>
      <c r="J7" s="3757"/>
      <c r="K7" s="3758"/>
      <c r="L7" s="3758"/>
      <c r="M7" s="3758"/>
      <c r="N7" s="3759"/>
      <c r="O7" s="3758"/>
      <c r="P7" s="3758"/>
      <c r="R7" s="3760"/>
    </row>
    <row r="8" spans="1:18" ht="39" customHeight="1" x14ac:dyDescent="0.3">
      <c r="B8" s="1326"/>
      <c r="C8" s="1326"/>
      <c r="D8" s="3761" t="s">
        <v>1523</v>
      </c>
      <c r="E8" s="3762" t="s">
        <v>117</v>
      </c>
      <c r="F8" s="3762" t="s">
        <v>118</v>
      </c>
      <c r="G8" s="3762" t="s">
        <v>119</v>
      </c>
      <c r="H8" s="3762" t="s">
        <v>120</v>
      </c>
      <c r="I8" s="3762" t="s">
        <v>121</v>
      </c>
      <c r="J8" s="3762" t="s">
        <v>122</v>
      </c>
      <c r="K8" s="3762" t="s">
        <v>123</v>
      </c>
      <c r="L8" s="3762" t="s">
        <v>124</v>
      </c>
      <c r="M8" s="3762" t="s">
        <v>125</v>
      </c>
      <c r="N8" s="3763" t="s">
        <v>126</v>
      </c>
      <c r="O8" s="3763" t="s">
        <v>302</v>
      </c>
      <c r="P8" s="4468" t="s">
        <v>1524</v>
      </c>
      <c r="R8" s="3760"/>
    </row>
    <row r="9" spans="1:18" ht="27.75" customHeight="1" x14ac:dyDescent="0.3">
      <c r="B9" s="1326"/>
      <c r="C9" s="1326"/>
      <c r="D9" s="3764" t="s">
        <v>1525</v>
      </c>
      <c r="E9" s="3765"/>
      <c r="F9" s="3765"/>
      <c r="G9" s="3765"/>
      <c r="H9" s="3765">
        <v>42</v>
      </c>
      <c r="I9" s="3765">
        <v>34</v>
      </c>
      <c r="J9" s="3765">
        <v>23</v>
      </c>
      <c r="K9" s="3765">
        <v>24</v>
      </c>
      <c r="L9" s="3765">
        <v>29</v>
      </c>
      <c r="M9" s="4469">
        <v>39</v>
      </c>
      <c r="N9" s="4470">
        <v>17</v>
      </c>
      <c r="O9" s="4470">
        <v>7</v>
      </c>
      <c r="P9" s="4471">
        <f>(O9-N9)/N9</f>
        <v>-0.58823529411764708</v>
      </c>
      <c r="R9" s="3760"/>
    </row>
    <row r="10" spans="1:18" ht="14.25" customHeight="1" x14ac:dyDescent="0.3">
      <c r="B10" s="1326"/>
      <c r="C10" s="1326"/>
      <c r="D10" s="3766" t="s">
        <v>1526</v>
      </c>
      <c r="E10" s="3767">
        <v>40</v>
      </c>
      <c r="F10" s="3767">
        <v>29</v>
      </c>
      <c r="G10" s="3767">
        <v>107</v>
      </c>
      <c r="H10" s="3767">
        <v>104</v>
      </c>
      <c r="I10" s="3767">
        <v>73</v>
      </c>
      <c r="J10" s="3767">
        <v>130</v>
      </c>
      <c r="K10" s="3767">
        <v>206</v>
      </c>
      <c r="L10" s="3767">
        <v>224</v>
      </c>
      <c r="M10" s="4472">
        <v>213</v>
      </c>
      <c r="N10" s="4473">
        <v>210</v>
      </c>
      <c r="O10" s="4473">
        <v>183</v>
      </c>
      <c r="P10" s="4474">
        <f>(O10-N10)/N10</f>
        <v>-0.12857142857142856</v>
      </c>
      <c r="R10" s="3760"/>
    </row>
    <row r="11" spans="1:18" ht="16.5" customHeight="1" x14ac:dyDescent="0.3">
      <c r="B11" s="1326"/>
      <c r="C11" s="1326"/>
      <c r="D11" s="3770"/>
      <c r="E11" s="3771"/>
      <c r="F11" s="3771"/>
      <c r="G11" s="3771"/>
      <c r="H11" s="3771"/>
      <c r="I11" s="3771"/>
      <c r="J11" s="3771"/>
      <c r="K11" s="3771"/>
      <c r="L11" s="3771"/>
      <c r="M11" s="4469"/>
      <c r="N11" s="4470"/>
      <c r="O11" s="4475"/>
      <c r="P11" s="171"/>
      <c r="R11" s="3760"/>
    </row>
    <row r="12" spans="1:18" ht="15.75" customHeight="1" x14ac:dyDescent="0.3">
      <c r="B12" s="1326"/>
      <c r="C12" s="1326" t="s">
        <v>294</v>
      </c>
      <c r="D12" s="3772" t="s">
        <v>1527</v>
      </c>
      <c r="E12" s="3773"/>
      <c r="F12" s="3773"/>
      <c r="G12" s="3773"/>
      <c r="H12" s="3774"/>
      <c r="I12" s="3775"/>
      <c r="J12" s="3775"/>
      <c r="K12" s="3775"/>
      <c r="L12" s="3776"/>
      <c r="M12" s="2584"/>
      <c r="N12" s="4476"/>
      <c r="O12" s="2584"/>
      <c r="P12" s="171"/>
      <c r="R12" s="3760"/>
    </row>
    <row r="13" spans="1:18" ht="15.75" customHeight="1" x14ac:dyDescent="0.3">
      <c r="B13" s="1326"/>
      <c r="C13" s="1326"/>
      <c r="D13" s="3777"/>
      <c r="E13" s="3778"/>
      <c r="F13" s="3778"/>
      <c r="G13" s="3779" t="s">
        <v>119</v>
      </c>
      <c r="H13" s="3779" t="s">
        <v>120</v>
      </c>
      <c r="I13" s="3780" t="s">
        <v>121</v>
      </c>
      <c r="J13" s="3780" t="s">
        <v>122</v>
      </c>
      <c r="K13" s="3780" t="s">
        <v>123</v>
      </c>
      <c r="L13" s="3780" t="s">
        <v>124</v>
      </c>
      <c r="M13" s="4477" t="s">
        <v>125</v>
      </c>
      <c r="N13" s="4478" t="s">
        <v>126</v>
      </c>
      <c r="O13" s="4478" t="s">
        <v>302</v>
      </c>
      <c r="P13" s="171"/>
    </row>
    <row r="14" spans="1:18" ht="24" customHeight="1" x14ac:dyDescent="0.3">
      <c r="B14" s="1326"/>
      <c r="C14" s="1326"/>
      <c r="D14" s="3781" t="s">
        <v>1528</v>
      </c>
      <c r="E14" s="363"/>
      <c r="F14" s="363"/>
      <c r="G14" s="3782">
        <v>164</v>
      </c>
      <c r="H14" s="3782">
        <v>119</v>
      </c>
      <c r="I14" s="3782">
        <v>294</v>
      </c>
      <c r="J14" s="3782">
        <v>1940</v>
      </c>
      <c r="K14" s="3782">
        <v>3495</v>
      </c>
      <c r="L14" s="3782">
        <v>1194</v>
      </c>
      <c r="M14" s="4479">
        <v>4400</v>
      </c>
      <c r="N14" s="4480">
        <v>455</v>
      </c>
      <c r="O14" s="4480">
        <v>455</v>
      </c>
      <c r="P14" s="171"/>
    </row>
    <row r="15" spans="1:18" ht="15.75" customHeight="1" x14ac:dyDescent="0.3">
      <c r="B15" s="1326"/>
      <c r="C15" s="1326"/>
      <c r="D15" s="3783" t="s">
        <v>1529</v>
      </c>
      <c r="E15" s="3784"/>
      <c r="F15" s="3784"/>
      <c r="G15" s="3767">
        <v>318</v>
      </c>
      <c r="H15" s="3767">
        <v>276</v>
      </c>
      <c r="I15" s="3767">
        <v>363</v>
      </c>
      <c r="J15" s="3767">
        <v>342</v>
      </c>
      <c r="K15" s="3767">
        <v>326</v>
      </c>
      <c r="L15" s="3767">
        <v>377</v>
      </c>
      <c r="M15" s="3767">
        <v>324</v>
      </c>
      <c r="N15" s="3768">
        <v>273</v>
      </c>
      <c r="O15" s="3769">
        <v>326</v>
      </c>
      <c r="P15" s="3758"/>
    </row>
    <row r="16" spans="1:18" ht="20.5" customHeight="1" x14ac:dyDescent="0.3">
      <c r="B16" s="1326"/>
      <c r="C16" s="1326"/>
      <c r="D16" s="3785" t="s">
        <v>1530</v>
      </c>
      <c r="E16" s="3765"/>
      <c r="F16" s="3765"/>
      <c r="G16" s="3786">
        <v>318</v>
      </c>
      <c r="H16" s="3786">
        <v>324</v>
      </c>
      <c r="I16" s="3786">
        <v>281</v>
      </c>
      <c r="J16" s="3786">
        <v>281</v>
      </c>
      <c r="K16" s="3786">
        <v>321</v>
      </c>
      <c r="L16" s="3786">
        <v>324</v>
      </c>
      <c r="M16" s="3786">
        <v>261</v>
      </c>
      <c r="N16" s="3787">
        <v>264</v>
      </c>
      <c r="O16" s="3788">
        <v>300</v>
      </c>
      <c r="P16" s="3758"/>
    </row>
    <row r="17" spans="1:16" ht="15.75" customHeight="1" x14ac:dyDescent="0.3">
      <c r="B17" s="1326"/>
      <c r="C17" s="1326"/>
      <c r="D17" s="3753"/>
      <c r="E17" s="3753"/>
      <c r="F17" s="3753"/>
      <c r="G17" s="3753"/>
      <c r="H17" s="3753"/>
      <c r="I17" s="3753"/>
      <c r="J17" s="3753"/>
    </row>
    <row r="18" spans="1:16" ht="15.75" customHeight="1" x14ac:dyDescent="0.3">
      <c r="B18" s="1326"/>
      <c r="C18" s="1326"/>
      <c r="D18" s="3753"/>
      <c r="E18" s="3753"/>
      <c r="F18" s="3753"/>
      <c r="G18" s="3753"/>
      <c r="H18" s="3753"/>
      <c r="I18" s="3753"/>
      <c r="J18" s="3753"/>
    </row>
    <row r="19" spans="1:16" x14ac:dyDescent="0.3">
      <c r="B19" s="1326"/>
      <c r="C19" s="1326"/>
    </row>
    <row r="20" spans="1:16" x14ac:dyDescent="0.3">
      <c r="B20" s="1326"/>
      <c r="C20" s="1326"/>
    </row>
    <row r="21" spans="1:16" s="3795" customFormat="1" x14ac:dyDescent="0.3">
      <c r="A21" s="3789"/>
      <c r="B21" s="3790"/>
      <c r="C21" s="3790"/>
      <c r="D21" s="3791"/>
      <c r="E21" s="3792"/>
      <c r="F21" s="3792"/>
      <c r="G21" s="3792"/>
      <c r="H21" s="3793"/>
      <c r="I21" s="3794"/>
      <c r="N21" s="3796"/>
      <c r="O21" s="3797"/>
      <c r="P21" s="3797"/>
    </row>
    <row r="22" spans="1:16" s="3795" customFormat="1" x14ac:dyDescent="0.3">
      <c r="A22" s="3789"/>
      <c r="B22" s="3790"/>
      <c r="C22" s="3790"/>
      <c r="D22" s="3791"/>
      <c r="E22" s="3792"/>
      <c r="F22" s="3792"/>
      <c r="G22" s="3792"/>
      <c r="H22" s="3793"/>
      <c r="I22" s="3794"/>
      <c r="N22" s="3796"/>
      <c r="O22" s="3797"/>
      <c r="P22" s="3797"/>
    </row>
    <row r="23" spans="1:16" s="3795" customFormat="1" x14ac:dyDescent="0.3">
      <c r="A23" s="3789"/>
      <c r="B23" s="3790"/>
      <c r="C23" s="3790"/>
      <c r="N23" s="3796"/>
      <c r="O23" s="3797"/>
      <c r="P23" s="3797"/>
    </row>
    <row r="24" spans="1:16" s="3795" customFormat="1" x14ac:dyDescent="0.3">
      <c r="A24" s="3789"/>
      <c r="B24" s="3790"/>
      <c r="C24" s="3790"/>
      <c r="N24" s="3796"/>
      <c r="O24" s="3797"/>
      <c r="P24" s="3797"/>
    </row>
    <row r="25" spans="1:16" s="3795" customFormat="1" x14ac:dyDescent="0.3">
      <c r="A25" s="3789"/>
      <c r="B25" s="3790"/>
      <c r="C25" s="3790"/>
      <c r="N25" s="3796"/>
      <c r="O25" s="3797"/>
      <c r="P25" s="3797"/>
    </row>
    <row r="26" spans="1:16" s="3795" customFormat="1" x14ac:dyDescent="0.3">
      <c r="A26" s="3789"/>
      <c r="B26" s="3790"/>
      <c r="C26" s="3790"/>
      <c r="N26" s="3796"/>
      <c r="O26" s="3797"/>
      <c r="P26" s="3797"/>
    </row>
    <row r="27" spans="1:16" s="3795" customFormat="1" x14ac:dyDescent="0.3">
      <c r="A27" s="3789"/>
      <c r="B27" s="3790"/>
      <c r="C27" s="3790"/>
      <c r="N27" s="3796"/>
      <c r="O27" s="3797"/>
      <c r="P27" s="3797"/>
    </row>
    <row r="28" spans="1:16" s="3795" customFormat="1" x14ac:dyDescent="0.3">
      <c r="A28" s="3789"/>
      <c r="B28" s="3790"/>
      <c r="C28" s="3790"/>
      <c r="N28" s="3796"/>
      <c r="O28" s="3797"/>
      <c r="P28" s="3797"/>
    </row>
    <row r="29" spans="1:16" s="3795" customFormat="1" x14ac:dyDescent="0.3">
      <c r="A29" s="3789"/>
      <c r="B29" s="3790"/>
      <c r="C29" s="3790"/>
      <c r="N29" s="3796"/>
      <c r="O29" s="3797"/>
      <c r="P29" s="3797"/>
    </row>
    <row r="30" spans="1:16" s="3795" customFormat="1" x14ac:dyDescent="0.3">
      <c r="A30" s="3789"/>
      <c r="B30" s="3790"/>
      <c r="C30" s="3790"/>
      <c r="N30" s="3796"/>
      <c r="O30" s="3797"/>
      <c r="P30" s="3797"/>
    </row>
    <row r="31" spans="1:16" s="3795" customFormat="1" ht="18" customHeight="1" x14ac:dyDescent="0.3">
      <c r="A31" s="3789"/>
      <c r="B31" s="3790"/>
      <c r="C31" s="3790"/>
      <c r="N31" s="3796"/>
      <c r="O31" s="3797"/>
      <c r="P31" s="3797"/>
    </row>
    <row r="32" spans="1:16" ht="26.15" customHeight="1" x14ac:dyDescent="0.3">
      <c r="A32" s="3751"/>
      <c r="B32" s="3751"/>
      <c r="C32" s="3751"/>
      <c r="D32" s="3750"/>
    </row>
    <row r="33" spans="1:15" ht="16.5" customHeight="1" x14ac:dyDescent="0.3">
      <c r="A33" s="3423">
        <v>7</v>
      </c>
      <c r="B33" s="3423" t="s">
        <v>58</v>
      </c>
      <c r="C33" s="3423"/>
      <c r="D33" s="4642" t="s">
        <v>1531</v>
      </c>
      <c r="E33" s="4643"/>
      <c r="F33" s="4643"/>
      <c r="G33" s="4643"/>
      <c r="H33" s="4643"/>
      <c r="I33" s="4643"/>
      <c r="J33" s="4643"/>
      <c r="K33" s="4643"/>
      <c r="L33" s="4643"/>
      <c r="M33" s="4643"/>
      <c r="N33" s="4643"/>
      <c r="O33" s="4644"/>
    </row>
    <row r="34" spans="1:15" ht="119.15" customHeight="1" x14ac:dyDescent="0.3">
      <c r="A34" s="3511">
        <v>8</v>
      </c>
      <c r="B34" s="3511" t="s">
        <v>60</v>
      </c>
      <c r="C34" s="3511"/>
      <c r="D34" s="4757" t="s">
        <v>1532</v>
      </c>
      <c r="E34" s="4758"/>
      <c r="F34" s="4758"/>
      <c r="G34" s="4758"/>
      <c r="H34" s="4758"/>
      <c r="I34" s="4758"/>
      <c r="J34" s="4758"/>
      <c r="K34" s="4758"/>
      <c r="L34" s="4758"/>
      <c r="M34" s="4758"/>
      <c r="N34" s="4758"/>
      <c r="O34" s="4759"/>
    </row>
    <row r="35" spans="1:15" ht="13.9" customHeight="1" x14ac:dyDescent="0.3">
      <c r="A35" s="3423">
        <v>9</v>
      </c>
      <c r="B35" s="3423" t="s">
        <v>62</v>
      </c>
      <c r="C35" s="3423"/>
      <c r="D35" s="4642" t="s">
        <v>1533</v>
      </c>
      <c r="E35" s="4643"/>
      <c r="F35" s="4643"/>
      <c r="G35" s="4643"/>
      <c r="H35" s="4643"/>
      <c r="I35" s="4643"/>
      <c r="J35" s="4643"/>
      <c r="K35" s="4643"/>
      <c r="L35" s="4643"/>
      <c r="M35" s="4643"/>
      <c r="N35" s="4643"/>
      <c r="O35" s="4644"/>
    </row>
    <row r="37" spans="1:15" x14ac:dyDescent="0.3">
      <c r="A37" s="3751"/>
      <c r="B37" s="3751"/>
      <c r="C37" s="3751"/>
      <c r="D37" s="3798"/>
    </row>
  </sheetData>
  <mergeCells count="7">
    <mergeCell ref="D35:O35"/>
    <mergeCell ref="D2:O2"/>
    <mergeCell ref="D3:O3"/>
    <mergeCell ref="D4:O4"/>
    <mergeCell ref="D5:O5"/>
    <mergeCell ref="D33:O33"/>
    <mergeCell ref="D34:O34"/>
  </mergeCells>
  <pageMargins left="0.74803149606299213" right="0.74803149606299213" top="0.98425196850393704" bottom="0.98425196850393704" header="0.51181102362204722" footer="0.51181102362204722"/>
  <pageSetup paperSize="9" scale="77"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32" max="16"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249977111117893"/>
    <pageSetUpPr fitToPage="1"/>
  </sheetPr>
  <dimension ref="A1:AM62"/>
  <sheetViews>
    <sheetView showGridLines="0" view="pageBreakPreview" zoomScale="110" zoomScaleNormal="100" zoomScaleSheetLayoutView="110" workbookViewId="0">
      <selection activeCell="Y27" sqref="Y27"/>
    </sheetView>
  </sheetViews>
  <sheetFormatPr defaultColWidth="9.1796875" defaultRowHeight="14.5" x14ac:dyDescent="0.25"/>
  <cols>
    <col min="1" max="1" width="3.81640625" style="723" customWidth="1"/>
    <col min="2" max="2" width="10.453125" style="1980" customWidth="1"/>
    <col min="3" max="3" width="5.81640625" style="1980" customWidth="1"/>
    <col min="4" max="4" width="20.81640625" style="3799" customWidth="1"/>
    <col min="5" max="5" width="11.1796875" style="3799" customWidth="1"/>
    <col min="6" max="6" width="8" style="3799" customWidth="1"/>
    <col min="7" max="7" width="8.1796875" style="3799" customWidth="1"/>
    <col min="8" max="9" width="7.54296875" style="3799" customWidth="1"/>
    <col min="10" max="10" width="8.81640625" style="3799" customWidth="1"/>
    <col min="11" max="12" width="7.54296875" style="3799" customWidth="1"/>
    <col min="13" max="13" width="7.81640625" style="3799" customWidth="1"/>
    <col min="14" max="14" width="7.453125" style="3799" customWidth="1"/>
    <col min="15" max="16" width="6.81640625" style="3799" customWidth="1"/>
    <col min="17" max="17" width="8.81640625" style="3799" customWidth="1"/>
    <col min="18" max="18" width="7.81640625" style="3799" customWidth="1"/>
    <col min="19" max="19" width="7.1796875" style="3799" customWidth="1"/>
    <col min="20" max="20" width="6.81640625" style="3799" customWidth="1"/>
    <col min="21" max="21" width="8.1796875" style="3799" customWidth="1"/>
    <col min="22" max="22" width="7.54296875" style="3799" customWidth="1"/>
    <col min="23" max="23" width="8.54296875" style="3799" customWidth="1"/>
    <col min="24" max="260" width="9.1796875" style="3799"/>
    <col min="261" max="261" width="3.81640625" style="3799" customWidth="1"/>
    <col min="262" max="262" width="14.453125" style="3799" customWidth="1"/>
    <col min="263" max="263" width="4" style="3799" customWidth="1"/>
    <col min="264" max="264" width="22.453125" style="3799" customWidth="1"/>
    <col min="265" max="265" width="11.54296875" style="3799" customWidth="1"/>
    <col min="266" max="275" width="8.81640625" style="3799" customWidth="1"/>
    <col min="276" max="516" width="9.1796875" style="3799"/>
    <col min="517" max="517" width="3.81640625" style="3799" customWidth="1"/>
    <col min="518" max="518" width="14.453125" style="3799" customWidth="1"/>
    <col min="519" max="519" width="4" style="3799" customWidth="1"/>
    <col min="520" max="520" width="22.453125" style="3799" customWidth="1"/>
    <col min="521" max="521" width="11.54296875" style="3799" customWidth="1"/>
    <col min="522" max="531" width="8.81640625" style="3799" customWidth="1"/>
    <col min="532" max="772" width="9.1796875" style="3799"/>
    <col min="773" max="773" width="3.81640625" style="3799" customWidth="1"/>
    <col min="774" max="774" width="14.453125" style="3799" customWidth="1"/>
    <col min="775" max="775" width="4" style="3799" customWidth="1"/>
    <col min="776" max="776" width="22.453125" style="3799" customWidth="1"/>
    <col min="777" max="777" width="11.54296875" style="3799" customWidth="1"/>
    <col min="778" max="787" width="8.81640625" style="3799" customWidth="1"/>
    <col min="788" max="1028" width="9.1796875" style="3799"/>
    <col min="1029" max="1029" width="3.81640625" style="3799" customWidth="1"/>
    <col min="1030" max="1030" width="14.453125" style="3799" customWidth="1"/>
    <col min="1031" max="1031" width="4" style="3799" customWidth="1"/>
    <col min="1032" max="1032" width="22.453125" style="3799" customWidth="1"/>
    <col min="1033" max="1033" width="11.54296875" style="3799" customWidth="1"/>
    <col min="1034" max="1043" width="8.81640625" style="3799" customWidth="1"/>
    <col min="1044" max="1284" width="9.1796875" style="3799"/>
    <col min="1285" max="1285" width="3.81640625" style="3799" customWidth="1"/>
    <col min="1286" max="1286" width="14.453125" style="3799" customWidth="1"/>
    <col min="1287" max="1287" width="4" style="3799" customWidth="1"/>
    <col min="1288" max="1288" width="22.453125" style="3799" customWidth="1"/>
    <col min="1289" max="1289" width="11.54296875" style="3799" customWidth="1"/>
    <col min="1290" max="1299" width="8.81640625" style="3799" customWidth="1"/>
    <col min="1300" max="1540" width="9.1796875" style="3799"/>
    <col min="1541" max="1541" width="3.81640625" style="3799" customWidth="1"/>
    <col min="1542" max="1542" width="14.453125" style="3799" customWidth="1"/>
    <col min="1543" max="1543" width="4" style="3799" customWidth="1"/>
    <col min="1544" max="1544" width="22.453125" style="3799" customWidth="1"/>
    <col min="1545" max="1545" width="11.54296875" style="3799" customWidth="1"/>
    <col min="1546" max="1555" width="8.81640625" style="3799" customWidth="1"/>
    <col min="1556" max="1796" width="9.1796875" style="3799"/>
    <col min="1797" max="1797" width="3.81640625" style="3799" customWidth="1"/>
    <col min="1798" max="1798" width="14.453125" style="3799" customWidth="1"/>
    <col min="1799" max="1799" width="4" style="3799" customWidth="1"/>
    <col min="1800" max="1800" width="22.453125" style="3799" customWidth="1"/>
    <col min="1801" max="1801" width="11.54296875" style="3799" customWidth="1"/>
    <col min="1802" max="1811" width="8.81640625" style="3799" customWidth="1"/>
    <col min="1812" max="2052" width="9.1796875" style="3799"/>
    <col min="2053" max="2053" width="3.81640625" style="3799" customWidth="1"/>
    <col min="2054" max="2054" width="14.453125" style="3799" customWidth="1"/>
    <col min="2055" max="2055" width="4" style="3799" customWidth="1"/>
    <col min="2056" max="2056" width="22.453125" style="3799" customWidth="1"/>
    <col min="2057" max="2057" width="11.54296875" style="3799" customWidth="1"/>
    <col min="2058" max="2067" width="8.81640625" style="3799" customWidth="1"/>
    <col min="2068" max="2308" width="9.1796875" style="3799"/>
    <col min="2309" max="2309" width="3.81640625" style="3799" customWidth="1"/>
    <col min="2310" max="2310" width="14.453125" style="3799" customWidth="1"/>
    <col min="2311" max="2311" width="4" style="3799" customWidth="1"/>
    <col min="2312" max="2312" width="22.453125" style="3799" customWidth="1"/>
    <col min="2313" max="2313" width="11.54296875" style="3799" customWidth="1"/>
    <col min="2314" max="2323" width="8.81640625" style="3799" customWidth="1"/>
    <col min="2324" max="2564" width="9.1796875" style="3799"/>
    <col min="2565" max="2565" width="3.81640625" style="3799" customWidth="1"/>
    <col min="2566" max="2566" width="14.453125" style="3799" customWidth="1"/>
    <col min="2567" max="2567" width="4" style="3799" customWidth="1"/>
    <col min="2568" max="2568" width="22.453125" style="3799" customWidth="1"/>
    <col min="2569" max="2569" width="11.54296875" style="3799" customWidth="1"/>
    <col min="2570" max="2579" width="8.81640625" style="3799" customWidth="1"/>
    <col min="2580" max="2820" width="9.1796875" style="3799"/>
    <col min="2821" max="2821" width="3.81640625" style="3799" customWidth="1"/>
    <col min="2822" max="2822" width="14.453125" style="3799" customWidth="1"/>
    <col min="2823" max="2823" width="4" style="3799" customWidth="1"/>
    <col min="2824" max="2824" width="22.453125" style="3799" customWidth="1"/>
    <col min="2825" max="2825" width="11.54296875" style="3799" customWidth="1"/>
    <col min="2826" max="2835" width="8.81640625" style="3799" customWidth="1"/>
    <col min="2836" max="3076" width="9.1796875" style="3799"/>
    <col min="3077" max="3077" width="3.81640625" style="3799" customWidth="1"/>
    <col min="3078" max="3078" width="14.453125" style="3799" customWidth="1"/>
    <col min="3079" max="3079" width="4" style="3799" customWidth="1"/>
    <col min="3080" max="3080" width="22.453125" style="3799" customWidth="1"/>
    <col min="3081" max="3081" width="11.54296875" style="3799" customWidth="1"/>
    <col min="3082" max="3091" width="8.81640625" style="3799" customWidth="1"/>
    <col min="3092" max="3332" width="9.1796875" style="3799"/>
    <col min="3333" max="3333" width="3.81640625" style="3799" customWidth="1"/>
    <col min="3334" max="3334" width="14.453125" style="3799" customWidth="1"/>
    <col min="3335" max="3335" width="4" style="3799" customWidth="1"/>
    <col min="3336" max="3336" width="22.453125" style="3799" customWidth="1"/>
    <col min="3337" max="3337" width="11.54296875" style="3799" customWidth="1"/>
    <col min="3338" max="3347" width="8.81640625" style="3799" customWidth="1"/>
    <col min="3348" max="3588" width="9.1796875" style="3799"/>
    <col min="3589" max="3589" width="3.81640625" style="3799" customWidth="1"/>
    <col min="3590" max="3590" width="14.453125" style="3799" customWidth="1"/>
    <col min="3591" max="3591" width="4" style="3799" customWidth="1"/>
    <col min="3592" max="3592" width="22.453125" style="3799" customWidth="1"/>
    <col min="3593" max="3593" width="11.54296875" style="3799" customWidth="1"/>
    <col min="3594" max="3603" width="8.81640625" style="3799" customWidth="1"/>
    <col min="3604" max="3844" width="9.1796875" style="3799"/>
    <col min="3845" max="3845" width="3.81640625" style="3799" customWidth="1"/>
    <col min="3846" max="3846" width="14.453125" style="3799" customWidth="1"/>
    <col min="3847" max="3847" width="4" style="3799" customWidth="1"/>
    <col min="3848" max="3848" width="22.453125" style="3799" customWidth="1"/>
    <col min="3849" max="3849" width="11.54296875" style="3799" customWidth="1"/>
    <col min="3850" max="3859" width="8.81640625" style="3799" customWidth="1"/>
    <col min="3860" max="4100" width="9.1796875" style="3799"/>
    <col min="4101" max="4101" width="3.81640625" style="3799" customWidth="1"/>
    <col min="4102" max="4102" width="14.453125" style="3799" customWidth="1"/>
    <col min="4103" max="4103" width="4" style="3799" customWidth="1"/>
    <col min="4104" max="4104" width="22.453125" style="3799" customWidth="1"/>
    <col min="4105" max="4105" width="11.54296875" style="3799" customWidth="1"/>
    <col min="4106" max="4115" width="8.81640625" style="3799" customWidth="1"/>
    <col min="4116" max="4356" width="9.1796875" style="3799"/>
    <col min="4357" max="4357" width="3.81640625" style="3799" customWidth="1"/>
    <col min="4358" max="4358" width="14.453125" style="3799" customWidth="1"/>
    <col min="4359" max="4359" width="4" style="3799" customWidth="1"/>
    <col min="4360" max="4360" width="22.453125" style="3799" customWidth="1"/>
    <col min="4361" max="4361" width="11.54296875" style="3799" customWidth="1"/>
    <col min="4362" max="4371" width="8.81640625" style="3799" customWidth="1"/>
    <col min="4372" max="4612" width="9.1796875" style="3799"/>
    <col min="4613" max="4613" width="3.81640625" style="3799" customWidth="1"/>
    <col min="4614" max="4614" width="14.453125" style="3799" customWidth="1"/>
    <col min="4615" max="4615" width="4" style="3799" customWidth="1"/>
    <col min="4616" max="4616" width="22.453125" style="3799" customWidth="1"/>
    <col min="4617" max="4617" width="11.54296875" style="3799" customWidth="1"/>
    <col min="4618" max="4627" width="8.81640625" style="3799" customWidth="1"/>
    <col min="4628" max="4868" width="9.1796875" style="3799"/>
    <col min="4869" max="4869" width="3.81640625" style="3799" customWidth="1"/>
    <col min="4870" max="4870" width="14.453125" style="3799" customWidth="1"/>
    <col min="4871" max="4871" width="4" style="3799" customWidth="1"/>
    <col min="4872" max="4872" width="22.453125" style="3799" customWidth="1"/>
    <col min="4873" max="4873" width="11.54296875" style="3799" customWidth="1"/>
    <col min="4874" max="4883" width="8.81640625" style="3799" customWidth="1"/>
    <col min="4884" max="5124" width="9.1796875" style="3799"/>
    <col min="5125" max="5125" width="3.81640625" style="3799" customWidth="1"/>
    <col min="5126" max="5126" width="14.453125" style="3799" customWidth="1"/>
    <col min="5127" max="5127" width="4" style="3799" customWidth="1"/>
    <col min="5128" max="5128" width="22.453125" style="3799" customWidth="1"/>
    <col min="5129" max="5129" width="11.54296875" style="3799" customWidth="1"/>
    <col min="5130" max="5139" width="8.81640625" style="3799" customWidth="1"/>
    <col min="5140" max="5380" width="9.1796875" style="3799"/>
    <col min="5381" max="5381" width="3.81640625" style="3799" customWidth="1"/>
    <col min="5382" max="5382" width="14.453125" style="3799" customWidth="1"/>
    <col min="5383" max="5383" width="4" style="3799" customWidth="1"/>
    <col min="5384" max="5384" width="22.453125" style="3799" customWidth="1"/>
    <col min="5385" max="5385" width="11.54296875" style="3799" customWidth="1"/>
    <col min="5386" max="5395" width="8.81640625" style="3799" customWidth="1"/>
    <col min="5396" max="5636" width="9.1796875" style="3799"/>
    <col min="5637" max="5637" width="3.81640625" style="3799" customWidth="1"/>
    <col min="5638" max="5638" width="14.453125" style="3799" customWidth="1"/>
    <col min="5639" max="5639" width="4" style="3799" customWidth="1"/>
    <col min="5640" max="5640" width="22.453125" style="3799" customWidth="1"/>
    <col min="5641" max="5641" width="11.54296875" style="3799" customWidth="1"/>
    <col min="5642" max="5651" width="8.81640625" style="3799" customWidth="1"/>
    <col min="5652" max="5892" width="9.1796875" style="3799"/>
    <col min="5893" max="5893" width="3.81640625" style="3799" customWidth="1"/>
    <col min="5894" max="5894" width="14.453125" style="3799" customWidth="1"/>
    <col min="5895" max="5895" width="4" style="3799" customWidth="1"/>
    <col min="5896" max="5896" width="22.453125" style="3799" customWidth="1"/>
    <col min="5897" max="5897" width="11.54296875" style="3799" customWidth="1"/>
    <col min="5898" max="5907" width="8.81640625" style="3799" customWidth="1"/>
    <col min="5908" max="6148" width="9.1796875" style="3799"/>
    <col min="6149" max="6149" width="3.81640625" style="3799" customWidth="1"/>
    <col min="6150" max="6150" width="14.453125" style="3799" customWidth="1"/>
    <col min="6151" max="6151" width="4" style="3799" customWidth="1"/>
    <col min="6152" max="6152" width="22.453125" style="3799" customWidth="1"/>
    <col min="6153" max="6153" width="11.54296875" style="3799" customWidth="1"/>
    <col min="6154" max="6163" width="8.81640625" style="3799" customWidth="1"/>
    <col min="6164" max="6404" width="9.1796875" style="3799"/>
    <col min="6405" max="6405" width="3.81640625" style="3799" customWidth="1"/>
    <col min="6406" max="6406" width="14.453125" style="3799" customWidth="1"/>
    <col min="6407" max="6407" width="4" style="3799" customWidth="1"/>
    <col min="6408" max="6408" width="22.453125" style="3799" customWidth="1"/>
    <col min="6409" max="6409" width="11.54296875" style="3799" customWidth="1"/>
    <col min="6410" max="6419" width="8.81640625" style="3799" customWidth="1"/>
    <col min="6420" max="6660" width="9.1796875" style="3799"/>
    <col min="6661" max="6661" width="3.81640625" style="3799" customWidth="1"/>
    <col min="6662" max="6662" width="14.453125" style="3799" customWidth="1"/>
    <col min="6663" max="6663" width="4" style="3799" customWidth="1"/>
    <col min="6664" max="6664" width="22.453125" style="3799" customWidth="1"/>
    <col min="6665" max="6665" width="11.54296875" style="3799" customWidth="1"/>
    <col min="6666" max="6675" width="8.81640625" style="3799" customWidth="1"/>
    <col min="6676" max="6916" width="9.1796875" style="3799"/>
    <col min="6917" max="6917" width="3.81640625" style="3799" customWidth="1"/>
    <col min="6918" max="6918" width="14.453125" style="3799" customWidth="1"/>
    <col min="6919" max="6919" width="4" style="3799" customWidth="1"/>
    <col min="6920" max="6920" width="22.453125" style="3799" customWidth="1"/>
    <col min="6921" max="6921" width="11.54296875" style="3799" customWidth="1"/>
    <col min="6922" max="6931" width="8.81640625" style="3799" customWidth="1"/>
    <col min="6932" max="7172" width="9.1796875" style="3799"/>
    <col min="7173" max="7173" width="3.81640625" style="3799" customWidth="1"/>
    <col min="7174" max="7174" width="14.453125" style="3799" customWidth="1"/>
    <col min="7175" max="7175" width="4" style="3799" customWidth="1"/>
    <col min="7176" max="7176" width="22.453125" style="3799" customWidth="1"/>
    <col min="7177" max="7177" width="11.54296875" style="3799" customWidth="1"/>
    <col min="7178" max="7187" width="8.81640625" style="3799" customWidth="1"/>
    <col min="7188" max="7428" width="9.1796875" style="3799"/>
    <col min="7429" max="7429" width="3.81640625" style="3799" customWidth="1"/>
    <col min="7430" max="7430" width="14.453125" style="3799" customWidth="1"/>
    <col min="7431" max="7431" width="4" style="3799" customWidth="1"/>
    <col min="7432" max="7432" width="22.453125" style="3799" customWidth="1"/>
    <col min="7433" max="7433" width="11.54296875" style="3799" customWidth="1"/>
    <col min="7434" max="7443" width="8.81640625" style="3799" customWidth="1"/>
    <col min="7444" max="7684" width="9.1796875" style="3799"/>
    <col min="7685" max="7685" width="3.81640625" style="3799" customWidth="1"/>
    <col min="7686" max="7686" width="14.453125" style="3799" customWidth="1"/>
    <col min="7687" max="7687" width="4" style="3799" customWidth="1"/>
    <col min="7688" max="7688" width="22.453125" style="3799" customWidth="1"/>
    <col min="7689" max="7689" width="11.54296875" style="3799" customWidth="1"/>
    <col min="7690" max="7699" width="8.81640625" style="3799" customWidth="1"/>
    <col min="7700" max="7940" width="9.1796875" style="3799"/>
    <col min="7941" max="7941" width="3.81640625" style="3799" customWidth="1"/>
    <col min="7942" max="7942" width="14.453125" style="3799" customWidth="1"/>
    <col min="7943" max="7943" width="4" style="3799" customWidth="1"/>
    <col min="7944" max="7944" width="22.453125" style="3799" customWidth="1"/>
    <col min="7945" max="7945" width="11.54296875" style="3799" customWidth="1"/>
    <col min="7946" max="7955" width="8.81640625" style="3799" customWidth="1"/>
    <col min="7956" max="8196" width="9.1796875" style="3799"/>
    <col min="8197" max="8197" width="3.81640625" style="3799" customWidth="1"/>
    <col min="8198" max="8198" width="14.453125" style="3799" customWidth="1"/>
    <col min="8199" max="8199" width="4" style="3799" customWidth="1"/>
    <col min="8200" max="8200" width="22.453125" style="3799" customWidth="1"/>
    <col min="8201" max="8201" width="11.54296875" style="3799" customWidth="1"/>
    <col min="8202" max="8211" width="8.81640625" style="3799" customWidth="1"/>
    <col min="8212" max="8452" width="9.1796875" style="3799"/>
    <col min="8453" max="8453" width="3.81640625" style="3799" customWidth="1"/>
    <col min="8454" max="8454" width="14.453125" style="3799" customWidth="1"/>
    <col min="8455" max="8455" width="4" style="3799" customWidth="1"/>
    <col min="8456" max="8456" width="22.453125" style="3799" customWidth="1"/>
    <col min="8457" max="8457" width="11.54296875" style="3799" customWidth="1"/>
    <col min="8458" max="8467" width="8.81640625" style="3799" customWidth="1"/>
    <col min="8468" max="8708" width="9.1796875" style="3799"/>
    <col min="8709" max="8709" width="3.81640625" style="3799" customWidth="1"/>
    <col min="8710" max="8710" width="14.453125" style="3799" customWidth="1"/>
    <col min="8711" max="8711" width="4" style="3799" customWidth="1"/>
    <col min="8712" max="8712" width="22.453125" style="3799" customWidth="1"/>
    <col min="8713" max="8713" width="11.54296875" style="3799" customWidth="1"/>
    <col min="8714" max="8723" width="8.81640625" style="3799" customWidth="1"/>
    <col min="8724" max="8964" width="9.1796875" style="3799"/>
    <col min="8965" max="8965" width="3.81640625" style="3799" customWidth="1"/>
    <col min="8966" max="8966" width="14.453125" style="3799" customWidth="1"/>
    <col min="8967" max="8967" width="4" style="3799" customWidth="1"/>
    <col min="8968" max="8968" width="22.453125" style="3799" customWidth="1"/>
    <col min="8969" max="8969" width="11.54296875" style="3799" customWidth="1"/>
    <col min="8970" max="8979" width="8.81640625" style="3799" customWidth="1"/>
    <col min="8980" max="9220" width="9.1796875" style="3799"/>
    <col min="9221" max="9221" width="3.81640625" style="3799" customWidth="1"/>
    <col min="9222" max="9222" width="14.453125" style="3799" customWidth="1"/>
    <col min="9223" max="9223" width="4" style="3799" customWidth="1"/>
    <col min="9224" max="9224" width="22.453125" style="3799" customWidth="1"/>
    <col min="9225" max="9225" width="11.54296875" style="3799" customWidth="1"/>
    <col min="9226" max="9235" width="8.81640625" style="3799" customWidth="1"/>
    <col min="9236" max="9476" width="9.1796875" style="3799"/>
    <col min="9477" max="9477" width="3.81640625" style="3799" customWidth="1"/>
    <col min="9478" max="9478" width="14.453125" style="3799" customWidth="1"/>
    <col min="9479" max="9479" width="4" style="3799" customWidth="1"/>
    <col min="9480" max="9480" width="22.453125" style="3799" customWidth="1"/>
    <col min="9481" max="9481" width="11.54296875" style="3799" customWidth="1"/>
    <col min="9482" max="9491" width="8.81640625" style="3799" customWidth="1"/>
    <col min="9492" max="9732" width="9.1796875" style="3799"/>
    <col min="9733" max="9733" width="3.81640625" style="3799" customWidth="1"/>
    <col min="9734" max="9734" width="14.453125" style="3799" customWidth="1"/>
    <col min="9735" max="9735" width="4" style="3799" customWidth="1"/>
    <col min="9736" max="9736" width="22.453125" style="3799" customWidth="1"/>
    <col min="9737" max="9737" width="11.54296875" style="3799" customWidth="1"/>
    <col min="9738" max="9747" width="8.81640625" style="3799" customWidth="1"/>
    <col min="9748" max="9988" width="9.1796875" style="3799"/>
    <col min="9989" max="9989" width="3.81640625" style="3799" customWidth="1"/>
    <col min="9990" max="9990" width="14.453125" style="3799" customWidth="1"/>
    <col min="9991" max="9991" width="4" style="3799" customWidth="1"/>
    <col min="9992" max="9992" width="22.453125" style="3799" customWidth="1"/>
    <col min="9993" max="9993" width="11.54296875" style="3799" customWidth="1"/>
    <col min="9994" max="10003" width="8.81640625" style="3799" customWidth="1"/>
    <col min="10004" max="10244" width="9.1796875" style="3799"/>
    <col min="10245" max="10245" width="3.81640625" style="3799" customWidth="1"/>
    <col min="10246" max="10246" width="14.453125" style="3799" customWidth="1"/>
    <col min="10247" max="10247" width="4" style="3799" customWidth="1"/>
    <col min="10248" max="10248" width="22.453125" style="3799" customWidth="1"/>
    <col min="10249" max="10249" width="11.54296875" style="3799" customWidth="1"/>
    <col min="10250" max="10259" width="8.81640625" style="3799" customWidth="1"/>
    <col min="10260" max="10500" width="9.1796875" style="3799"/>
    <col min="10501" max="10501" width="3.81640625" style="3799" customWidth="1"/>
    <col min="10502" max="10502" width="14.453125" style="3799" customWidth="1"/>
    <col min="10503" max="10503" width="4" style="3799" customWidth="1"/>
    <col min="10504" max="10504" width="22.453125" style="3799" customWidth="1"/>
    <col min="10505" max="10505" width="11.54296875" style="3799" customWidth="1"/>
    <col min="10506" max="10515" width="8.81640625" style="3799" customWidth="1"/>
    <col min="10516" max="10756" width="9.1796875" style="3799"/>
    <col min="10757" max="10757" width="3.81640625" style="3799" customWidth="1"/>
    <col min="10758" max="10758" width="14.453125" style="3799" customWidth="1"/>
    <col min="10759" max="10759" width="4" style="3799" customWidth="1"/>
    <col min="10760" max="10760" width="22.453125" style="3799" customWidth="1"/>
    <col min="10761" max="10761" width="11.54296875" style="3799" customWidth="1"/>
    <col min="10762" max="10771" width="8.81640625" style="3799" customWidth="1"/>
    <col min="10772" max="11012" width="9.1796875" style="3799"/>
    <col min="11013" max="11013" width="3.81640625" style="3799" customWidth="1"/>
    <col min="11014" max="11014" width="14.453125" style="3799" customWidth="1"/>
    <col min="11015" max="11015" width="4" style="3799" customWidth="1"/>
    <col min="11016" max="11016" width="22.453125" style="3799" customWidth="1"/>
    <col min="11017" max="11017" width="11.54296875" style="3799" customWidth="1"/>
    <col min="11018" max="11027" width="8.81640625" style="3799" customWidth="1"/>
    <col min="11028" max="11268" width="9.1796875" style="3799"/>
    <col min="11269" max="11269" width="3.81640625" style="3799" customWidth="1"/>
    <col min="11270" max="11270" width="14.453125" style="3799" customWidth="1"/>
    <col min="11271" max="11271" width="4" style="3799" customWidth="1"/>
    <col min="11272" max="11272" width="22.453125" style="3799" customWidth="1"/>
    <col min="11273" max="11273" width="11.54296875" style="3799" customWidth="1"/>
    <col min="11274" max="11283" width="8.81640625" style="3799" customWidth="1"/>
    <col min="11284" max="11524" width="9.1796875" style="3799"/>
    <col min="11525" max="11525" width="3.81640625" style="3799" customWidth="1"/>
    <col min="11526" max="11526" width="14.453125" style="3799" customWidth="1"/>
    <col min="11527" max="11527" width="4" style="3799" customWidth="1"/>
    <col min="11528" max="11528" width="22.453125" style="3799" customWidth="1"/>
    <col min="11529" max="11529" width="11.54296875" style="3799" customWidth="1"/>
    <col min="11530" max="11539" width="8.81640625" style="3799" customWidth="1"/>
    <col min="11540" max="11780" width="9.1796875" style="3799"/>
    <col min="11781" max="11781" width="3.81640625" style="3799" customWidth="1"/>
    <col min="11782" max="11782" width="14.453125" style="3799" customWidth="1"/>
    <col min="11783" max="11783" width="4" style="3799" customWidth="1"/>
    <col min="11784" max="11784" width="22.453125" style="3799" customWidth="1"/>
    <col min="11785" max="11785" width="11.54296875" style="3799" customWidth="1"/>
    <col min="11786" max="11795" width="8.81640625" style="3799" customWidth="1"/>
    <col min="11796" max="12036" width="9.1796875" style="3799"/>
    <col min="12037" max="12037" width="3.81640625" style="3799" customWidth="1"/>
    <col min="12038" max="12038" width="14.453125" style="3799" customWidth="1"/>
    <col min="12039" max="12039" width="4" style="3799" customWidth="1"/>
    <col min="12040" max="12040" width="22.453125" style="3799" customWidth="1"/>
    <col min="12041" max="12041" width="11.54296875" style="3799" customWidth="1"/>
    <col min="12042" max="12051" width="8.81640625" style="3799" customWidth="1"/>
    <col min="12052" max="12292" width="9.1796875" style="3799"/>
    <col min="12293" max="12293" width="3.81640625" style="3799" customWidth="1"/>
    <col min="12294" max="12294" width="14.453125" style="3799" customWidth="1"/>
    <col min="12295" max="12295" width="4" style="3799" customWidth="1"/>
    <col min="12296" max="12296" width="22.453125" style="3799" customWidth="1"/>
    <col min="12297" max="12297" width="11.54296875" style="3799" customWidth="1"/>
    <col min="12298" max="12307" width="8.81640625" style="3799" customWidth="1"/>
    <col min="12308" max="12548" width="9.1796875" style="3799"/>
    <col min="12549" max="12549" width="3.81640625" style="3799" customWidth="1"/>
    <col min="12550" max="12550" width="14.453125" style="3799" customWidth="1"/>
    <col min="12551" max="12551" width="4" style="3799" customWidth="1"/>
    <col min="12552" max="12552" width="22.453125" style="3799" customWidth="1"/>
    <col min="12553" max="12553" width="11.54296875" style="3799" customWidth="1"/>
    <col min="12554" max="12563" width="8.81640625" style="3799" customWidth="1"/>
    <col min="12564" max="12804" width="9.1796875" style="3799"/>
    <col min="12805" max="12805" width="3.81640625" style="3799" customWidth="1"/>
    <col min="12806" max="12806" width="14.453125" style="3799" customWidth="1"/>
    <col min="12807" max="12807" width="4" style="3799" customWidth="1"/>
    <col min="12808" max="12808" width="22.453125" style="3799" customWidth="1"/>
    <col min="12809" max="12809" width="11.54296875" style="3799" customWidth="1"/>
    <col min="12810" max="12819" width="8.81640625" style="3799" customWidth="1"/>
    <col min="12820" max="13060" width="9.1796875" style="3799"/>
    <col min="13061" max="13061" width="3.81640625" style="3799" customWidth="1"/>
    <col min="13062" max="13062" width="14.453125" style="3799" customWidth="1"/>
    <col min="13063" max="13063" width="4" style="3799" customWidth="1"/>
    <col min="13064" max="13064" width="22.453125" style="3799" customWidth="1"/>
    <col min="13065" max="13065" width="11.54296875" style="3799" customWidth="1"/>
    <col min="13066" max="13075" width="8.81640625" style="3799" customWidth="1"/>
    <col min="13076" max="13316" width="9.1796875" style="3799"/>
    <col min="13317" max="13317" width="3.81640625" style="3799" customWidth="1"/>
    <col min="13318" max="13318" width="14.453125" style="3799" customWidth="1"/>
    <col min="13319" max="13319" width="4" style="3799" customWidth="1"/>
    <col min="13320" max="13320" width="22.453125" style="3799" customWidth="1"/>
    <col min="13321" max="13321" width="11.54296875" style="3799" customWidth="1"/>
    <col min="13322" max="13331" width="8.81640625" style="3799" customWidth="1"/>
    <col min="13332" max="13572" width="9.1796875" style="3799"/>
    <col min="13573" max="13573" width="3.81640625" style="3799" customWidth="1"/>
    <col min="13574" max="13574" width="14.453125" style="3799" customWidth="1"/>
    <col min="13575" max="13575" width="4" style="3799" customWidth="1"/>
    <col min="13576" max="13576" width="22.453125" style="3799" customWidth="1"/>
    <col min="13577" max="13577" width="11.54296875" style="3799" customWidth="1"/>
    <col min="13578" max="13587" width="8.81640625" style="3799" customWidth="1"/>
    <col min="13588" max="13828" width="9.1796875" style="3799"/>
    <col min="13829" max="13829" width="3.81640625" style="3799" customWidth="1"/>
    <col min="13830" max="13830" width="14.453125" style="3799" customWidth="1"/>
    <col min="13831" max="13831" width="4" style="3799" customWidth="1"/>
    <col min="13832" max="13832" width="22.453125" style="3799" customWidth="1"/>
    <col min="13833" max="13833" width="11.54296875" style="3799" customWidth="1"/>
    <col min="13834" max="13843" width="8.81640625" style="3799" customWidth="1"/>
    <col min="13844" max="14084" width="9.1796875" style="3799"/>
    <col min="14085" max="14085" width="3.81640625" style="3799" customWidth="1"/>
    <col min="14086" max="14086" width="14.453125" style="3799" customWidth="1"/>
    <col min="14087" max="14087" width="4" style="3799" customWidth="1"/>
    <col min="14088" max="14088" width="22.453125" style="3799" customWidth="1"/>
    <col min="14089" max="14089" width="11.54296875" style="3799" customWidth="1"/>
    <col min="14090" max="14099" width="8.81640625" style="3799" customWidth="1"/>
    <col min="14100" max="14340" width="9.1796875" style="3799"/>
    <col min="14341" max="14341" width="3.81640625" style="3799" customWidth="1"/>
    <col min="14342" max="14342" width="14.453125" style="3799" customWidth="1"/>
    <col min="14343" max="14343" width="4" style="3799" customWidth="1"/>
    <col min="14344" max="14344" width="22.453125" style="3799" customWidth="1"/>
    <col min="14345" max="14345" width="11.54296875" style="3799" customWidth="1"/>
    <col min="14346" max="14355" width="8.81640625" style="3799" customWidth="1"/>
    <col min="14356" max="14596" width="9.1796875" style="3799"/>
    <col min="14597" max="14597" width="3.81640625" style="3799" customWidth="1"/>
    <col min="14598" max="14598" width="14.453125" style="3799" customWidth="1"/>
    <col min="14599" max="14599" width="4" style="3799" customWidth="1"/>
    <col min="14600" max="14600" width="22.453125" style="3799" customWidth="1"/>
    <col min="14601" max="14601" width="11.54296875" style="3799" customWidth="1"/>
    <col min="14602" max="14611" width="8.81640625" style="3799" customWidth="1"/>
    <col min="14612" max="14852" width="9.1796875" style="3799"/>
    <col min="14853" max="14853" width="3.81640625" style="3799" customWidth="1"/>
    <col min="14854" max="14854" width="14.453125" style="3799" customWidth="1"/>
    <col min="14855" max="14855" width="4" style="3799" customWidth="1"/>
    <col min="14856" max="14856" width="22.453125" style="3799" customWidth="1"/>
    <col min="14857" max="14857" width="11.54296875" style="3799" customWidth="1"/>
    <col min="14858" max="14867" width="8.81640625" style="3799" customWidth="1"/>
    <col min="14868" max="15108" width="9.1796875" style="3799"/>
    <col min="15109" max="15109" width="3.81640625" style="3799" customWidth="1"/>
    <col min="15110" max="15110" width="14.453125" style="3799" customWidth="1"/>
    <col min="15111" max="15111" width="4" style="3799" customWidth="1"/>
    <col min="15112" max="15112" width="22.453125" style="3799" customWidth="1"/>
    <col min="15113" max="15113" width="11.54296875" style="3799" customWidth="1"/>
    <col min="15114" max="15123" width="8.81640625" style="3799" customWidth="1"/>
    <col min="15124" max="15364" width="9.1796875" style="3799"/>
    <col min="15365" max="15365" width="3.81640625" style="3799" customWidth="1"/>
    <col min="15366" max="15366" width="14.453125" style="3799" customWidth="1"/>
    <col min="15367" max="15367" width="4" style="3799" customWidth="1"/>
    <col min="15368" max="15368" width="22.453125" style="3799" customWidth="1"/>
    <col min="15369" max="15369" width="11.54296875" style="3799" customWidth="1"/>
    <col min="15370" max="15379" width="8.81640625" style="3799" customWidth="1"/>
    <col min="15380" max="15620" width="9.1796875" style="3799"/>
    <col min="15621" max="15621" width="3.81640625" style="3799" customWidth="1"/>
    <col min="15622" max="15622" width="14.453125" style="3799" customWidth="1"/>
    <col min="15623" max="15623" width="4" style="3799" customWidth="1"/>
    <col min="15624" max="15624" width="22.453125" style="3799" customWidth="1"/>
    <col min="15625" max="15625" width="11.54296875" style="3799" customWidth="1"/>
    <col min="15626" max="15635" width="8.81640625" style="3799" customWidth="1"/>
    <col min="15636" max="15876" width="9.1796875" style="3799"/>
    <col min="15877" max="15877" width="3.81640625" style="3799" customWidth="1"/>
    <col min="15878" max="15878" width="14.453125" style="3799" customWidth="1"/>
    <col min="15879" max="15879" width="4" style="3799" customWidth="1"/>
    <col min="15880" max="15880" width="22.453125" style="3799" customWidth="1"/>
    <col min="15881" max="15881" width="11.54296875" style="3799" customWidth="1"/>
    <col min="15882" max="15891" width="8.81640625" style="3799" customWidth="1"/>
    <col min="15892" max="16132" width="9.1796875" style="3799"/>
    <col min="16133" max="16133" width="3.81640625" style="3799" customWidth="1"/>
    <col min="16134" max="16134" width="14.453125" style="3799" customWidth="1"/>
    <col min="16135" max="16135" width="4" style="3799" customWidth="1"/>
    <col min="16136" max="16136" width="22.453125" style="3799" customWidth="1"/>
    <col min="16137" max="16137" width="11.54296875" style="3799" customWidth="1"/>
    <col min="16138" max="16147" width="8.81640625" style="3799" customWidth="1"/>
    <col min="16148" max="16384" width="9.1796875" style="3799"/>
  </cols>
  <sheetData>
    <row r="1" spans="1:39" x14ac:dyDescent="0.25">
      <c r="D1" s="2051"/>
      <c r="E1" s="2051"/>
      <c r="F1" s="2051"/>
      <c r="G1" s="2051"/>
      <c r="H1" s="2051"/>
      <c r="I1" s="2051"/>
      <c r="J1" s="2051"/>
      <c r="K1" s="2051"/>
      <c r="L1" s="2051"/>
      <c r="M1" s="2051"/>
      <c r="N1" s="2051"/>
    </row>
    <row r="2" spans="1:39" ht="12.75" customHeight="1" x14ac:dyDescent="0.25">
      <c r="A2" s="723">
        <v>1</v>
      </c>
      <c r="B2" s="723" t="s">
        <v>0</v>
      </c>
      <c r="C2" s="723">
        <v>69</v>
      </c>
      <c r="D2" s="5048" t="s">
        <v>1534</v>
      </c>
      <c r="E2" s="5049"/>
      <c r="F2" s="5049"/>
      <c r="G2" s="5049"/>
      <c r="H2" s="5049"/>
      <c r="I2" s="5049"/>
      <c r="J2" s="5049"/>
      <c r="K2" s="5049"/>
      <c r="L2" s="5049"/>
      <c r="M2" s="5049"/>
      <c r="N2" s="5049"/>
      <c r="O2" s="5049"/>
      <c r="P2" s="5049"/>
      <c r="Q2" s="5049"/>
      <c r="R2" s="5049"/>
      <c r="S2" s="5049"/>
      <c r="T2" s="5049"/>
      <c r="U2" s="5049"/>
      <c r="V2" s="5050"/>
      <c r="W2" s="3800"/>
      <c r="X2" s="3800"/>
      <c r="Y2" s="3800"/>
      <c r="Z2" s="3801"/>
      <c r="AA2" s="3801"/>
      <c r="AB2" s="3801"/>
      <c r="AC2" s="3801"/>
      <c r="AD2" s="3801"/>
      <c r="AE2" s="3801"/>
      <c r="AF2" s="3801"/>
      <c r="AG2" s="3801"/>
      <c r="AH2" s="3801"/>
      <c r="AI2" s="3801"/>
      <c r="AJ2" s="3801"/>
      <c r="AK2" s="3801"/>
      <c r="AL2" s="3801"/>
      <c r="AM2" s="3801"/>
    </row>
    <row r="3" spans="1:39" ht="15" customHeight="1" x14ac:dyDescent="0.25">
      <c r="A3" s="723">
        <v>2</v>
      </c>
      <c r="B3" s="723" t="s">
        <v>2</v>
      </c>
      <c r="C3" s="723"/>
      <c r="D3" s="5051" t="s">
        <v>1535</v>
      </c>
      <c r="E3" s="5052"/>
      <c r="F3" s="5052"/>
      <c r="G3" s="5052"/>
      <c r="H3" s="5052"/>
      <c r="I3" s="5052"/>
      <c r="J3" s="5052"/>
      <c r="K3" s="5052"/>
      <c r="L3" s="5052"/>
      <c r="M3" s="5052"/>
      <c r="N3" s="5052"/>
      <c r="O3" s="5052"/>
      <c r="P3" s="5052"/>
      <c r="Q3" s="5052"/>
      <c r="R3" s="5052"/>
      <c r="S3" s="5052"/>
      <c r="T3" s="5052"/>
      <c r="U3" s="5052"/>
      <c r="V3" s="5053"/>
      <c r="W3" s="3801"/>
      <c r="X3" s="3801"/>
      <c r="Y3" s="3801"/>
      <c r="Z3" s="3801"/>
      <c r="AA3" s="3801"/>
      <c r="AB3" s="3801"/>
      <c r="AC3" s="3801"/>
      <c r="AD3" s="3801"/>
      <c r="AE3" s="3801"/>
      <c r="AF3" s="3801"/>
      <c r="AG3" s="3801"/>
      <c r="AH3" s="3801"/>
      <c r="AI3" s="3801"/>
      <c r="AJ3" s="3801"/>
      <c r="AK3" s="3801"/>
      <c r="AL3" s="3801"/>
      <c r="AM3" s="3801"/>
    </row>
    <row r="4" spans="1:39" ht="16.5" customHeight="1" x14ac:dyDescent="0.35">
      <c r="A4" s="723">
        <v>3</v>
      </c>
      <c r="B4" s="723" t="s">
        <v>4</v>
      </c>
      <c r="C4" s="723"/>
      <c r="D4" s="5054" t="s">
        <v>1536</v>
      </c>
      <c r="E4" s="5055"/>
      <c r="F4" s="5055"/>
      <c r="G4" s="5055"/>
      <c r="H4" s="5055"/>
      <c r="I4" s="5055"/>
      <c r="J4" s="5055"/>
      <c r="K4" s="5055"/>
      <c r="L4" s="5055"/>
      <c r="M4" s="5055"/>
      <c r="N4" s="5055"/>
      <c r="O4" s="5055"/>
      <c r="P4" s="5055"/>
      <c r="Q4" s="5055"/>
      <c r="R4" s="5055"/>
      <c r="S4" s="5055"/>
      <c r="T4" s="5055"/>
      <c r="U4" s="5055"/>
      <c r="V4" s="5056"/>
      <c r="W4" s="1920"/>
      <c r="X4" s="1920"/>
      <c r="Y4" s="1920"/>
      <c r="Z4" s="1920"/>
      <c r="AA4" s="1920"/>
      <c r="AB4" s="1920"/>
      <c r="AC4" s="1920"/>
      <c r="AD4" s="1920"/>
      <c r="AE4" s="3801"/>
      <c r="AF4" s="3801"/>
      <c r="AG4" s="3801"/>
      <c r="AH4" s="3801"/>
      <c r="AI4" s="3801"/>
      <c r="AJ4" s="3801"/>
      <c r="AK4" s="3801"/>
      <c r="AL4" s="3801"/>
      <c r="AM4" s="3801"/>
    </row>
    <row r="5" spans="1:39" s="3802" customFormat="1" ht="12.5" x14ac:dyDescent="0.25">
      <c r="C5" s="3803"/>
      <c r="D5" s="2044"/>
      <c r="E5" s="1592"/>
      <c r="F5" s="1592"/>
      <c r="G5" s="1592"/>
      <c r="H5" s="1592"/>
      <c r="I5" s="1592"/>
      <c r="J5" s="1592"/>
      <c r="K5" s="3804"/>
      <c r="L5" s="3805"/>
      <c r="M5" s="3805"/>
      <c r="N5" s="3805"/>
      <c r="O5" s="3805"/>
      <c r="P5" s="3806"/>
    </row>
    <row r="6" spans="1:39" s="1920" customFormat="1" x14ac:dyDescent="0.35">
      <c r="A6" s="1255">
        <v>4</v>
      </c>
      <c r="B6" s="1255" t="s">
        <v>6</v>
      </c>
      <c r="C6" s="1255"/>
      <c r="D6" s="754" t="s">
        <v>1537</v>
      </c>
      <c r="E6" s="1629" t="s">
        <v>1538</v>
      </c>
      <c r="F6" s="1629"/>
      <c r="G6" s="1629"/>
      <c r="H6" s="1629"/>
      <c r="I6" s="1629"/>
      <c r="J6" s="1629"/>
      <c r="K6" s="1611"/>
      <c r="L6" s="3807"/>
      <c r="M6" s="3808"/>
      <c r="N6" s="3809"/>
      <c r="O6" s="3809"/>
      <c r="P6" s="3809"/>
      <c r="Q6" s="3809"/>
      <c r="R6" s="3809"/>
      <c r="S6" s="3809"/>
      <c r="T6" s="3809"/>
      <c r="U6" s="3810"/>
    </row>
    <row r="7" spans="1:39" ht="54.75" customHeight="1" x14ac:dyDescent="0.25">
      <c r="B7" s="1255"/>
      <c r="C7" s="3811"/>
      <c r="D7" s="3812" t="s">
        <v>1539</v>
      </c>
      <c r="E7" s="3813" t="s">
        <v>110</v>
      </c>
      <c r="F7" s="3813" t="s">
        <v>111</v>
      </c>
      <c r="G7" s="3813" t="s">
        <v>112</v>
      </c>
      <c r="H7" s="3813" t="s">
        <v>113</v>
      </c>
      <c r="I7" s="3813" t="s">
        <v>114</v>
      </c>
      <c r="J7" s="3813" t="s">
        <v>115</v>
      </c>
      <c r="K7" s="3813" t="s">
        <v>116</v>
      </c>
      <c r="L7" s="3813" t="s">
        <v>117</v>
      </c>
      <c r="M7" s="3814" t="s">
        <v>118</v>
      </c>
      <c r="N7" s="3813" t="s">
        <v>119</v>
      </c>
      <c r="O7" s="3813" t="s">
        <v>120</v>
      </c>
      <c r="P7" s="3813" t="s">
        <v>121</v>
      </c>
      <c r="Q7" s="3813" t="s">
        <v>122</v>
      </c>
      <c r="R7" s="3813" t="s">
        <v>123</v>
      </c>
      <c r="S7" s="3813" t="s">
        <v>124</v>
      </c>
      <c r="T7" s="3813" t="s">
        <v>125</v>
      </c>
      <c r="U7" s="3813" t="s">
        <v>126</v>
      </c>
      <c r="V7" s="3813" t="s">
        <v>302</v>
      </c>
      <c r="W7" s="4481" t="s">
        <v>1540</v>
      </c>
    </row>
    <row r="8" spans="1:39" ht="13" x14ac:dyDescent="0.25">
      <c r="B8" s="2144"/>
      <c r="C8" s="3815">
        <v>1</v>
      </c>
      <c r="D8" s="3816" t="s">
        <v>1541</v>
      </c>
      <c r="E8" s="1817">
        <f>'[22]NPA PERFORM'!$B$11</f>
        <v>1117879</v>
      </c>
      <c r="F8" s="1817">
        <f>'[22]NPA PERFORM'!$C$11</f>
        <v>1117488</v>
      </c>
      <c r="G8" s="1817">
        <f>'[22]NPA PERFORM'!$D$11</f>
        <v>1084137</v>
      </c>
      <c r="H8" s="1817">
        <f>'[22]NPA PERFORM'!E$11</f>
        <v>1069724</v>
      </c>
      <c r="I8" s="1817">
        <f>'[22]NPA PERFORM'!$I$11</f>
        <v>1062497</v>
      </c>
      <c r="J8" s="1817">
        <f>'[22]NPA PERFORM'!$J$11</f>
        <v>1037309</v>
      </c>
      <c r="K8" s="1817">
        <f>'[22]NPA PERFORM'!$K$11</f>
        <v>1058210</v>
      </c>
      <c r="L8" s="1817">
        <f>'[22]NPA PERFORM'!$L$11</f>
        <v>1044346</v>
      </c>
      <c r="M8" s="1817">
        <f>'[23]Charges referred to Courts'!$K$9</f>
        <v>962317</v>
      </c>
      <c r="N8" s="1817">
        <v>897842</v>
      </c>
      <c r="O8" s="1817">
        <v>916917</v>
      </c>
      <c r="P8" s="1817">
        <f>'[24]13.14 ALL CRTS'!$J$79</f>
        <v>931799</v>
      </c>
      <c r="Q8" s="1817">
        <v>908364</v>
      </c>
      <c r="R8" s="1817">
        <v>864276</v>
      </c>
      <c r="S8" s="1817">
        <f>'[25]NPA PERFORM OVERVIEW'!$P$4</f>
        <v>884088</v>
      </c>
      <c r="T8" s="1817">
        <f>'[25]NPA PERFORM OVERVIEW'!$Q$4</f>
        <v>888053</v>
      </c>
      <c r="U8" s="1817">
        <f>'[26]18.19 ALL CRTS'!$AL$77</f>
        <v>792895</v>
      </c>
      <c r="V8" s="1817">
        <v>714604</v>
      </c>
      <c r="W8" s="4483">
        <f>(V8/U8)-100%</f>
        <v>-9.8740690759810512E-2</v>
      </c>
    </row>
    <row r="9" spans="1:39" ht="13" hidden="1" x14ac:dyDescent="0.25">
      <c r="B9" s="2144"/>
      <c r="C9" s="3817"/>
      <c r="D9" s="4484" t="s">
        <v>1542</v>
      </c>
      <c r="E9" s="1592">
        <f>[27]PROGRESS!$N$18</f>
        <v>534067</v>
      </c>
      <c r="F9" s="1592">
        <f>[28]PROGRESS!$N$19</f>
        <v>767588.08333333326</v>
      </c>
      <c r="G9" s="1592">
        <f>[29]PROGRESS!$N$19</f>
        <v>729934</v>
      </c>
      <c r="H9" s="1592">
        <f>[30]PROGRESS!$N$19</f>
        <v>757376</v>
      </c>
      <c r="I9" s="1592">
        <f>'[31]0607'!$M$18</f>
        <v>722259</v>
      </c>
      <c r="J9" s="1592">
        <f>'[31]0708'!$P$19</f>
        <v>654902</v>
      </c>
      <c r="K9" s="1592">
        <f>'[32]0809 ALL CRTS'!$P$19</f>
        <v>638699</v>
      </c>
      <c r="L9" s="1592">
        <f>'[32]0910 ALL CRTS'!$Q$19</f>
        <v>595623</v>
      </c>
      <c r="M9" s="1592"/>
      <c r="N9" s="1592"/>
      <c r="O9" s="1592"/>
      <c r="P9" s="1592"/>
      <c r="Q9" s="1592"/>
      <c r="R9" s="1592"/>
      <c r="S9" s="1592"/>
      <c r="T9" s="1592"/>
      <c r="U9" s="1817"/>
      <c r="V9" s="1817"/>
      <c r="W9" s="4483"/>
    </row>
    <row r="10" spans="1:39" ht="13" hidden="1" x14ac:dyDescent="0.25">
      <c r="B10" s="2144"/>
      <c r="C10" s="3817"/>
      <c r="D10" s="4484" t="s">
        <v>1543</v>
      </c>
      <c r="E10" s="1592">
        <v>104</v>
      </c>
      <c r="F10" s="1592">
        <v>87</v>
      </c>
      <c r="G10" s="1592">
        <v>106</v>
      </c>
      <c r="H10" s="1592">
        <v>143</v>
      </c>
      <c r="I10" s="1592">
        <v>102</v>
      </c>
      <c r="J10" s="1592">
        <v>127</v>
      </c>
      <c r="K10" s="1592">
        <v>96</v>
      </c>
      <c r="L10" s="1592">
        <v>128</v>
      </c>
      <c r="M10" s="1592"/>
      <c r="N10" s="1592"/>
      <c r="O10" s="1592"/>
      <c r="P10" s="1592"/>
      <c r="Q10" s="1592"/>
      <c r="R10" s="1592"/>
      <c r="S10" s="1592"/>
      <c r="T10" s="1592"/>
      <c r="U10" s="1817"/>
      <c r="V10" s="1817"/>
      <c r="W10" s="4483"/>
    </row>
    <row r="11" spans="1:39" ht="13" x14ac:dyDescent="0.25">
      <c r="A11" s="1255"/>
      <c r="B11" s="2144"/>
      <c r="C11" s="3817">
        <v>2.2000000000000002</v>
      </c>
      <c r="D11" s="4484" t="s">
        <v>1544</v>
      </c>
      <c r="E11" s="1592">
        <f t="shared" ref="E11:M11" si="0">SUM(E12,E16)</f>
        <v>422338</v>
      </c>
      <c r="F11" s="1592">
        <f t="shared" si="0"/>
        <v>414488</v>
      </c>
      <c r="G11" s="1592">
        <f t="shared" si="0"/>
        <v>399966</v>
      </c>
      <c r="H11" s="1592">
        <f t="shared" si="0"/>
        <v>411417</v>
      </c>
      <c r="I11" s="1592">
        <f t="shared" si="0"/>
        <v>379034</v>
      </c>
      <c r="J11" s="1592">
        <f t="shared" si="0"/>
        <v>388344</v>
      </c>
      <c r="K11" s="1592">
        <f t="shared" si="0"/>
        <v>431640</v>
      </c>
      <c r="L11" s="1592">
        <f t="shared" si="0"/>
        <v>469541</v>
      </c>
      <c r="M11" s="1592">
        <f t="shared" si="0"/>
        <v>460891</v>
      </c>
      <c r="N11" s="1592">
        <f>SUM(N12,N16)</f>
        <v>448793</v>
      </c>
      <c r="O11" s="1592">
        <f>SUM(O12,O16)</f>
        <v>466800</v>
      </c>
      <c r="P11" s="1592">
        <f>'[24]13.14 ALL CRTS'!$BB$79</f>
        <v>505342</v>
      </c>
      <c r="Q11" s="1592">
        <v>503463</v>
      </c>
      <c r="R11" s="1592">
        <v>477802</v>
      </c>
      <c r="S11" s="1592">
        <f>S12+S16</f>
        <v>505376</v>
      </c>
      <c r="T11" s="1592">
        <f>T12+T16</f>
        <v>494815</v>
      </c>
      <c r="U11" s="1817">
        <f>'[26]18.19 ALL CRTS'!$AE$77</f>
        <v>425778</v>
      </c>
      <c r="V11" s="1817">
        <v>368319</v>
      </c>
      <c r="W11" s="4483">
        <f>(V11/U11)-100%</f>
        <v>-0.13495060806335701</v>
      </c>
    </row>
    <row r="12" spans="1:39" ht="13" x14ac:dyDescent="0.25">
      <c r="A12" s="1255"/>
      <c r="B12" s="2144"/>
      <c r="C12" s="3817" t="s">
        <v>1545</v>
      </c>
      <c r="D12" s="4485" t="s">
        <v>1546</v>
      </c>
      <c r="E12" s="2202">
        <f>'[22]NPA PERFORM'!$B$9</f>
        <v>407530</v>
      </c>
      <c r="F12" s="2202">
        <f>'[22]NPA PERFORM'!$C$9</f>
        <v>396536</v>
      </c>
      <c r="G12" s="2202">
        <f>'[22]NPA PERFORM'!$D$9</f>
        <v>381020</v>
      </c>
      <c r="H12" s="2202">
        <f>'[22]NPA PERFORM'!$E$9</f>
        <v>373995</v>
      </c>
      <c r="I12" s="2202">
        <f>'[22]NPA PERFORM'!$I$9</f>
        <v>334551</v>
      </c>
      <c r="J12" s="2202">
        <f>'[22]NPA PERFORM'!$J$9+30115</f>
        <v>326506</v>
      </c>
      <c r="K12" s="2202">
        <f>'[22]NPA PERFORM'!$K$9+38015</f>
        <v>349883</v>
      </c>
      <c r="L12" s="2202">
        <f>'[22]NPA PERFORM'!$L$9</f>
        <v>350910</v>
      </c>
      <c r="M12" s="2202">
        <f>'[23]Charges referred to Courts'!$K$15</f>
        <v>331045</v>
      </c>
      <c r="N12" s="2202">
        <v>316098</v>
      </c>
      <c r="O12" s="2202">
        <v>323390</v>
      </c>
      <c r="P12" s="2202">
        <f>'[24]13.14 ALL CRTS'!$X$79</f>
        <v>329153</v>
      </c>
      <c r="Q12" s="3818">
        <v>319149</v>
      </c>
      <c r="R12" s="3818">
        <v>310850</v>
      </c>
      <c r="S12" s="3818">
        <f>'[25]NPA PERFORM OVERVIEW'!$P$28</f>
        <v>341360</v>
      </c>
      <c r="T12" s="1817">
        <f>'[25]NPA PERFORM OVERVIEW'!$Q$28</f>
        <v>335161</v>
      </c>
      <c r="U12" s="1817">
        <f>'[26]18.19 ALL CRTS'!$U$77</f>
        <v>276309</v>
      </c>
      <c r="V12" s="1817">
        <v>231725</v>
      </c>
      <c r="W12" s="4483">
        <f>(V12/U12)-100%</f>
        <v>-0.16135558378482062</v>
      </c>
    </row>
    <row r="13" spans="1:39" ht="13" x14ac:dyDescent="0.25">
      <c r="A13" s="1255"/>
      <c r="B13" s="2144"/>
      <c r="C13" s="3817" t="s">
        <v>1547</v>
      </c>
      <c r="D13" s="4485" t="s">
        <v>1548</v>
      </c>
      <c r="E13" s="2202">
        <f t="shared" ref="E13:K13" si="1">SUM(E14:E15)</f>
        <v>332056</v>
      </c>
      <c r="F13" s="2202">
        <f t="shared" si="1"/>
        <v>330146</v>
      </c>
      <c r="G13" s="2202">
        <f t="shared" si="1"/>
        <v>322147</v>
      </c>
      <c r="H13" s="2202">
        <f t="shared" si="1"/>
        <v>322687</v>
      </c>
      <c r="I13" s="2202">
        <f t="shared" si="1"/>
        <v>286861</v>
      </c>
      <c r="J13" s="2202">
        <f t="shared" si="1"/>
        <v>284620</v>
      </c>
      <c r="K13" s="2202">
        <f t="shared" si="1"/>
        <v>307089</v>
      </c>
      <c r="L13" s="2202">
        <f>SUM(L14:L15)</f>
        <v>310951</v>
      </c>
      <c r="M13" s="2202">
        <f>'[23]Charges referred to Courts'!$K$16</f>
        <v>293673</v>
      </c>
      <c r="N13" s="2202">
        <v>280658</v>
      </c>
      <c r="O13" s="2202">
        <f>SUM(O14:O15)</f>
        <v>289789</v>
      </c>
      <c r="P13" s="2202">
        <f>'[24]13.14 ALL CRTS'!$T$79</f>
        <v>301798</v>
      </c>
      <c r="Q13" s="1592">
        <v>294608</v>
      </c>
      <c r="R13" s="1592">
        <v>289245</v>
      </c>
      <c r="S13" s="1592">
        <f>'[25]NPA PERFORM OVERVIEW'!$P$36</f>
        <v>321190</v>
      </c>
      <c r="T13" s="1592">
        <f>'[25]NPA PERFORM OVERVIEW'!$Q$36</f>
        <v>317475</v>
      </c>
      <c r="U13" s="1817">
        <f>'[26]18.19 ALL CRTS'!$R$77</f>
        <v>260456</v>
      </c>
      <c r="V13" s="1817">
        <v>217467</v>
      </c>
      <c r="W13" s="4483">
        <f>(V13/U13)-100%</f>
        <v>-0.16505283042049324</v>
      </c>
    </row>
    <row r="14" spans="1:39" ht="13" hidden="1" x14ac:dyDescent="0.25">
      <c r="B14" s="2144"/>
      <c r="C14" s="3817"/>
      <c r="D14" s="4484" t="s">
        <v>1542</v>
      </c>
      <c r="E14" s="1592">
        <f>[27]PROGRESS!$O$18</f>
        <v>330728</v>
      </c>
      <c r="F14" s="1592">
        <f>[28]PROGRESS!$O$19</f>
        <v>328887</v>
      </c>
      <c r="G14" s="1592">
        <f>[29]PROGRESS!$O$19</f>
        <v>320938</v>
      </c>
      <c r="H14" s="1592">
        <f>[30]PROGRESS!$O$19</f>
        <v>320413</v>
      </c>
      <c r="I14" s="1592">
        <f>'[31]0607'!$N$18</f>
        <v>284865</v>
      </c>
      <c r="J14" s="1592">
        <f>SUM('[31]0708'!$Q$19+'[31]0708'!$Y$19)</f>
        <v>282720</v>
      </c>
      <c r="K14" s="1592">
        <f>SUM('[32]0809 ALL CRTS'!$Q$19+'[32]0809 ALL CRTS'!$Y$19)</f>
        <v>305628</v>
      </c>
      <c r="L14" s="1592">
        <f>SUM('[32]0910 ALL CRTS'!$T$19)</f>
        <v>309868</v>
      </c>
      <c r="M14" s="1592"/>
      <c r="N14" s="1592"/>
      <c r="O14" s="1592">
        <v>261591</v>
      </c>
      <c r="P14" s="1592">
        <v>261591</v>
      </c>
      <c r="Q14" s="1592"/>
      <c r="R14" s="1592"/>
      <c r="S14" s="1592"/>
      <c r="T14" s="1592"/>
      <c r="U14" s="1817"/>
      <c r="V14" s="1817"/>
      <c r="W14" s="4483"/>
    </row>
    <row r="15" spans="1:39" ht="13" hidden="1" x14ac:dyDescent="0.25">
      <c r="B15" s="2144"/>
      <c r="C15" s="3817"/>
      <c r="D15" s="4484" t="s">
        <v>1543</v>
      </c>
      <c r="E15" s="1592">
        <v>1328</v>
      </c>
      <c r="F15" s="1592">
        <v>1259</v>
      </c>
      <c r="G15" s="1592">
        <v>1209</v>
      </c>
      <c r="H15" s="1592">
        <v>2274</v>
      </c>
      <c r="I15" s="1592">
        <v>1996</v>
      </c>
      <c r="J15" s="1592">
        <v>1900</v>
      </c>
      <c r="K15" s="1592">
        <v>1461</v>
      </c>
      <c r="L15" s="1592">
        <v>1083</v>
      </c>
      <c r="M15" s="1592"/>
      <c r="N15" s="1592"/>
      <c r="O15" s="1592">
        <v>28198</v>
      </c>
      <c r="P15" s="1592">
        <v>28198</v>
      </c>
      <c r="Q15" s="1592"/>
      <c r="R15" s="1592"/>
      <c r="S15" s="1592"/>
      <c r="T15" s="1592"/>
      <c r="U15" s="1817"/>
      <c r="V15" s="1817"/>
      <c r="W15" s="4483"/>
    </row>
    <row r="16" spans="1:39" ht="13" x14ac:dyDescent="0.25">
      <c r="A16" s="1255"/>
      <c r="B16" s="2144"/>
      <c r="C16" s="3817" t="s">
        <v>1549</v>
      </c>
      <c r="D16" s="4486" t="s">
        <v>1550</v>
      </c>
      <c r="E16" s="4487">
        <f>SUM('[22]NPA PERFORM'!B$7:B$8)</f>
        <v>14808</v>
      </c>
      <c r="F16" s="3818">
        <f>SUM('[22]NPA PERFORM'!C$7:C$8)</f>
        <v>17952</v>
      </c>
      <c r="G16" s="3818">
        <f>SUM('[22]NPA PERFORM'!D$7:D$8)</f>
        <v>18946</v>
      </c>
      <c r="H16" s="3818">
        <f>SUM('[22]NPA PERFORM'!E$7:E$8)</f>
        <v>37422</v>
      </c>
      <c r="I16" s="3818">
        <f>SUM('[22]NPA PERFORM'!$I$7:$I$8)</f>
        <v>44483</v>
      </c>
      <c r="J16" s="3818">
        <f>SUM('[22]NPA PERFORM'!$J$7:$J$8)</f>
        <v>61838</v>
      </c>
      <c r="K16" s="3818">
        <f>SUM('[22]NPA PERFORM'!$K$7:$K$8)</f>
        <v>81757</v>
      </c>
      <c r="L16" s="3818">
        <f>SUM('[22]NPA PERFORM'!$L$7:$L$8)</f>
        <v>118631</v>
      </c>
      <c r="M16" s="3818">
        <f>'[23]Charges referred to Courts'!$K$19</f>
        <v>129846</v>
      </c>
      <c r="N16" s="3818">
        <v>132695</v>
      </c>
      <c r="O16" s="3818">
        <v>143410</v>
      </c>
      <c r="P16" s="3818">
        <f>'[24]13.14 ALL CRTS'!$BA$79</f>
        <v>176189</v>
      </c>
      <c r="Q16" s="3818">
        <v>184314</v>
      </c>
      <c r="R16" s="3818">
        <v>166952</v>
      </c>
      <c r="S16" s="3818">
        <f>'[25]NPA PERFORM OVERVIEW'!$P$40</f>
        <v>164016</v>
      </c>
      <c r="T16" s="3818">
        <f>'[25]NPA PERFORM OVERVIEW'!$Q$40</f>
        <v>159654</v>
      </c>
      <c r="U16" s="1817">
        <f>'[26]18.19 ALL CRTS'!$AD$77</f>
        <v>149469</v>
      </c>
      <c r="V16" s="1817">
        <v>136594</v>
      </c>
      <c r="W16" s="4483">
        <v>-8.5999999999999993E-2</v>
      </c>
    </row>
    <row r="17" spans="1:23" ht="13" hidden="1" x14ac:dyDescent="0.25">
      <c r="B17" s="2144"/>
      <c r="C17" s="3819"/>
      <c r="D17" s="4484" t="s">
        <v>1551</v>
      </c>
      <c r="E17" s="1592">
        <f>'[22]NPA PERFORM'!$B$8</f>
        <v>14808</v>
      </c>
      <c r="F17" s="1592">
        <f>'[22]NPA PERFORM'!$C$8</f>
        <v>17952</v>
      </c>
      <c r="G17" s="1592">
        <f>'[22]NPA PERFORM'!$D$8</f>
        <v>18946</v>
      </c>
      <c r="H17" s="1592">
        <f>'[22]NPA PERFORM'!$E$8</f>
        <v>37422</v>
      </c>
      <c r="I17" s="1592">
        <f>'[22]NPA PERFORM'!$I$8</f>
        <v>44483</v>
      </c>
      <c r="J17" s="1592">
        <f>'[22]NPA PERFORM'!$J$8</f>
        <v>46445</v>
      </c>
      <c r="K17" s="1592">
        <f>'[22]NPA PERFORM'!$K$8</f>
        <v>43728</v>
      </c>
      <c r="L17" s="1592">
        <f>'[22]NPA PERFORM'!$L$8</f>
        <v>50361</v>
      </c>
      <c r="M17" s="1592"/>
      <c r="N17" s="1592"/>
      <c r="O17" s="1592">
        <v>31016</v>
      </c>
      <c r="P17" s="1592">
        <v>31016</v>
      </c>
      <c r="Q17" s="1592"/>
      <c r="R17" s="1592"/>
      <c r="S17" s="1592"/>
      <c r="T17" s="1592"/>
      <c r="U17" s="1817"/>
      <c r="V17" s="1817"/>
      <c r="W17" s="4483"/>
    </row>
    <row r="18" spans="1:23" ht="13" hidden="1" x14ac:dyDescent="0.25">
      <c r="B18" s="2144"/>
      <c r="C18" s="3819"/>
      <c r="D18" s="4484" t="s">
        <v>1552</v>
      </c>
      <c r="E18" s="1592">
        <v>0</v>
      </c>
      <c r="F18" s="1592">
        <v>0</v>
      </c>
      <c r="G18" s="1592">
        <v>0</v>
      </c>
      <c r="H18" s="1592">
        <v>0</v>
      </c>
      <c r="I18" s="1592">
        <v>0</v>
      </c>
      <c r="J18" s="1592"/>
      <c r="K18" s="1592"/>
      <c r="L18" s="1592"/>
      <c r="M18" s="1592"/>
      <c r="N18" s="1592"/>
      <c r="O18" s="1592">
        <v>6605</v>
      </c>
      <c r="P18" s="1592">
        <v>6605</v>
      </c>
      <c r="Q18" s="1592"/>
      <c r="R18" s="1592"/>
      <c r="S18" s="1592"/>
      <c r="T18" s="1592"/>
      <c r="U18" s="1817"/>
      <c r="V18" s="1817"/>
      <c r="W18" s="4483"/>
    </row>
    <row r="19" spans="1:23" ht="13" hidden="1" x14ac:dyDescent="0.25">
      <c r="B19" s="2144"/>
      <c r="C19" s="3819"/>
      <c r="D19" s="4484" t="s">
        <v>1553</v>
      </c>
      <c r="E19" s="1592">
        <v>0</v>
      </c>
      <c r="F19" s="1592">
        <v>0</v>
      </c>
      <c r="G19" s="1592">
        <v>0</v>
      </c>
      <c r="H19" s="1592">
        <v>0</v>
      </c>
      <c r="I19" s="1592">
        <v>0</v>
      </c>
      <c r="J19" s="1592">
        <f>'[22]NPA PERFORM'!$J$7</f>
        <v>15393</v>
      </c>
      <c r="K19" s="1592">
        <f>'[22]NPA PERFORM'!$K$7</f>
        <v>38029</v>
      </c>
      <c r="L19" s="1592">
        <f>'[22]NPA PERFORM'!$L$7</f>
        <v>68270</v>
      </c>
      <c r="M19" s="1592"/>
      <c r="N19" s="1592"/>
      <c r="O19" s="1592" t="s">
        <v>1554</v>
      </c>
      <c r="P19" s="1592" t="s">
        <v>1554</v>
      </c>
      <c r="Q19" s="1592"/>
      <c r="R19" s="1592"/>
      <c r="S19" s="1592"/>
      <c r="T19" s="1592"/>
      <c r="U19" s="1817"/>
      <c r="V19" s="1817"/>
      <c r="W19" s="4483"/>
    </row>
    <row r="20" spans="1:23" ht="13" x14ac:dyDescent="0.25">
      <c r="A20" s="1255"/>
      <c r="B20" s="2144"/>
      <c r="C20" s="3820">
        <v>3</v>
      </c>
      <c r="D20" s="2496" t="s">
        <v>1555</v>
      </c>
      <c r="E20" s="1832">
        <f>'[22]NPA PERFORM'!$B$15</f>
        <v>188691</v>
      </c>
      <c r="F20" s="1832">
        <f>'[22]NPA PERFORM'!$C$15</f>
        <v>185423</v>
      </c>
      <c r="G20" s="1832">
        <f>'[22]NPA PERFORM'!$D$15</f>
        <v>206005</v>
      </c>
      <c r="H20" s="1832">
        <f>'[22]NPA PERFORM'!E$15</f>
        <v>198990</v>
      </c>
      <c r="I20" s="1832">
        <f>'[22]NPA PERFORM'!$I$15</f>
        <v>206508</v>
      </c>
      <c r="J20" s="1832">
        <f>'[22]NPA PERFORM'!$J$15</f>
        <v>232518</v>
      </c>
      <c r="K20" s="1832">
        <f>'[22]NPA PERFORM'!$K$15</f>
        <v>234606</v>
      </c>
      <c r="L20" s="1832">
        <f>'[22]NPA PERFORM'!$L$15</f>
        <v>230477</v>
      </c>
      <c r="M20" s="1832">
        <f>'[23]Charges referred to Courts'!$K$23</f>
        <v>218660</v>
      </c>
      <c r="N20" s="1832">
        <v>200532</v>
      </c>
      <c r="O20" s="1832">
        <v>189810</v>
      </c>
      <c r="P20" s="1832">
        <f>'[24]13.14 ALL CRTS'!$AE$77</f>
        <v>182979</v>
      </c>
      <c r="Q20" s="1832">
        <v>171708</v>
      </c>
      <c r="R20" s="1832">
        <v>185202</v>
      </c>
      <c r="S20" s="1832">
        <f>'[25]NPA PERFORM OVERVIEW'!$P$60</f>
        <v>171312</v>
      </c>
      <c r="T20" s="1832">
        <f>'[25]NPA PERFORM OVERVIEW'!$R$60</f>
        <v>167901</v>
      </c>
      <c r="U20" s="1817">
        <f>'[26]18.19 ALL CRTS'!$AF$75</f>
        <v>181912</v>
      </c>
      <c r="V20" s="1817">
        <v>194225</v>
      </c>
      <c r="W20" s="4483">
        <f>(V20/U20)-100%</f>
        <v>6.7686573727956389E-2</v>
      </c>
    </row>
    <row r="21" spans="1:23" ht="13" x14ac:dyDescent="0.25">
      <c r="A21" s="1255"/>
      <c r="B21" s="2144"/>
      <c r="C21" s="3820"/>
      <c r="D21" s="2044"/>
      <c r="E21" s="1592"/>
      <c r="F21" s="1592"/>
      <c r="G21" s="1592"/>
      <c r="H21" s="1592"/>
      <c r="I21" s="1592"/>
      <c r="J21" s="1592"/>
      <c r="K21" s="1592"/>
      <c r="L21" s="1592"/>
      <c r="M21" s="1592"/>
      <c r="N21" s="1592"/>
      <c r="O21" s="1592"/>
      <c r="P21" s="1592"/>
      <c r="Q21" s="1592"/>
      <c r="R21" s="1592"/>
      <c r="S21" s="3821"/>
      <c r="T21" s="3821"/>
      <c r="U21" s="3821"/>
      <c r="V21" s="3831"/>
      <c r="W21" s="3831"/>
    </row>
    <row r="22" spans="1:23" ht="13" x14ac:dyDescent="0.25">
      <c r="A22" s="1255"/>
      <c r="B22" s="2144"/>
      <c r="C22" s="3820"/>
      <c r="D22" s="1515" t="s">
        <v>1556</v>
      </c>
      <c r="E22" s="1549" t="s">
        <v>1557</v>
      </c>
      <c r="F22" s="803"/>
      <c r="G22" s="803"/>
      <c r="H22" s="803"/>
      <c r="I22" s="803"/>
      <c r="J22" s="803"/>
      <c r="K22" s="803"/>
      <c r="L22" s="803"/>
      <c r="M22" s="756"/>
      <c r="N22" s="803"/>
      <c r="O22" s="803"/>
      <c r="P22" s="803"/>
      <c r="Q22" s="803"/>
      <c r="R22" s="803"/>
      <c r="S22" s="803"/>
      <c r="T22" s="803"/>
      <c r="U22" s="803"/>
      <c r="V22" s="803"/>
      <c r="W22" s="4488"/>
    </row>
    <row r="23" spans="1:23" ht="52.5" x14ac:dyDescent="0.25">
      <c r="A23" s="1255"/>
      <c r="B23" s="2144"/>
      <c r="C23" s="3820"/>
      <c r="D23" s="3822"/>
      <c r="E23" s="3823" t="s">
        <v>110</v>
      </c>
      <c r="F23" s="3824" t="s">
        <v>111</v>
      </c>
      <c r="G23" s="3825" t="s">
        <v>112</v>
      </c>
      <c r="H23" s="3823" t="s">
        <v>113</v>
      </c>
      <c r="I23" s="3814" t="s">
        <v>114</v>
      </c>
      <c r="J23" s="3813" t="s">
        <v>115</v>
      </c>
      <c r="K23" s="3813" t="s">
        <v>116</v>
      </c>
      <c r="L23" s="3824" t="s">
        <v>117</v>
      </c>
      <c r="M23" s="3824" t="s">
        <v>118</v>
      </c>
      <c r="N23" s="3813" t="s">
        <v>119</v>
      </c>
      <c r="O23" s="3813" t="s">
        <v>120</v>
      </c>
      <c r="P23" s="3813" t="s">
        <v>121</v>
      </c>
      <c r="Q23" s="3813" t="s">
        <v>122</v>
      </c>
      <c r="R23" s="3813" t="s">
        <v>123</v>
      </c>
      <c r="S23" s="3813" t="s">
        <v>124</v>
      </c>
      <c r="T23" s="3813" t="s">
        <v>125</v>
      </c>
      <c r="U23" s="3813" t="s">
        <v>126</v>
      </c>
      <c r="V23" s="3813" t="s">
        <v>302</v>
      </c>
      <c r="W23" s="4482" t="s">
        <v>1540</v>
      </c>
    </row>
    <row r="24" spans="1:23" ht="13" x14ac:dyDescent="0.25">
      <c r="A24" s="1255"/>
      <c r="B24" s="2144"/>
      <c r="C24" s="3820"/>
      <c r="D24" s="2388" t="s">
        <v>1534</v>
      </c>
      <c r="E24" s="3826">
        <v>0.81573055797893912</v>
      </c>
      <c r="F24" s="3826">
        <v>0.83469687010163318</v>
      </c>
      <c r="G24" s="3826">
        <v>0.85077503964024159</v>
      </c>
      <c r="H24" s="3826">
        <v>0.85676784013009777</v>
      </c>
      <c r="I24" s="3826">
        <v>0.8576425302519014</v>
      </c>
      <c r="J24" s="3826">
        <v>0.83799999999999997</v>
      </c>
      <c r="K24" s="3826">
        <v>0.86277821939586641</v>
      </c>
      <c r="L24" s="3826">
        <v>0.88612749707902316</v>
      </c>
      <c r="M24" s="3826">
        <v>0.88710900330770737</v>
      </c>
      <c r="N24" s="3826">
        <v>0.88788287176761638</v>
      </c>
      <c r="O24" s="3826">
        <v>0.89932898358019731</v>
      </c>
      <c r="P24" s="3826">
        <v>0.91689275200286802</v>
      </c>
      <c r="Q24" s="3826">
        <v>0.9231048820456903</v>
      </c>
      <c r="R24" s="3826">
        <v>0.93049702428824188</v>
      </c>
      <c r="S24" s="3826">
        <v>0.94091281931099136</v>
      </c>
      <c r="T24" s="3826">
        <v>0.94723133061424214</v>
      </c>
      <c r="U24" s="3826">
        <f>'[26]18.19 ALL CRTS'!$S$77</f>
        <v>0.94262582832987707</v>
      </c>
      <c r="V24" s="3826">
        <v>0.93799999999999994</v>
      </c>
      <c r="W24" s="4489">
        <f>+V24-U24</f>
        <v>-4.6258283298771241E-3</v>
      </c>
    </row>
    <row r="25" spans="1:23" ht="13" x14ac:dyDescent="0.25">
      <c r="A25" s="1255"/>
      <c r="B25" s="2144"/>
      <c r="C25" s="3820"/>
      <c r="D25" s="1484" t="s">
        <v>1558</v>
      </c>
      <c r="E25" s="3826">
        <v>0.83583060797582509</v>
      </c>
      <c r="F25" s="3826">
        <v>0.85542203245873794</v>
      </c>
      <c r="G25" s="3826">
        <v>0.86691561132549666</v>
      </c>
      <c r="H25" s="3826">
        <v>0.87365172515828038</v>
      </c>
      <c r="I25" s="3826">
        <v>0.87448235696460552</v>
      </c>
      <c r="J25" s="3826">
        <v>0.87637775840924337</v>
      </c>
      <c r="K25" s="3826">
        <v>0.88123280986602781</v>
      </c>
      <c r="L25" s="3826">
        <v>0.90498450886839132</v>
      </c>
      <c r="M25" s="3826">
        <v>0.90671386785489738</v>
      </c>
      <c r="N25" s="3826">
        <v>0.90834418873932554</v>
      </c>
      <c r="O25" s="3826">
        <v>0.91904663197872349</v>
      </c>
      <c r="P25" s="3826">
        <v>0.93623216173587565</v>
      </c>
      <c r="Q25" s="3826">
        <v>0.94165223834993905</v>
      </c>
      <c r="R25" s="3826">
        <v>0.94737883355035502</v>
      </c>
      <c r="S25" s="3826">
        <v>0.95569960607474214</v>
      </c>
      <c r="T25" s="3826">
        <v>0.9612860265103691</v>
      </c>
      <c r="U25" s="3826">
        <f>'[26]18.19 LC'!$S$32</f>
        <v>0.95699476837738839</v>
      </c>
      <c r="V25" s="3826">
        <v>0.95299999999999996</v>
      </c>
      <c r="W25" s="4489">
        <f>+V25-U25</f>
        <v>-3.9947683773884357E-3</v>
      </c>
    </row>
    <row r="26" spans="1:23" ht="13" x14ac:dyDescent="0.25">
      <c r="A26" s="1255"/>
      <c r="B26" s="2144"/>
      <c r="C26" s="3820"/>
      <c r="D26" s="1484" t="s">
        <v>1559</v>
      </c>
      <c r="E26" s="3826">
        <v>0.66257902192528062</v>
      </c>
      <c r="F26" s="3826">
        <v>0.67520298441957427</v>
      </c>
      <c r="G26" s="3826">
        <v>0.71181585677749359</v>
      </c>
      <c r="H26" s="3826">
        <v>0.7117863720073665</v>
      </c>
      <c r="I26" s="3826">
        <v>0.72267470272031276</v>
      </c>
      <c r="J26" s="3826">
        <v>0.72522947585141972</v>
      </c>
      <c r="K26" s="3826">
        <v>0.73730112850931206</v>
      </c>
      <c r="L26" s="3826">
        <v>0.73556058890147225</v>
      </c>
      <c r="M26" s="3826">
        <v>0.73361029214687756</v>
      </c>
      <c r="N26" s="3826">
        <v>0.74261658031088085</v>
      </c>
      <c r="O26" s="3826">
        <v>0.75068551500146419</v>
      </c>
      <c r="P26" s="3826">
        <v>0.760042401249721</v>
      </c>
      <c r="Q26" s="3826">
        <v>0.76551002093927611</v>
      </c>
      <c r="R26" s="3826">
        <v>0.78405378235737622</v>
      </c>
      <c r="S26" s="3826">
        <v>0.79755125284738038</v>
      </c>
      <c r="T26" s="3826">
        <v>0.80993611570515933</v>
      </c>
      <c r="U26" s="3826">
        <f>'[26]18.19 LC'!$S$62</f>
        <v>0.8171851005321239</v>
      </c>
      <c r="V26" s="3826">
        <v>0.82499999999999996</v>
      </c>
      <c r="W26" s="4489">
        <f>+V26-U26</f>
        <v>7.8148994678760575E-3</v>
      </c>
    </row>
    <row r="27" spans="1:23" ht="13" x14ac:dyDescent="0.25">
      <c r="A27" s="1255"/>
      <c r="B27" s="2144"/>
      <c r="C27" s="3820"/>
      <c r="D27" s="1515" t="s">
        <v>1560</v>
      </c>
      <c r="E27" s="3827">
        <v>0.8456117873158232</v>
      </c>
      <c r="F27" s="3827">
        <v>0.86562073669849937</v>
      </c>
      <c r="G27" s="3827">
        <v>0.85080928923293453</v>
      </c>
      <c r="H27" s="3827">
        <v>0.86681222707423577</v>
      </c>
      <c r="I27" s="3827">
        <v>0.85463258785942497</v>
      </c>
      <c r="J27" s="3827">
        <v>0.91304347826086951</v>
      </c>
      <c r="K27" s="3827">
        <v>0.86296515062020085</v>
      </c>
      <c r="L27" s="3827">
        <v>0.87692307692307692</v>
      </c>
      <c r="M27" s="3827">
        <v>0.87764489420423186</v>
      </c>
      <c r="N27" s="3827">
        <v>0.84622144112478037</v>
      </c>
      <c r="O27" s="3827">
        <v>0.8752093802345059</v>
      </c>
      <c r="P27" s="3827">
        <v>0.88791423001949321</v>
      </c>
      <c r="Q27" s="3827">
        <v>0.91002044989775055</v>
      </c>
      <c r="R27" s="3827">
        <v>0.89920948616600793</v>
      </c>
      <c r="S27" s="3827">
        <v>0.90977443609022557</v>
      </c>
      <c r="T27" s="3827">
        <v>0.91658084449021626</v>
      </c>
      <c r="U27" s="3827">
        <f>'[26]18.19 ALL CRTS'!$S$32</f>
        <v>0.89958592132505177</v>
      </c>
      <c r="V27" s="3827">
        <v>0.90900000000000003</v>
      </c>
      <c r="W27" s="4490">
        <f>+V27-U27</f>
        <v>9.4140786749482563E-3</v>
      </c>
    </row>
    <row r="28" spans="1:23" ht="13" x14ac:dyDescent="0.25">
      <c r="A28" s="1255"/>
      <c r="B28" s="2144"/>
      <c r="C28" s="3820"/>
      <c r="D28" s="2044"/>
      <c r="E28" s="2246"/>
      <c r="F28" s="2246"/>
      <c r="G28" s="2246"/>
      <c r="H28" s="2246"/>
      <c r="I28" s="2246"/>
      <c r="J28" s="2246"/>
      <c r="K28" s="2246"/>
      <c r="L28" s="2246"/>
      <c r="M28" s="2246"/>
      <c r="N28" s="2246"/>
      <c r="O28" s="2246"/>
      <c r="P28" s="2246"/>
      <c r="Q28" s="2246"/>
      <c r="R28" s="2246"/>
      <c r="S28" s="2246"/>
      <c r="T28" s="2246"/>
      <c r="U28" s="2246"/>
      <c r="V28" s="3831"/>
      <c r="W28" s="3831"/>
    </row>
    <row r="29" spans="1:23" ht="13" x14ac:dyDescent="0.25">
      <c r="A29" s="1255"/>
      <c r="B29" s="3803"/>
      <c r="C29" s="3828"/>
      <c r="D29" s="3829"/>
      <c r="E29" s="1592"/>
      <c r="F29" s="1592"/>
      <c r="G29" s="1592"/>
      <c r="H29" s="1592"/>
      <c r="I29" s="1592"/>
      <c r="J29" s="1592"/>
      <c r="K29" s="1592"/>
      <c r="L29" s="1592"/>
      <c r="M29" s="1592"/>
      <c r="N29" s="1592"/>
      <c r="O29" s="1592"/>
      <c r="P29" s="1592"/>
      <c r="Q29" s="1592"/>
      <c r="R29" s="1592"/>
      <c r="S29" s="3830"/>
      <c r="T29" s="3830"/>
      <c r="U29" s="3831"/>
      <c r="V29" s="3831"/>
      <c r="W29" s="3831"/>
    </row>
    <row r="30" spans="1:23" ht="15" customHeight="1" x14ac:dyDescent="0.25">
      <c r="A30" s="723">
        <v>5</v>
      </c>
      <c r="B30" s="723" t="s">
        <v>58</v>
      </c>
      <c r="C30" s="723"/>
      <c r="D30" s="5057" t="s">
        <v>1561</v>
      </c>
      <c r="E30" s="5052"/>
      <c r="F30" s="5052"/>
      <c r="G30" s="5052"/>
      <c r="H30" s="5052"/>
      <c r="I30" s="5052"/>
      <c r="J30" s="5052"/>
      <c r="K30" s="5052"/>
      <c r="L30" s="5052"/>
      <c r="M30" s="5052"/>
      <c r="N30" s="5052"/>
      <c r="O30" s="5052"/>
      <c r="P30" s="5052"/>
      <c r="Q30" s="5052"/>
      <c r="R30" s="5052"/>
      <c r="S30" s="5052"/>
      <c r="T30" s="5052"/>
      <c r="U30" s="5052"/>
      <c r="V30" s="5053"/>
      <c r="W30" s="3831"/>
    </row>
    <row r="31" spans="1:23" ht="30.65" customHeight="1" x14ac:dyDescent="0.25">
      <c r="A31" s="723">
        <v>6</v>
      </c>
      <c r="B31" s="788" t="s">
        <v>60</v>
      </c>
      <c r="C31" s="788"/>
      <c r="D31" s="5058" t="s">
        <v>1562</v>
      </c>
      <c r="E31" s="5059"/>
      <c r="F31" s="5059"/>
      <c r="G31" s="5059"/>
      <c r="H31" s="5059"/>
      <c r="I31" s="5059"/>
      <c r="J31" s="5059"/>
      <c r="K31" s="5059"/>
      <c r="L31" s="5059"/>
      <c r="M31" s="5059"/>
      <c r="N31" s="5059"/>
      <c r="O31" s="5059"/>
      <c r="P31" s="5059"/>
      <c r="Q31" s="5059"/>
      <c r="R31" s="5059"/>
      <c r="S31" s="5059"/>
      <c r="T31" s="5059"/>
      <c r="U31" s="5059"/>
      <c r="V31" s="5060"/>
    </row>
    <row r="32" spans="1:23" ht="28" customHeight="1" x14ac:dyDescent="0.25">
      <c r="A32" s="723">
        <v>7</v>
      </c>
      <c r="B32" s="723" t="s">
        <v>62</v>
      </c>
      <c r="C32" s="723"/>
      <c r="D32" s="5061" t="s">
        <v>1563</v>
      </c>
      <c r="E32" s="5062"/>
      <c r="F32" s="5062"/>
      <c r="G32" s="5062"/>
      <c r="H32" s="5062"/>
      <c r="I32" s="5062"/>
      <c r="J32" s="5062"/>
      <c r="K32" s="5062"/>
      <c r="L32" s="5062"/>
      <c r="M32" s="5062"/>
      <c r="N32" s="5062"/>
      <c r="O32" s="5062"/>
      <c r="P32" s="5062"/>
      <c r="Q32" s="5062"/>
      <c r="R32" s="5062"/>
      <c r="S32" s="5062"/>
      <c r="T32" s="5062"/>
      <c r="U32" s="5062"/>
      <c r="V32" s="5063"/>
    </row>
    <row r="33" spans="1:22" ht="39" customHeight="1" x14ac:dyDescent="0.25">
      <c r="A33" s="723">
        <v>8</v>
      </c>
      <c r="B33" s="723" t="s">
        <v>278</v>
      </c>
      <c r="C33" s="723"/>
      <c r="D33" s="5045" t="s">
        <v>1564</v>
      </c>
      <c r="E33" s="5046"/>
      <c r="F33" s="5046"/>
      <c r="G33" s="5046"/>
      <c r="H33" s="5046"/>
      <c r="I33" s="5046"/>
      <c r="J33" s="5046"/>
      <c r="K33" s="5046"/>
      <c r="L33" s="5046"/>
      <c r="M33" s="5046"/>
      <c r="N33" s="5046"/>
      <c r="O33" s="5046"/>
      <c r="P33" s="5046"/>
      <c r="Q33" s="5046"/>
      <c r="R33" s="5046"/>
      <c r="S33" s="5046"/>
      <c r="T33" s="5046"/>
      <c r="U33" s="5046"/>
      <c r="V33" s="5047"/>
    </row>
    <row r="36" spans="1:22" x14ac:dyDescent="0.25">
      <c r="E36" s="3832"/>
      <c r="F36" s="3832"/>
      <c r="G36" s="3832"/>
      <c r="H36" s="3832"/>
      <c r="I36" s="3832"/>
      <c r="J36" s="3832"/>
      <c r="K36" s="3832"/>
      <c r="L36" s="3832"/>
      <c r="M36" s="3832"/>
      <c r="N36" s="3832"/>
      <c r="O36" s="3832"/>
    </row>
    <row r="37" spans="1:22" x14ac:dyDescent="0.25">
      <c r="E37" s="3832"/>
      <c r="F37" s="3832"/>
      <c r="G37" s="3832"/>
      <c r="H37" s="3832"/>
      <c r="I37" s="3832"/>
      <c r="J37" s="3832"/>
      <c r="K37" s="3832"/>
      <c r="L37" s="3832"/>
      <c r="M37" s="3832"/>
      <c r="N37" s="3832"/>
      <c r="O37" s="3832"/>
    </row>
    <row r="38" spans="1:22" x14ac:dyDescent="0.25">
      <c r="E38" s="3832"/>
      <c r="F38" s="3832"/>
      <c r="G38" s="3832"/>
      <c r="H38" s="3832"/>
      <c r="I38" s="3832"/>
      <c r="J38" s="3832"/>
      <c r="K38" s="3832"/>
      <c r="L38" s="3832"/>
      <c r="M38" s="3832"/>
      <c r="N38" s="3832"/>
      <c r="O38" s="3832"/>
    </row>
    <row r="39" spans="1:22" x14ac:dyDescent="0.25">
      <c r="E39" s="3832"/>
      <c r="F39" s="3832"/>
      <c r="G39" s="3832"/>
      <c r="H39" s="3832"/>
      <c r="I39" s="3832"/>
      <c r="J39" s="3832"/>
      <c r="K39" s="3832"/>
      <c r="L39" s="3832"/>
      <c r="M39" s="3832"/>
      <c r="N39" s="3832"/>
      <c r="O39" s="3832"/>
    </row>
    <row r="40" spans="1:22" x14ac:dyDescent="0.25">
      <c r="E40" s="3832"/>
      <c r="F40" s="3832"/>
      <c r="G40" s="3832"/>
      <c r="H40" s="3832"/>
      <c r="I40" s="3832"/>
      <c r="J40" s="3832"/>
      <c r="K40" s="3832"/>
      <c r="L40" s="3832"/>
      <c r="M40" s="3832"/>
      <c r="N40" s="3832"/>
      <c r="O40" s="3832"/>
    </row>
    <row r="41" spans="1:22" x14ac:dyDescent="0.25">
      <c r="E41" s="3832"/>
      <c r="F41" s="3832"/>
      <c r="G41" s="3832"/>
      <c r="H41" s="3832"/>
      <c r="I41" s="3832"/>
      <c r="J41" s="3832"/>
      <c r="K41" s="3832"/>
      <c r="L41" s="3832"/>
      <c r="M41" s="3832"/>
      <c r="N41" s="3832"/>
      <c r="O41" s="3832"/>
    </row>
    <row r="42" spans="1:22" x14ac:dyDescent="0.25">
      <c r="E42" s="3832"/>
      <c r="F42" s="3832"/>
      <c r="G42" s="3832"/>
      <c r="H42" s="3832"/>
      <c r="I42" s="3832"/>
      <c r="J42" s="3832"/>
      <c r="K42" s="3832"/>
      <c r="L42" s="3832"/>
      <c r="M42" s="3832"/>
      <c r="N42" s="3832"/>
      <c r="O42" s="3832"/>
    </row>
    <row r="43" spans="1:22" x14ac:dyDescent="0.25">
      <c r="E43" s="3832"/>
      <c r="F43" s="3832"/>
      <c r="G43" s="3832"/>
      <c r="H43" s="3832"/>
      <c r="I43" s="3832"/>
      <c r="J43" s="3832"/>
      <c r="K43" s="3832"/>
      <c r="L43" s="3832"/>
      <c r="M43" s="3832"/>
      <c r="N43" s="3832"/>
      <c r="O43" s="3832"/>
    </row>
    <row r="44" spans="1:22" x14ac:dyDescent="0.25">
      <c r="E44" s="3832"/>
      <c r="F44" s="3832"/>
      <c r="G44" s="3832"/>
      <c r="H44" s="3832"/>
      <c r="I44" s="3832"/>
      <c r="J44" s="3832"/>
      <c r="K44" s="3832"/>
      <c r="L44" s="3832"/>
      <c r="M44" s="3832"/>
      <c r="N44" s="3832"/>
      <c r="O44" s="3832"/>
    </row>
    <row r="45" spans="1:22" x14ac:dyDescent="0.25">
      <c r="E45" s="3832"/>
      <c r="F45" s="3832"/>
      <c r="G45" s="3832"/>
      <c r="H45" s="3832"/>
      <c r="I45" s="3832"/>
      <c r="J45" s="3832"/>
      <c r="K45" s="3832"/>
      <c r="L45" s="3832"/>
      <c r="M45" s="3832"/>
      <c r="N45" s="3832"/>
      <c r="O45" s="3832"/>
    </row>
    <row r="46" spans="1:22" x14ac:dyDescent="0.25">
      <c r="E46" s="3832"/>
      <c r="F46" s="3832"/>
      <c r="G46" s="3832"/>
      <c r="H46" s="3832"/>
      <c r="I46" s="3832"/>
      <c r="J46" s="3832"/>
      <c r="K46" s="3832"/>
      <c r="L46" s="3832"/>
      <c r="M46" s="3832"/>
      <c r="N46" s="3832"/>
      <c r="O46" s="3832"/>
    </row>
    <row r="47" spans="1:22" x14ac:dyDescent="0.25">
      <c r="E47" s="3832"/>
      <c r="F47" s="3832"/>
      <c r="G47" s="3832"/>
      <c r="H47" s="3832"/>
      <c r="I47" s="3832"/>
      <c r="J47" s="3832"/>
      <c r="K47" s="3832"/>
      <c r="L47" s="3832"/>
      <c r="M47" s="3832"/>
      <c r="N47" s="3832"/>
      <c r="O47" s="3832"/>
    </row>
    <row r="48" spans="1:22" x14ac:dyDescent="0.25">
      <c r="E48" s="3832"/>
      <c r="F48" s="3832"/>
      <c r="G48" s="3832"/>
      <c r="H48" s="3832"/>
      <c r="I48" s="3832"/>
      <c r="J48" s="3832"/>
      <c r="K48" s="3832"/>
      <c r="L48" s="3832"/>
      <c r="M48" s="3832"/>
      <c r="N48" s="3832"/>
      <c r="O48" s="3832"/>
    </row>
    <row r="49" spans="5:15" x14ac:dyDescent="0.25">
      <c r="E49" s="3832"/>
      <c r="F49" s="3832"/>
      <c r="G49" s="3832"/>
      <c r="H49" s="3832"/>
      <c r="I49" s="3832"/>
      <c r="J49" s="3832"/>
      <c r="K49" s="3832"/>
      <c r="L49" s="3832"/>
      <c r="M49" s="3832"/>
      <c r="N49" s="3832"/>
      <c r="O49" s="3832"/>
    </row>
    <row r="50" spans="5:15" x14ac:dyDescent="0.25">
      <c r="E50" s="3832"/>
      <c r="F50" s="3832"/>
      <c r="G50" s="3832"/>
      <c r="H50" s="3832"/>
      <c r="I50" s="3832"/>
      <c r="J50" s="3832"/>
      <c r="K50" s="3832"/>
      <c r="L50" s="3832"/>
      <c r="M50" s="3832"/>
      <c r="N50" s="3832"/>
      <c r="O50" s="3832"/>
    </row>
    <row r="51" spans="5:15" x14ac:dyDescent="0.25">
      <c r="E51" s="3832"/>
      <c r="F51" s="3832"/>
      <c r="G51" s="3832"/>
      <c r="H51" s="3832"/>
      <c r="I51" s="3832"/>
      <c r="J51" s="3832"/>
      <c r="K51" s="3832"/>
      <c r="L51" s="3832"/>
      <c r="M51" s="3832"/>
      <c r="N51" s="3832"/>
      <c r="O51" s="3832"/>
    </row>
    <row r="52" spans="5:15" x14ac:dyDescent="0.25">
      <c r="E52" s="3832"/>
      <c r="F52" s="3832"/>
      <c r="G52" s="3832"/>
      <c r="H52" s="3832"/>
      <c r="I52" s="3832"/>
      <c r="J52" s="3832"/>
      <c r="K52" s="3832"/>
      <c r="L52" s="3832"/>
      <c r="M52" s="3832"/>
      <c r="N52" s="3832"/>
      <c r="O52" s="3832"/>
    </row>
    <row r="53" spans="5:15" x14ac:dyDescent="0.25">
      <c r="E53" s="3832"/>
      <c r="F53" s="3832"/>
      <c r="G53" s="3832"/>
      <c r="H53" s="3832"/>
      <c r="I53" s="3832"/>
      <c r="J53" s="3832"/>
      <c r="K53" s="3832"/>
      <c r="L53" s="3832"/>
      <c r="M53" s="3832"/>
      <c r="N53" s="3832"/>
      <c r="O53" s="3832"/>
    </row>
    <row r="54" spans="5:15" x14ac:dyDescent="0.25">
      <c r="E54" s="3832"/>
      <c r="F54" s="3832"/>
      <c r="G54" s="3832"/>
      <c r="H54" s="3832"/>
      <c r="I54" s="3832"/>
      <c r="J54" s="3832"/>
      <c r="K54" s="3832"/>
      <c r="L54" s="3832"/>
      <c r="M54" s="3832"/>
      <c r="N54" s="3832"/>
      <c r="O54" s="3832"/>
    </row>
    <row r="55" spans="5:15" x14ac:dyDescent="0.25">
      <c r="E55" s="3832"/>
      <c r="F55" s="3832"/>
      <c r="G55" s="3832"/>
      <c r="H55" s="3832"/>
      <c r="I55" s="3832"/>
      <c r="J55" s="3832"/>
      <c r="K55" s="3832"/>
      <c r="L55" s="3832"/>
      <c r="M55" s="3832"/>
      <c r="N55" s="3832"/>
      <c r="O55" s="3832"/>
    </row>
    <row r="56" spans="5:15" x14ac:dyDescent="0.25">
      <c r="E56" s="3832"/>
      <c r="F56" s="3832"/>
      <c r="G56" s="3832"/>
      <c r="H56" s="3832"/>
      <c r="I56" s="3832"/>
      <c r="J56" s="3832"/>
      <c r="K56" s="3832"/>
      <c r="L56" s="3832"/>
      <c r="M56" s="3832"/>
      <c r="N56" s="3832"/>
      <c r="O56" s="3832"/>
    </row>
    <row r="57" spans="5:15" x14ac:dyDescent="0.25">
      <c r="E57" s="3832"/>
      <c r="F57" s="3832"/>
      <c r="G57" s="3832"/>
      <c r="H57" s="3832"/>
      <c r="I57" s="3832"/>
      <c r="J57" s="3832"/>
      <c r="K57" s="3832"/>
      <c r="L57" s="3832"/>
      <c r="M57" s="3832"/>
      <c r="N57" s="3832"/>
      <c r="O57" s="3832"/>
    </row>
    <row r="58" spans="5:15" x14ac:dyDescent="0.25">
      <c r="E58" s="3832"/>
      <c r="F58" s="3832"/>
      <c r="G58" s="3832"/>
      <c r="H58" s="3832"/>
      <c r="I58" s="3832"/>
      <c r="J58" s="3832"/>
      <c r="K58" s="3832"/>
      <c r="L58" s="3832"/>
      <c r="M58" s="3832"/>
      <c r="N58" s="3832"/>
      <c r="O58" s="3832"/>
    </row>
    <row r="59" spans="5:15" x14ac:dyDescent="0.25">
      <c r="E59" s="3832"/>
      <c r="F59" s="3832"/>
      <c r="G59" s="3832"/>
      <c r="H59" s="3832"/>
      <c r="I59" s="3832"/>
      <c r="J59" s="3832"/>
      <c r="K59" s="3832"/>
      <c r="L59" s="3832"/>
      <c r="M59" s="3832"/>
      <c r="N59" s="3832"/>
      <c r="O59" s="3832"/>
    </row>
    <row r="60" spans="5:15" x14ac:dyDescent="0.25">
      <c r="E60" s="3832"/>
      <c r="F60" s="3832"/>
      <c r="G60" s="3832"/>
      <c r="H60" s="3832"/>
      <c r="I60" s="3832"/>
      <c r="J60" s="3832"/>
      <c r="K60" s="3832"/>
      <c r="L60" s="3832"/>
      <c r="M60" s="3832"/>
      <c r="N60" s="3832"/>
      <c r="O60" s="3832"/>
    </row>
    <row r="61" spans="5:15" x14ac:dyDescent="0.25">
      <c r="E61" s="3832"/>
      <c r="F61" s="3832"/>
      <c r="G61" s="3832"/>
      <c r="H61" s="3832"/>
      <c r="I61" s="3832"/>
      <c r="J61" s="3832"/>
      <c r="K61" s="3832"/>
      <c r="L61" s="3832"/>
      <c r="M61" s="3832"/>
      <c r="N61" s="3832"/>
      <c r="O61" s="3832"/>
    </row>
    <row r="62" spans="5:15" x14ac:dyDescent="0.25">
      <c r="E62" s="3832"/>
      <c r="F62" s="3832"/>
      <c r="G62" s="3832"/>
      <c r="H62" s="3832"/>
      <c r="I62" s="3832"/>
      <c r="J62" s="3832"/>
      <c r="K62" s="3832"/>
      <c r="L62" s="3832"/>
      <c r="M62" s="3832"/>
      <c r="N62" s="3832"/>
      <c r="O62" s="3832"/>
    </row>
  </sheetData>
  <mergeCells count="7">
    <mergeCell ref="D33:V33"/>
    <mergeCell ref="D2:V2"/>
    <mergeCell ref="D3:V3"/>
    <mergeCell ref="D4:V4"/>
    <mergeCell ref="D30:V30"/>
    <mergeCell ref="D31:V31"/>
    <mergeCell ref="D32:V32"/>
  </mergeCells>
  <pageMargins left="0.74803149606299213" right="0.74803149606299213" top="0.98425196850393704" bottom="0.98425196850393704" header="0.51181102362204722" footer="0.51181102362204722"/>
  <pageSetup paperSize="9" scale="65" fitToHeight="0" orientation="landscape" r:id="rId1"/>
  <headerFooter alignWithMargins="0">
    <oddHeader>&amp;C&amp;"-,Bold"DEVELOPMENT INDICATORS 2014</oddHeader>
    <oddFooter>&amp;LDepartment of Planning, Monitoring and Evaluation (DPME). &amp;CPage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CJ180"/>
  <sheetViews>
    <sheetView showGridLines="0" view="pageBreakPreview" zoomScaleNormal="100" zoomScaleSheetLayoutView="100" workbookViewId="0">
      <selection activeCell="B19" sqref="B19"/>
    </sheetView>
  </sheetViews>
  <sheetFormatPr defaultColWidth="9.1796875" defaultRowHeight="14.5" x14ac:dyDescent="0.35"/>
  <cols>
    <col min="1" max="1" width="3.81640625" style="86" customWidth="1"/>
    <col min="2" max="2" width="10" style="83" customWidth="1"/>
    <col min="3" max="3" width="3.81640625" style="84" customWidth="1"/>
    <col min="4" max="4" width="12.54296875" style="4" customWidth="1"/>
    <col min="5" max="5" width="6.81640625" style="4" customWidth="1"/>
    <col min="6" max="30" width="5.54296875" style="4" customWidth="1"/>
    <col min="31" max="31" width="9.81640625" style="4" bestFit="1" customWidth="1"/>
    <col min="32" max="33" width="9.1796875" style="4"/>
    <col min="34" max="34" width="10.81640625" style="4" customWidth="1"/>
    <col min="35" max="35" width="9.81640625" style="4" bestFit="1" customWidth="1"/>
    <col min="36" max="37" width="9.1796875" style="4"/>
    <col min="38" max="38" width="10.54296875" style="4" customWidth="1"/>
    <col min="39" max="39" width="9.81640625" style="4" bestFit="1" customWidth="1"/>
    <col min="40" max="41" width="9.1796875" style="4"/>
    <col min="42" max="42" width="10.54296875" style="4" customWidth="1"/>
    <col min="43" max="43" width="9.81640625" style="4" bestFit="1" customWidth="1"/>
    <col min="44" max="45" width="9.1796875" style="4"/>
    <col min="46" max="46" width="10" style="4" customWidth="1"/>
    <col min="47" max="47" width="9.81640625" style="4" bestFit="1" customWidth="1"/>
    <col min="48" max="50" width="9.1796875" style="4"/>
    <col min="51" max="51" width="9.81640625" style="4" bestFit="1" customWidth="1"/>
    <col min="52" max="52" width="9.81640625" style="4" customWidth="1"/>
    <col min="53" max="53" width="9.1796875" style="4"/>
    <col min="54" max="54" width="9.81640625" style="4" customWidth="1"/>
    <col min="55" max="55" width="9.81640625" style="4" bestFit="1" customWidth="1"/>
    <col min="56" max="56" width="9.1796875" style="4" customWidth="1"/>
    <col min="57" max="57" width="9.1796875" style="4"/>
    <col min="58" max="58" width="11.54296875" style="4" customWidth="1"/>
    <col min="59" max="16384" width="9.1796875" style="4"/>
  </cols>
  <sheetData>
    <row r="1" spans="1:58" x14ac:dyDescent="0.35">
      <c r="D1" s="85"/>
      <c r="E1" s="85"/>
      <c r="F1" s="85"/>
      <c r="G1" s="85"/>
      <c r="H1" s="85"/>
      <c r="I1" s="85"/>
      <c r="J1" s="85"/>
      <c r="K1" s="85"/>
      <c r="L1" s="85"/>
      <c r="M1" s="85"/>
      <c r="N1" s="85"/>
      <c r="O1" s="85"/>
      <c r="P1" s="92"/>
      <c r="Q1" s="92"/>
      <c r="R1" s="92"/>
      <c r="S1" s="92"/>
      <c r="T1" s="92"/>
      <c r="U1" s="9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row>
    <row r="2" spans="1:58" ht="15" customHeight="1" x14ac:dyDescent="0.35">
      <c r="A2" s="86">
        <v>1</v>
      </c>
      <c r="B2" s="87" t="s">
        <v>0</v>
      </c>
      <c r="C2" s="86">
        <f>'[1]G debt'!C2+1</f>
        <v>7</v>
      </c>
      <c r="D2" s="4648" t="s">
        <v>135</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49"/>
      <c r="AD2" s="4650"/>
      <c r="AE2" s="8"/>
      <c r="AF2" s="8"/>
      <c r="AG2" s="8"/>
      <c r="AH2" s="8"/>
      <c r="AI2" s="8"/>
      <c r="AJ2" s="8"/>
      <c r="AK2" s="8"/>
      <c r="AL2" s="8"/>
      <c r="AM2" s="8"/>
      <c r="AN2" s="8"/>
      <c r="AO2" s="8"/>
      <c r="AP2" s="8"/>
      <c r="AQ2" s="8"/>
      <c r="AR2" s="8"/>
      <c r="AS2" s="8"/>
      <c r="AT2" s="12"/>
      <c r="AU2" s="12"/>
      <c r="AV2" s="12"/>
      <c r="AW2" s="12"/>
      <c r="AX2" s="12"/>
      <c r="AY2" s="12"/>
      <c r="AZ2" s="12"/>
      <c r="BA2" s="12"/>
      <c r="BB2" s="12"/>
      <c r="BC2" s="12"/>
      <c r="BD2" s="12"/>
      <c r="BE2" s="12"/>
      <c r="BF2" s="12"/>
    </row>
    <row r="3" spans="1:58" ht="15" customHeight="1" x14ac:dyDescent="0.35">
      <c r="A3" s="86">
        <v>2</v>
      </c>
      <c r="B3" s="87" t="s">
        <v>2</v>
      </c>
      <c r="C3" s="86"/>
      <c r="D3" s="4648" t="s">
        <v>136</v>
      </c>
      <c r="E3" s="4649"/>
      <c r="F3" s="4649"/>
      <c r="G3" s="4649"/>
      <c r="H3" s="4649"/>
      <c r="I3" s="4649"/>
      <c r="J3" s="4649"/>
      <c r="K3" s="4649"/>
      <c r="L3" s="4649"/>
      <c r="M3" s="4649"/>
      <c r="N3" s="4649"/>
      <c r="O3" s="4649"/>
      <c r="P3" s="4649"/>
      <c r="Q3" s="4649"/>
      <c r="R3" s="4649"/>
      <c r="S3" s="4649"/>
      <c r="T3" s="4649"/>
      <c r="U3" s="4649"/>
      <c r="V3" s="4649"/>
      <c r="W3" s="4649"/>
      <c r="X3" s="4649"/>
      <c r="Y3" s="4649"/>
      <c r="Z3" s="4649"/>
      <c r="AA3" s="4649"/>
      <c r="AB3" s="4649"/>
      <c r="AC3" s="4649"/>
      <c r="AD3" s="4650"/>
      <c r="AE3" s="8"/>
      <c r="AF3" s="8"/>
      <c r="AG3" s="8"/>
      <c r="AH3" s="8"/>
      <c r="AI3" s="8"/>
      <c r="AJ3" s="8"/>
      <c r="AK3" s="8"/>
      <c r="AL3" s="8"/>
      <c r="AM3" s="8"/>
      <c r="AN3" s="8"/>
      <c r="AO3" s="8"/>
      <c r="AP3" s="8"/>
      <c r="AQ3" s="8"/>
      <c r="AR3" s="8"/>
      <c r="AS3" s="8"/>
      <c r="AT3" s="12"/>
      <c r="AU3" s="12"/>
      <c r="AV3" s="12"/>
      <c r="AW3" s="12"/>
      <c r="AX3" s="12"/>
      <c r="AY3" s="12"/>
      <c r="AZ3" s="12"/>
      <c r="BA3" s="12"/>
      <c r="BB3" s="12"/>
      <c r="BC3" s="12"/>
      <c r="BD3" s="12"/>
      <c r="BE3" s="12"/>
      <c r="BF3" s="12"/>
    </row>
    <row r="4" spans="1:58" ht="15" customHeight="1" x14ac:dyDescent="0.35">
      <c r="A4" s="86">
        <v>3</v>
      </c>
      <c r="B4" s="87" t="s">
        <v>4</v>
      </c>
      <c r="C4" s="86"/>
      <c r="D4" s="4648" t="s">
        <v>137</v>
      </c>
      <c r="E4" s="4649"/>
      <c r="F4" s="4649"/>
      <c r="G4" s="4649"/>
      <c r="H4" s="4649"/>
      <c r="I4" s="4649"/>
      <c r="J4" s="4649"/>
      <c r="K4" s="4649"/>
      <c r="L4" s="4649"/>
      <c r="M4" s="4649"/>
      <c r="N4" s="4649"/>
      <c r="O4" s="4649"/>
      <c r="P4" s="4649"/>
      <c r="Q4" s="4649"/>
      <c r="R4" s="4649"/>
      <c r="S4" s="4649"/>
      <c r="T4" s="4649"/>
      <c r="U4" s="4649"/>
      <c r="V4" s="4649"/>
      <c r="W4" s="4649"/>
      <c r="X4" s="4649"/>
      <c r="Y4" s="4649"/>
      <c r="Z4" s="4649"/>
      <c r="AA4" s="4649"/>
      <c r="AB4" s="4649"/>
      <c r="AC4" s="4649"/>
      <c r="AD4" s="4650"/>
      <c r="AE4" s="234"/>
      <c r="AF4" s="234"/>
      <c r="AG4" s="234"/>
      <c r="AH4" s="234"/>
      <c r="AI4" s="234"/>
      <c r="AJ4" s="234"/>
      <c r="AK4" s="234"/>
      <c r="AL4" s="234"/>
      <c r="AM4" s="234"/>
      <c r="AN4" s="234"/>
      <c r="AO4" s="234"/>
      <c r="AP4" s="234"/>
      <c r="AQ4" s="234"/>
      <c r="AR4" s="234"/>
      <c r="AS4" s="234"/>
      <c r="AT4" s="12"/>
      <c r="AU4" s="12"/>
      <c r="AV4" s="12"/>
      <c r="AW4" s="12"/>
      <c r="AX4" s="12"/>
      <c r="AY4" s="12"/>
      <c r="AZ4" s="12"/>
      <c r="BA4" s="12"/>
      <c r="BB4" s="12"/>
      <c r="BC4" s="12"/>
      <c r="BD4" s="12"/>
      <c r="BE4" s="12"/>
      <c r="BF4" s="12"/>
    </row>
    <row r="5" spans="1:58" ht="15" customHeight="1" x14ac:dyDescent="0.35">
      <c r="B5" s="87"/>
      <c r="C5" s="86"/>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4"/>
      <c r="AF5" s="234"/>
      <c r="AG5" s="234"/>
      <c r="AH5" s="234"/>
      <c r="AI5" s="234"/>
      <c r="AJ5" s="234"/>
      <c r="AK5" s="234"/>
      <c r="AL5" s="234"/>
      <c r="AM5" s="234"/>
      <c r="AN5" s="234"/>
      <c r="AO5" s="234"/>
      <c r="AP5" s="234"/>
      <c r="AQ5" s="234"/>
      <c r="AR5" s="234"/>
      <c r="AS5" s="234"/>
      <c r="AT5" s="12"/>
      <c r="AU5" s="12"/>
      <c r="AV5" s="12"/>
      <c r="AW5" s="12"/>
      <c r="AX5" s="12"/>
      <c r="AY5" s="12"/>
      <c r="AZ5" s="12"/>
      <c r="BA5" s="12"/>
      <c r="BB5" s="12"/>
      <c r="BC5" s="12"/>
      <c r="BD5" s="12"/>
      <c r="BE5" s="12"/>
      <c r="BF5" s="12"/>
    </row>
    <row r="6" spans="1:58" x14ac:dyDescent="0.35">
      <c r="A6" s="86">
        <v>4</v>
      </c>
      <c r="B6" s="88" t="s">
        <v>6</v>
      </c>
      <c r="C6" s="154"/>
      <c r="D6" s="85"/>
      <c r="E6" s="85"/>
      <c r="F6" s="85"/>
      <c r="G6" s="85"/>
      <c r="H6" s="85"/>
      <c r="I6" s="85"/>
      <c r="J6" s="85"/>
      <c r="K6" s="85"/>
      <c r="L6" s="85"/>
      <c r="M6" s="85"/>
      <c r="N6" s="85"/>
      <c r="O6" s="85"/>
      <c r="P6" s="92"/>
      <c r="Q6" s="108"/>
      <c r="R6" s="92"/>
      <c r="S6" s="92"/>
      <c r="T6" s="92"/>
      <c r="U6" s="9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row>
    <row r="7" spans="1:58" x14ac:dyDescent="0.35">
      <c r="C7" s="154"/>
      <c r="D7" s="90" t="s">
        <v>7</v>
      </c>
      <c r="E7" s="90" t="s">
        <v>138</v>
      </c>
      <c r="F7" s="90"/>
      <c r="G7" s="90"/>
      <c r="H7" s="90"/>
      <c r="I7" s="90"/>
      <c r="J7" s="90"/>
      <c r="K7" s="90"/>
      <c r="L7" s="90"/>
      <c r="M7" s="91"/>
      <c r="N7" s="91"/>
      <c r="O7" s="91"/>
      <c r="P7" s="91"/>
      <c r="Q7" s="91"/>
      <c r="R7" s="92"/>
      <c r="S7" s="92"/>
      <c r="T7" s="92"/>
      <c r="U7" s="92"/>
      <c r="V7" s="9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row>
    <row r="8" spans="1:58" x14ac:dyDescent="0.35">
      <c r="D8" s="158"/>
      <c r="E8" s="236" t="s">
        <v>8</v>
      </c>
      <c r="F8" s="236" t="s">
        <v>9</v>
      </c>
      <c r="G8" s="236" t="s">
        <v>10</v>
      </c>
      <c r="H8" s="236" t="s">
        <v>11</v>
      </c>
      <c r="I8" s="236" t="s">
        <v>12</v>
      </c>
      <c r="J8" s="236" t="s">
        <v>13</v>
      </c>
      <c r="K8" s="236" t="s">
        <v>14</v>
      </c>
      <c r="L8" s="236" t="s">
        <v>15</v>
      </c>
      <c r="M8" s="236" t="s">
        <v>16</v>
      </c>
      <c r="N8" s="236" t="s">
        <v>17</v>
      </c>
      <c r="O8" s="236" t="s">
        <v>18</v>
      </c>
      <c r="P8" s="236" t="s">
        <v>19</v>
      </c>
      <c r="Q8" s="236" t="s">
        <v>20</v>
      </c>
      <c r="R8" s="236" t="s">
        <v>21</v>
      </c>
      <c r="S8" s="236" t="s">
        <v>22</v>
      </c>
      <c r="T8" s="236" t="s">
        <v>23</v>
      </c>
      <c r="U8" s="236" t="s">
        <v>24</v>
      </c>
      <c r="V8" s="236" t="s">
        <v>25</v>
      </c>
      <c r="W8" s="236" t="s">
        <v>26</v>
      </c>
      <c r="X8" s="237">
        <v>2013</v>
      </c>
      <c r="Y8" s="237">
        <v>2014</v>
      </c>
      <c r="Z8" s="237">
        <v>2015</v>
      </c>
      <c r="AA8" s="237">
        <v>2016</v>
      </c>
      <c r="AB8" s="238">
        <v>2017</v>
      </c>
      <c r="AC8" s="238">
        <v>2018</v>
      </c>
      <c r="AD8" s="239">
        <v>2019</v>
      </c>
    </row>
    <row r="9" spans="1:58" x14ac:dyDescent="0.35">
      <c r="D9" s="240" t="s">
        <v>139</v>
      </c>
      <c r="E9" s="241">
        <v>5.7779999999999996</v>
      </c>
      <c r="F9" s="241">
        <v>10.8513</v>
      </c>
      <c r="G9" s="241">
        <v>10.0183</v>
      </c>
      <c r="H9" s="241">
        <v>12.182499999999999</v>
      </c>
      <c r="I9" s="241">
        <v>12.947699999999999</v>
      </c>
      <c r="J9" s="241">
        <v>13.0137</v>
      </c>
      <c r="K9" s="241">
        <v>7.0092999999999996</v>
      </c>
      <c r="L9" s="241">
        <v>8.1340000000000003</v>
      </c>
      <c r="M9" s="241">
        <v>4.0925000000000002</v>
      </c>
      <c r="N9" s="241">
        <v>11.0558</v>
      </c>
      <c r="O9" s="241">
        <v>7.4539999999999997</v>
      </c>
      <c r="P9" s="241">
        <v>6.6601999999999997</v>
      </c>
      <c r="Q9" s="241">
        <v>6.3327</v>
      </c>
      <c r="R9" s="241">
        <v>5.0458999999999996</v>
      </c>
      <c r="S9" s="241">
        <v>5.0228000000000002</v>
      </c>
      <c r="T9" s="241">
        <v>3.9510999999999998</v>
      </c>
      <c r="U9" s="241">
        <v>5.3140000000000001</v>
      </c>
      <c r="V9" s="241">
        <v>2.7332999999999998</v>
      </c>
      <c r="W9" s="241">
        <v>2.649</v>
      </c>
      <c r="X9" s="241">
        <v>2.9411999999999998</v>
      </c>
      <c r="Y9" s="241">
        <v>3.7511999999999999</v>
      </c>
      <c r="Z9" s="241">
        <v>4.3250999999999999</v>
      </c>
      <c r="AA9" s="241">
        <v>3.4643999999999999</v>
      </c>
      <c r="AB9" s="169">
        <v>5.3009000000000004</v>
      </c>
      <c r="AC9" s="169">
        <v>5.5</v>
      </c>
      <c r="AD9" s="242">
        <v>5.8</v>
      </c>
    </row>
    <row r="10" spans="1:58" x14ac:dyDescent="0.35">
      <c r="D10" s="243" t="s">
        <v>140</v>
      </c>
      <c r="E10" s="244">
        <v>16.25</v>
      </c>
      <c r="F10" s="244">
        <v>18.5</v>
      </c>
      <c r="G10" s="244">
        <v>20.25</v>
      </c>
      <c r="H10" s="244">
        <v>19.25</v>
      </c>
      <c r="I10" s="244">
        <v>23</v>
      </c>
      <c r="J10" s="244">
        <v>15.5</v>
      </c>
      <c r="K10" s="244">
        <v>14.5</v>
      </c>
      <c r="L10" s="244">
        <v>13</v>
      </c>
      <c r="M10" s="244">
        <v>17</v>
      </c>
      <c r="N10" s="244">
        <v>11.5</v>
      </c>
      <c r="O10" s="244">
        <v>11</v>
      </c>
      <c r="P10" s="244">
        <v>10.5</v>
      </c>
      <c r="Q10" s="244">
        <v>12.5</v>
      </c>
      <c r="R10" s="244">
        <v>14.5</v>
      </c>
      <c r="S10" s="244">
        <v>15</v>
      </c>
      <c r="T10" s="244">
        <v>10.5</v>
      </c>
      <c r="U10" s="244">
        <v>9</v>
      </c>
      <c r="V10" s="244">
        <v>9</v>
      </c>
      <c r="W10" s="244">
        <v>8.5</v>
      </c>
      <c r="X10" s="245">
        <v>8.5</v>
      </c>
      <c r="Y10" s="245">
        <v>9.25</v>
      </c>
      <c r="Z10" s="246">
        <v>9.75</v>
      </c>
      <c r="AA10" s="246">
        <v>10.5</v>
      </c>
      <c r="AB10" s="247">
        <v>10.25</v>
      </c>
      <c r="AC10" s="247">
        <v>10.25</v>
      </c>
      <c r="AD10" s="248">
        <v>10</v>
      </c>
    </row>
    <row r="11" spans="1:58" x14ac:dyDescent="0.35">
      <c r="C11" s="154"/>
      <c r="D11" s="90" t="s">
        <v>35</v>
      </c>
      <c r="E11" s="90" t="s">
        <v>141</v>
      </c>
      <c r="F11" s="90"/>
      <c r="G11" s="90"/>
      <c r="H11" s="90"/>
      <c r="I11" s="90"/>
      <c r="J11" s="90"/>
      <c r="K11" s="90"/>
      <c r="L11" s="90"/>
      <c r="M11" s="91"/>
      <c r="N11" s="91"/>
      <c r="O11" s="91"/>
      <c r="P11" s="91"/>
      <c r="Q11" s="91"/>
      <c r="R11" s="92"/>
      <c r="S11" s="92"/>
      <c r="T11" s="92"/>
      <c r="U11" s="92"/>
      <c r="V11" s="9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row>
    <row r="12" spans="1:58" x14ac:dyDescent="0.35">
      <c r="D12" s="158"/>
      <c r="E12" s="236" t="s">
        <v>8</v>
      </c>
      <c r="F12" s="236" t="s">
        <v>9</v>
      </c>
      <c r="G12" s="236" t="s">
        <v>10</v>
      </c>
      <c r="H12" s="236" t="s">
        <v>11</v>
      </c>
      <c r="I12" s="236" t="s">
        <v>12</v>
      </c>
      <c r="J12" s="236" t="s">
        <v>13</v>
      </c>
      <c r="K12" s="236" t="s">
        <v>14</v>
      </c>
      <c r="L12" s="236" t="s">
        <v>15</v>
      </c>
      <c r="M12" s="236" t="s">
        <v>16</v>
      </c>
      <c r="N12" s="236" t="s">
        <v>17</v>
      </c>
      <c r="O12" s="236" t="s">
        <v>18</v>
      </c>
      <c r="P12" s="236" t="s">
        <v>19</v>
      </c>
      <c r="Q12" s="236" t="s">
        <v>20</v>
      </c>
      <c r="R12" s="236" t="s">
        <v>21</v>
      </c>
      <c r="S12" s="236" t="s">
        <v>22</v>
      </c>
      <c r="T12" s="236" t="s">
        <v>23</v>
      </c>
      <c r="U12" s="236" t="s">
        <v>24</v>
      </c>
      <c r="V12" s="236" t="s">
        <v>25</v>
      </c>
      <c r="W12" s="236" t="s">
        <v>26</v>
      </c>
      <c r="X12" s="237">
        <v>2013</v>
      </c>
      <c r="Y12" s="237">
        <v>2014</v>
      </c>
      <c r="Z12" s="237">
        <v>2015</v>
      </c>
      <c r="AA12" s="237">
        <v>2016</v>
      </c>
      <c r="AB12" s="238">
        <v>2017</v>
      </c>
      <c r="AC12" s="238">
        <v>2018</v>
      </c>
      <c r="AD12" s="239">
        <v>2019</v>
      </c>
    </row>
    <row r="13" spans="1:58" x14ac:dyDescent="0.35">
      <c r="D13" s="240" t="s">
        <v>139</v>
      </c>
      <c r="E13" s="241">
        <v>2.8207</v>
      </c>
      <c r="F13" s="241">
        <v>7.5772000000000004</v>
      </c>
      <c r="G13" s="241">
        <v>7.0448000000000004</v>
      </c>
      <c r="H13" s="241">
        <v>9.1250999999999998</v>
      </c>
      <c r="I13" s="241">
        <v>9.5684000000000005</v>
      </c>
      <c r="J13" s="241">
        <v>9.5890000000000004</v>
      </c>
      <c r="K13" s="241">
        <v>4.6729000000000003</v>
      </c>
      <c r="L13" s="241">
        <v>4.7847</v>
      </c>
      <c r="M13" s="241">
        <v>0.97860000000000003</v>
      </c>
      <c r="N13" s="241">
        <v>7.5697000000000001</v>
      </c>
      <c r="O13" s="241">
        <v>4.0658000000000003</v>
      </c>
      <c r="P13" s="241">
        <v>3.2818999999999998</v>
      </c>
      <c r="Q13" s="241">
        <v>3.0246</v>
      </c>
      <c r="R13" s="241">
        <v>1.8349</v>
      </c>
      <c r="S13" s="241">
        <v>1.8265</v>
      </c>
      <c r="T13" s="241">
        <v>0.65849999999999997</v>
      </c>
      <c r="U13" s="241">
        <v>1.9323999999999999</v>
      </c>
      <c r="V13" s="241">
        <v>-0.5655</v>
      </c>
      <c r="W13" s="241">
        <v>-0.6623</v>
      </c>
      <c r="X13" s="241">
        <v>-0.3795</v>
      </c>
      <c r="Y13" s="241">
        <v>0.4274</v>
      </c>
      <c r="Z13" s="241">
        <v>0.99809999999999999</v>
      </c>
      <c r="AA13" s="241">
        <v>0.18729999999999999</v>
      </c>
      <c r="AB13" s="169">
        <v>1.958</v>
      </c>
      <c r="AC13" s="169">
        <v>2.15</v>
      </c>
      <c r="AD13" s="242">
        <v>2.4</v>
      </c>
    </row>
    <row r="14" spans="1:58" x14ac:dyDescent="0.35">
      <c r="D14" s="243" t="s">
        <v>140</v>
      </c>
      <c r="E14" s="244">
        <v>13</v>
      </c>
      <c r="F14" s="244">
        <v>15</v>
      </c>
      <c r="G14" s="244">
        <v>17</v>
      </c>
      <c r="H14" s="244">
        <v>16</v>
      </c>
      <c r="I14" s="244">
        <v>19.32</v>
      </c>
      <c r="J14" s="244">
        <v>12</v>
      </c>
      <c r="K14" s="244">
        <v>12</v>
      </c>
      <c r="L14" s="244">
        <v>9.5</v>
      </c>
      <c r="M14" s="244">
        <v>13.5</v>
      </c>
      <c r="N14" s="244">
        <v>8</v>
      </c>
      <c r="O14" s="244">
        <v>7.5</v>
      </c>
      <c r="P14" s="244">
        <v>7</v>
      </c>
      <c r="Q14" s="244">
        <v>9</v>
      </c>
      <c r="R14" s="244">
        <v>11</v>
      </c>
      <c r="S14" s="244">
        <v>11.5</v>
      </c>
      <c r="T14" s="244">
        <v>7</v>
      </c>
      <c r="U14" s="244">
        <v>5.5</v>
      </c>
      <c r="V14" s="244">
        <v>5.5</v>
      </c>
      <c r="W14" s="244">
        <v>5</v>
      </c>
      <c r="X14" s="245">
        <v>5</v>
      </c>
      <c r="Y14" s="245">
        <v>5.75</v>
      </c>
      <c r="Z14" s="246">
        <v>6.25</v>
      </c>
      <c r="AA14" s="246">
        <v>7</v>
      </c>
      <c r="AB14" s="247">
        <v>6.75</v>
      </c>
      <c r="AC14" s="247">
        <v>6.75</v>
      </c>
      <c r="AD14" s="248">
        <v>6.5</v>
      </c>
    </row>
    <row r="15" spans="1:58" x14ac:dyDescent="0.35">
      <c r="C15" s="154"/>
      <c r="D15" s="85"/>
      <c r="E15" s="109"/>
      <c r="F15" s="109"/>
      <c r="G15" s="109"/>
      <c r="H15" s="109"/>
      <c r="I15" s="109"/>
      <c r="J15" s="109"/>
      <c r="K15" s="109"/>
      <c r="L15" s="109"/>
      <c r="M15" s="109"/>
      <c r="N15" s="109"/>
      <c r="O15" s="109"/>
      <c r="P15" s="112"/>
      <c r="Q15" s="109"/>
      <c r="R15" s="85"/>
      <c r="S15" s="85"/>
      <c r="T15" s="85"/>
      <c r="U15" s="85"/>
      <c r="W15" s="110"/>
      <c r="X15" s="226"/>
    </row>
    <row r="16" spans="1:58" x14ac:dyDescent="0.35">
      <c r="A16" s="86">
        <v>5</v>
      </c>
      <c r="B16" s="87" t="s">
        <v>56</v>
      </c>
      <c r="C16" s="86"/>
      <c r="D16" s="85"/>
      <c r="E16" s="109"/>
      <c r="F16" s="109"/>
      <c r="G16" s="109"/>
      <c r="H16" s="109"/>
      <c r="I16" s="109"/>
      <c r="J16" s="109"/>
      <c r="K16" s="109"/>
      <c r="L16" s="109"/>
      <c r="M16" s="109"/>
      <c r="N16" s="109"/>
      <c r="O16" s="109"/>
      <c r="P16" s="109"/>
      <c r="Q16" s="109"/>
      <c r="R16" s="249"/>
      <c r="S16" s="249"/>
      <c r="T16" s="249"/>
      <c r="U16" s="249"/>
      <c r="W16" s="110"/>
      <c r="X16" s="226"/>
      <c r="Y16" s="67"/>
    </row>
    <row r="17" spans="4:26" x14ac:dyDescent="0.35">
      <c r="D17" s="85"/>
      <c r="E17" s="109"/>
      <c r="F17" s="109"/>
      <c r="G17" s="109"/>
      <c r="H17" s="109"/>
      <c r="I17" s="109"/>
      <c r="J17" s="109"/>
      <c r="K17" s="109"/>
      <c r="L17" s="109"/>
      <c r="M17" s="109"/>
      <c r="N17" s="109"/>
      <c r="O17" s="109"/>
      <c r="P17" s="109"/>
      <c r="Q17" s="109"/>
      <c r="R17" s="249"/>
      <c r="S17" s="249"/>
      <c r="T17" s="249"/>
      <c r="U17" s="249"/>
      <c r="W17" s="110"/>
      <c r="X17" s="137"/>
    </row>
    <row r="18" spans="4:26" x14ac:dyDescent="0.35">
      <c r="D18" s="85"/>
      <c r="E18" s="109"/>
      <c r="F18" s="109"/>
      <c r="G18" s="109"/>
      <c r="H18" s="109"/>
      <c r="I18" s="109"/>
      <c r="J18" s="109"/>
      <c r="K18" s="109"/>
      <c r="L18" s="109"/>
      <c r="M18" s="109"/>
      <c r="N18" s="109"/>
      <c r="O18" s="109"/>
      <c r="P18" s="85"/>
      <c r="Q18" s="109"/>
      <c r="R18" s="249"/>
      <c r="S18" s="249"/>
      <c r="T18" s="249"/>
      <c r="U18" s="249"/>
      <c r="W18" s="110"/>
    </row>
    <row r="19" spans="4:26" x14ac:dyDescent="0.35">
      <c r="D19" s="85"/>
      <c r="E19" s="109"/>
      <c r="F19" s="109"/>
      <c r="G19" s="109"/>
      <c r="H19" s="109"/>
      <c r="I19" s="109"/>
      <c r="J19" s="109"/>
      <c r="K19" s="109"/>
      <c r="L19" s="109"/>
      <c r="M19" s="85"/>
      <c r="N19" s="109"/>
      <c r="O19" s="109"/>
      <c r="P19" s="109"/>
      <c r="Q19" s="109"/>
      <c r="R19" s="249"/>
      <c r="S19" s="249"/>
      <c r="T19" s="249"/>
      <c r="U19" s="249"/>
      <c r="W19" s="110"/>
      <c r="Z19" s="140" t="s">
        <v>142</v>
      </c>
    </row>
    <row r="20" spans="4:26" x14ac:dyDescent="0.35">
      <c r="D20" s="85"/>
      <c r="E20" s="109"/>
      <c r="F20" s="109"/>
      <c r="G20" s="109"/>
      <c r="H20" s="109"/>
      <c r="I20" s="109"/>
      <c r="J20" s="109"/>
      <c r="K20" s="109"/>
      <c r="L20" s="109"/>
      <c r="M20" s="85"/>
      <c r="N20" s="109"/>
      <c r="O20" s="109"/>
      <c r="P20" s="112"/>
      <c r="Q20" s="109"/>
      <c r="R20" s="249"/>
      <c r="S20" s="249"/>
      <c r="T20" s="249"/>
      <c r="U20" s="249"/>
      <c r="W20" s="110"/>
    </row>
    <row r="21" spans="4:26" x14ac:dyDescent="0.35">
      <c r="D21" s="85"/>
      <c r="E21" s="109"/>
      <c r="F21" s="109"/>
      <c r="G21" s="109"/>
      <c r="H21" s="109"/>
      <c r="I21" s="109"/>
      <c r="J21" s="109"/>
      <c r="K21" s="109"/>
      <c r="L21" s="109"/>
      <c r="M21" s="85"/>
      <c r="N21" s="109"/>
      <c r="O21" s="109"/>
      <c r="P21" s="112"/>
      <c r="Q21" s="109"/>
      <c r="R21" s="249"/>
      <c r="S21" s="249"/>
      <c r="T21" s="249"/>
      <c r="U21" s="249"/>
      <c r="W21" s="110"/>
      <c r="X21" s="4" t="s">
        <v>143</v>
      </c>
    </row>
    <row r="22" spans="4:26" x14ac:dyDescent="0.35">
      <c r="D22" s="85"/>
      <c r="E22" s="109"/>
      <c r="F22" s="109"/>
      <c r="G22" s="109"/>
      <c r="H22" s="109"/>
      <c r="I22" s="109"/>
      <c r="J22" s="109"/>
      <c r="K22" s="109"/>
      <c r="L22" s="109"/>
      <c r="M22" s="85"/>
      <c r="N22" s="109"/>
      <c r="O22" s="109"/>
      <c r="P22" s="109"/>
      <c r="Q22" s="109"/>
      <c r="R22" s="249"/>
      <c r="S22" s="249"/>
      <c r="T22" s="249"/>
      <c r="U22" s="249"/>
      <c r="W22" s="110"/>
    </row>
    <row r="23" spans="4:26" x14ac:dyDescent="0.35">
      <c r="D23" s="85"/>
      <c r="E23" s="109"/>
      <c r="F23" s="109"/>
      <c r="G23" s="109"/>
      <c r="H23" s="109"/>
      <c r="I23" s="109"/>
      <c r="J23" s="109"/>
      <c r="K23" s="109"/>
      <c r="L23" s="109"/>
      <c r="M23" s="109"/>
      <c r="N23" s="109"/>
      <c r="O23" s="109"/>
      <c r="P23" s="109"/>
      <c r="Q23" s="109"/>
      <c r="R23" s="249"/>
      <c r="S23" s="249"/>
      <c r="T23" s="249"/>
      <c r="U23" s="249"/>
      <c r="W23" s="110"/>
    </row>
    <row r="24" spans="4:26" x14ac:dyDescent="0.35">
      <c r="D24" s="85"/>
      <c r="E24" s="109"/>
      <c r="F24" s="109"/>
      <c r="G24" s="109"/>
      <c r="H24" s="109"/>
      <c r="I24" s="109"/>
      <c r="J24" s="109"/>
      <c r="K24" s="109"/>
      <c r="L24" s="109"/>
      <c r="M24" s="109"/>
      <c r="N24" s="109"/>
      <c r="O24" s="109"/>
      <c r="P24" s="109"/>
      <c r="Q24" s="109"/>
      <c r="R24" s="249"/>
      <c r="S24" s="249"/>
      <c r="T24" s="249"/>
      <c r="U24" s="249"/>
      <c r="W24" s="110"/>
    </row>
    <row r="25" spans="4:26" x14ac:dyDescent="0.35">
      <c r="D25" s="85"/>
      <c r="E25" s="109"/>
      <c r="F25" s="109"/>
      <c r="G25" s="109"/>
      <c r="H25" s="109"/>
      <c r="I25" s="109"/>
      <c r="J25" s="109"/>
      <c r="K25" s="109"/>
      <c r="L25" s="109"/>
      <c r="M25" s="109"/>
      <c r="N25" s="109"/>
      <c r="O25" s="109"/>
      <c r="P25" s="109"/>
      <c r="Q25" s="109"/>
      <c r="R25" s="249"/>
      <c r="S25" s="249"/>
      <c r="T25" s="249"/>
      <c r="U25" s="249"/>
      <c r="W25" s="110"/>
    </row>
    <row r="26" spans="4:26" x14ac:dyDescent="0.35">
      <c r="D26" s="85"/>
      <c r="E26" s="85"/>
      <c r="F26" s="85"/>
      <c r="G26" s="85"/>
      <c r="H26" s="85"/>
      <c r="I26" s="85"/>
      <c r="J26" s="85"/>
      <c r="K26" s="85"/>
      <c r="L26" s="85"/>
      <c r="M26" s="85"/>
      <c r="N26" s="85"/>
      <c r="O26" s="85"/>
      <c r="P26" s="85"/>
      <c r="Q26" s="85"/>
      <c r="R26" s="249"/>
      <c r="S26" s="249"/>
      <c r="T26" s="249"/>
      <c r="U26" s="249"/>
      <c r="W26" s="250"/>
    </row>
    <row r="27" spans="4:26" x14ac:dyDescent="0.35">
      <c r="D27" s="85"/>
      <c r="E27" s="85"/>
      <c r="F27" s="85"/>
      <c r="G27" s="85"/>
      <c r="H27" s="85"/>
      <c r="I27" s="85"/>
      <c r="J27" s="85"/>
      <c r="K27" s="85"/>
      <c r="L27" s="85"/>
      <c r="M27" s="85"/>
      <c r="N27" s="85"/>
      <c r="O27" s="85"/>
      <c r="P27" s="85"/>
      <c r="Q27" s="85"/>
      <c r="R27" s="249"/>
      <c r="S27" s="249"/>
      <c r="T27" s="249"/>
      <c r="U27" s="249"/>
    </row>
    <row r="28" spans="4:26" x14ac:dyDescent="0.35">
      <c r="D28" s="85"/>
      <c r="E28" s="85"/>
      <c r="F28" s="85"/>
      <c r="G28" s="85"/>
      <c r="H28" s="85"/>
      <c r="I28" s="85"/>
      <c r="J28" s="85"/>
      <c r="K28" s="85"/>
      <c r="L28" s="85"/>
      <c r="M28" s="85"/>
      <c r="N28" s="85"/>
      <c r="O28" s="85"/>
      <c r="P28" s="85"/>
      <c r="Q28" s="85"/>
      <c r="R28" s="249"/>
      <c r="S28" s="249"/>
      <c r="T28" s="249"/>
      <c r="U28" s="249"/>
    </row>
    <row r="29" spans="4:26" x14ac:dyDescent="0.35">
      <c r="D29" s="85"/>
      <c r="E29" s="85"/>
      <c r="F29" s="85"/>
      <c r="G29" s="85"/>
      <c r="H29" s="85"/>
      <c r="I29" s="85"/>
      <c r="J29" s="85"/>
      <c r="K29" s="85"/>
      <c r="L29" s="85"/>
      <c r="M29" s="85"/>
      <c r="N29" s="85"/>
      <c r="O29" s="85"/>
      <c r="P29" s="85"/>
      <c r="Q29" s="85"/>
      <c r="R29" s="249"/>
      <c r="S29" s="249"/>
      <c r="T29" s="249"/>
      <c r="U29" s="249"/>
    </row>
    <row r="30" spans="4:26" x14ac:dyDescent="0.35">
      <c r="D30" s="85"/>
      <c r="E30" s="85"/>
      <c r="F30" s="85"/>
      <c r="G30" s="85"/>
      <c r="H30" s="85"/>
      <c r="I30" s="85"/>
      <c r="J30" s="85"/>
      <c r="K30" s="85"/>
      <c r="L30" s="85"/>
      <c r="M30" s="85"/>
      <c r="N30" s="85"/>
      <c r="O30" s="85"/>
      <c r="P30" s="85"/>
      <c r="Q30" s="85"/>
      <c r="R30" s="251"/>
      <c r="S30" s="251"/>
      <c r="T30" s="251"/>
      <c r="U30" s="251"/>
    </row>
    <row r="31" spans="4:26" x14ac:dyDescent="0.35">
      <c r="D31" s="85"/>
      <c r="E31" s="85"/>
      <c r="F31" s="85"/>
      <c r="G31" s="85"/>
      <c r="H31" s="85"/>
      <c r="I31" s="85"/>
      <c r="J31" s="85"/>
      <c r="K31" s="85"/>
      <c r="L31" s="85"/>
      <c r="M31" s="85"/>
      <c r="N31" s="85"/>
      <c r="O31" s="85"/>
      <c r="P31" s="85"/>
      <c r="Q31" s="85"/>
      <c r="R31" s="85"/>
      <c r="S31" s="85"/>
      <c r="T31" s="85"/>
      <c r="U31" s="85"/>
    </row>
    <row r="32" spans="4:26" x14ac:dyDescent="0.35">
      <c r="D32" s="85"/>
      <c r="E32" s="85"/>
      <c r="F32" s="85"/>
      <c r="G32" s="85"/>
      <c r="H32" s="85"/>
      <c r="I32" s="85"/>
      <c r="J32" s="85"/>
      <c r="K32" s="85"/>
      <c r="L32" s="85"/>
      <c r="M32" s="85"/>
      <c r="N32" s="85"/>
      <c r="O32" s="85"/>
      <c r="P32" s="85"/>
      <c r="Q32" s="85"/>
      <c r="R32" s="85"/>
      <c r="S32" s="85"/>
      <c r="T32" s="85"/>
      <c r="U32" s="85"/>
    </row>
    <row r="33" spans="1:88" x14ac:dyDescent="0.35">
      <c r="D33" s="85"/>
      <c r="E33" s="85"/>
      <c r="F33" s="85"/>
      <c r="G33" s="85"/>
      <c r="H33" s="85"/>
      <c r="I33" s="85"/>
      <c r="J33" s="85"/>
      <c r="K33" s="85"/>
      <c r="L33" s="85"/>
      <c r="M33" s="85"/>
      <c r="N33" s="85"/>
      <c r="O33" s="85"/>
      <c r="P33" s="85"/>
      <c r="Q33" s="85"/>
      <c r="R33" s="85"/>
      <c r="S33" s="85"/>
      <c r="T33" s="85"/>
      <c r="U33" s="85"/>
    </row>
    <row r="34" spans="1:88" x14ac:dyDescent="0.35">
      <c r="D34" s="85"/>
      <c r="E34" s="85"/>
      <c r="F34" s="85"/>
      <c r="G34" s="85"/>
      <c r="H34" s="85"/>
      <c r="I34" s="85"/>
      <c r="J34" s="85"/>
      <c r="K34" s="85"/>
      <c r="L34" s="85"/>
      <c r="M34" s="85"/>
      <c r="N34" s="85"/>
      <c r="O34" s="85"/>
      <c r="P34" s="85"/>
      <c r="Q34" s="85"/>
      <c r="R34" s="85"/>
      <c r="S34" s="85"/>
      <c r="T34" s="85"/>
      <c r="U34" s="85"/>
    </row>
    <row r="35" spans="1:88" x14ac:dyDescent="0.35">
      <c r="D35" s="85"/>
      <c r="E35" s="85"/>
      <c r="F35" s="85"/>
      <c r="G35" s="85"/>
      <c r="H35" s="85"/>
      <c r="I35" s="85"/>
      <c r="J35" s="85"/>
      <c r="K35" s="85"/>
      <c r="L35" s="85"/>
      <c r="M35" s="85"/>
      <c r="N35" s="85"/>
      <c r="O35" s="85"/>
      <c r="P35" s="85"/>
      <c r="Q35" s="85"/>
      <c r="R35" s="85"/>
      <c r="S35" s="85"/>
      <c r="T35" s="85"/>
      <c r="U35" s="85"/>
    </row>
    <row r="36" spans="1:88" x14ac:dyDescent="0.35">
      <c r="D36" s="85"/>
      <c r="E36" s="85"/>
      <c r="F36" s="85"/>
      <c r="G36" s="85"/>
      <c r="H36" s="85"/>
      <c r="I36" s="85"/>
      <c r="J36" s="85"/>
      <c r="K36" s="85"/>
      <c r="L36" s="85"/>
      <c r="M36" s="85"/>
      <c r="N36" s="85"/>
      <c r="O36" s="85"/>
      <c r="P36" s="85"/>
      <c r="Q36" s="85"/>
      <c r="R36" s="85"/>
      <c r="S36" s="85"/>
      <c r="T36" s="85"/>
      <c r="U36" s="85"/>
    </row>
    <row r="37" spans="1:88" x14ac:dyDescent="0.35">
      <c r="A37" s="86">
        <v>6</v>
      </c>
      <c r="B37" s="87" t="s">
        <v>58</v>
      </c>
      <c r="C37" s="86"/>
      <c r="D37" s="4651" t="s">
        <v>144</v>
      </c>
      <c r="E37" s="4652"/>
      <c r="F37" s="4652"/>
      <c r="G37" s="4652"/>
      <c r="H37" s="4652"/>
      <c r="I37" s="4652"/>
      <c r="J37" s="4652"/>
      <c r="K37" s="4652"/>
      <c r="L37" s="4652"/>
      <c r="M37" s="4652"/>
      <c r="N37" s="4652"/>
      <c r="O37" s="4652"/>
      <c r="P37" s="4652"/>
      <c r="Q37" s="4652"/>
      <c r="R37" s="4652"/>
      <c r="S37" s="4652"/>
      <c r="T37" s="4652"/>
      <c r="U37" s="4652"/>
      <c r="V37" s="4652"/>
      <c r="W37" s="4652"/>
      <c r="X37" s="4652"/>
      <c r="Y37" s="4652"/>
      <c r="Z37" s="4652"/>
      <c r="AA37" s="4652"/>
      <c r="AB37" s="4652"/>
      <c r="AC37" s="4652"/>
      <c r="AD37" s="4653"/>
    </row>
    <row r="38" spans="1:88" ht="12.75" customHeight="1" x14ac:dyDescent="0.35">
      <c r="A38" s="113">
        <v>7</v>
      </c>
      <c r="B38" s="114" t="s">
        <v>60</v>
      </c>
      <c r="C38" s="113"/>
      <c r="D38" s="4651" t="s">
        <v>145</v>
      </c>
      <c r="E38" s="4652"/>
      <c r="F38" s="4652"/>
      <c r="G38" s="4652"/>
      <c r="H38" s="4652"/>
      <c r="I38" s="4652"/>
      <c r="J38" s="4652"/>
      <c r="K38" s="4652"/>
      <c r="L38" s="4652"/>
      <c r="M38" s="4652"/>
      <c r="N38" s="4652"/>
      <c r="O38" s="4652"/>
      <c r="P38" s="4652"/>
      <c r="Q38" s="4652"/>
      <c r="R38" s="4652"/>
      <c r="S38" s="4652"/>
      <c r="T38" s="4652"/>
      <c r="U38" s="4652"/>
      <c r="V38" s="4652"/>
      <c r="W38" s="4652"/>
      <c r="X38" s="4652"/>
      <c r="Y38" s="4652"/>
      <c r="Z38" s="4652"/>
      <c r="AA38" s="4652"/>
      <c r="AB38" s="4652"/>
      <c r="AC38" s="4652"/>
      <c r="AD38" s="4653"/>
    </row>
    <row r="39" spans="1:88" ht="12.75" customHeight="1" x14ac:dyDescent="0.35">
      <c r="A39" s="86">
        <v>8</v>
      </c>
      <c r="B39" s="87" t="s">
        <v>62</v>
      </c>
      <c r="C39" s="86"/>
      <c r="D39" s="4651" t="s">
        <v>146</v>
      </c>
      <c r="E39" s="4652"/>
      <c r="F39" s="4652"/>
      <c r="G39" s="4652"/>
      <c r="H39" s="4652"/>
      <c r="I39" s="4652"/>
      <c r="J39" s="4652"/>
      <c r="K39" s="4652"/>
      <c r="L39" s="4652"/>
      <c r="M39" s="4652"/>
      <c r="N39" s="4652"/>
      <c r="O39" s="4652"/>
      <c r="P39" s="4652"/>
      <c r="Q39" s="4652"/>
      <c r="R39" s="4652"/>
      <c r="S39" s="4652"/>
      <c r="T39" s="4652"/>
      <c r="U39" s="4652"/>
      <c r="V39" s="4652"/>
      <c r="W39" s="4652"/>
      <c r="X39" s="4652"/>
      <c r="Y39" s="4652"/>
      <c r="Z39" s="4652"/>
      <c r="AA39" s="4652"/>
      <c r="AB39" s="4652"/>
      <c r="AC39" s="4652"/>
      <c r="AD39" s="4653"/>
    </row>
    <row r="40" spans="1:88" ht="46.75" customHeight="1" x14ac:dyDescent="0.35">
      <c r="A40" s="86">
        <v>9</v>
      </c>
      <c r="B40" s="87" t="s">
        <v>134</v>
      </c>
      <c r="C40" s="86"/>
      <c r="D40" s="4651" t="s">
        <v>147</v>
      </c>
      <c r="E40" s="4652"/>
      <c r="F40" s="4652"/>
      <c r="G40" s="4652"/>
      <c r="H40" s="4652"/>
      <c r="I40" s="4652"/>
      <c r="J40" s="4652"/>
      <c r="K40" s="4652"/>
      <c r="L40" s="4652"/>
      <c r="M40" s="4652"/>
      <c r="N40" s="4652"/>
      <c r="O40" s="4652"/>
      <c r="P40" s="4652"/>
      <c r="Q40" s="4652"/>
      <c r="R40" s="4652"/>
      <c r="S40" s="4652"/>
      <c r="T40" s="4652"/>
      <c r="U40" s="4652"/>
      <c r="V40" s="4652"/>
      <c r="W40" s="4652"/>
      <c r="X40" s="4652"/>
      <c r="Y40" s="4652"/>
      <c r="Z40" s="4652"/>
      <c r="AA40" s="4652"/>
      <c r="AB40" s="4652"/>
      <c r="AC40" s="4652"/>
      <c r="AD40" s="4653"/>
    </row>
    <row r="42" spans="1:88" ht="14.25" customHeight="1" x14ac:dyDescent="0.35">
      <c r="BM42" s="4" t="e">
        <f>+AVERAGE(#REF!)</f>
        <v>#REF!</v>
      </c>
    </row>
    <row r="43" spans="1:88" x14ac:dyDescent="0.35">
      <c r="B43" s="100"/>
      <c r="C43" s="101"/>
      <c r="E43" s="33"/>
      <c r="AG43" s="67"/>
    </row>
    <row r="44" spans="1:88" s="255" customFormat="1" ht="13.25" customHeight="1" x14ac:dyDescent="0.25">
      <c r="A44" s="252"/>
      <c r="B44" s="253"/>
      <c r="C44" s="253"/>
      <c r="D44" s="254">
        <v>1994</v>
      </c>
      <c r="E44" s="4670">
        <v>1995</v>
      </c>
      <c r="F44" s="4671"/>
      <c r="G44" s="4671"/>
      <c r="H44" s="4672"/>
      <c r="I44" s="4670">
        <v>1996</v>
      </c>
      <c r="J44" s="4671"/>
      <c r="K44" s="4671"/>
      <c r="L44" s="4672"/>
      <c r="M44" s="4670">
        <v>1997</v>
      </c>
      <c r="N44" s="4671"/>
      <c r="O44" s="4671"/>
      <c r="P44" s="4672"/>
      <c r="Q44" s="4670">
        <v>1998</v>
      </c>
      <c r="R44" s="4671"/>
      <c r="S44" s="4671"/>
      <c r="T44" s="4672"/>
      <c r="U44" s="4670">
        <v>1999</v>
      </c>
      <c r="V44" s="4671"/>
      <c r="W44" s="4671"/>
      <c r="X44" s="4672"/>
      <c r="Y44" s="4670">
        <v>2000</v>
      </c>
      <c r="Z44" s="4671"/>
      <c r="AA44" s="4671"/>
      <c r="AB44" s="4672"/>
      <c r="AC44" s="4670">
        <v>2001</v>
      </c>
      <c r="AD44" s="4671"/>
      <c r="AE44" s="4671"/>
      <c r="AF44" s="4672"/>
      <c r="AG44" s="4670">
        <v>2002</v>
      </c>
      <c r="AH44" s="4671"/>
      <c r="AI44" s="4671"/>
      <c r="AJ44" s="4672"/>
      <c r="AK44" s="4670">
        <v>2003</v>
      </c>
      <c r="AL44" s="4671"/>
      <c r="AM44" s="4671"/>
      <c r="AN44" s="4672"/>
      <c r="AO44" s="4670">
        <v>2004</v>
      </c>
      <c r="AP44" s="4671"/>
      <c r="AQ44" s="4671"/>
      <c r="AR44" s="4672"/>
      <c r="AS44" s="4670">
        <v>2005</v>
      </c>
      <c r="AT44" s="4671"/>
      <c r="AU44" s="4671"/>
      <c r="AV44" s="4672"/>
      <c r="AW44" s="4670">
        <v>2006</v>
      </c>
      <c r="AX44" s="4671"/>
      <c r="AY44" s="4671"/>
      <c r="AZ44" s="4672"/>
      <c r="BA44" s="4670">
        <v>2007</v>
      </c>
      <c r="BB44" s="4671"/>
      <c r="BC44" s="4671"/>
      <c r="BD44" s="4672"/>
      <c r="BE44" s="4670" t="s">
        <v>22</v>
      </c>
      <c r="BF44" s="4671"/>
      <c r="BG44" s="4671"/>
      <c r="BH44" s="4672"/>
      <c r="BI44" s="4670" t="s">
        <v>23</v>
      </c>
      <c r="BJ44" s="4671"/>
      <c r="BK44" s="4671"/>
      <c r="BL44" s="4672"/>
      <c r="BM44" s="4670">
        <v>2010</v>
      </c>
      <c r="BN44" s="4671"/>
      <c r="BO44" s="4671"/>
      <c r="BP44" s="4672"/>
      <c r="BQ44" s="4670" t="s">
        <v>25</v>
      </c>
      <c r="BR44" s="4671"/>
      <c r="BS44" s="4671"/>
      <c r="BT44" s="4672"/>
      <c r="BU44" s="4670">
        <v>2012</v>
      </c>
      <c r="BV44" s="4671"/>
      <c r="BW44" s="4671"/>
      <c r="BX44" s="4672"/>
      <c r="BY44" s="4670">
        <v>2013</v>
      </c>
      <c r="BZ44" s="4671"/>
      <c r="CA44" s="4671"/>
      <c r="CB44" s="4672"/>
      <c r="CC44" s="4670">
        <v>2014</v>
      </c>
      <c r="CD44" s="4671"/>
      <c r="CE44" s="4671"/>
      <c r="CF44" s="4672"/>
      <c r="CG44" s="4673">
        <v>2014</v>
      </c>
      <c r="CH44" s="4674"/>
      <c r="CI44" s="4674"/>
      <c r="CJ44" s="4675"/>
    </row>
    <row r="45" spans="1:88" s="255" customFormat="1" ht="14.25" customHeight="1" x14ac:dyDescent="0.25">
      <c r="A45" s="252"/>
      <c r="B45" s="253"/>
      <c r="C45" s="253"/>
      <c r="D45" s="256" t="s">
        <v>69</v>
      </c>
      <c r="E45" s="257" t="s">
        <v>66</v>
      </c>
      <c r="F45" s="256" t="s">
        <v>67</v>
      </c>
      <c r="G45" s="256" t="s">
        <v>68</v>
      </c>
      <c r="H45" s="258" t="s">
        <v>69</v>
      </c>
      <c r="I45" s="257" t="s">
        <v>66</v>
      </c>
      <c r="J45" s="256" t="s">
        <v>67</v>
      </c>
      <c r="K45" s="256" t="s">
        <v>68</v>
      </c>
      <c r="L45" s="258" t="s">
        <v>69</v>
      </c>
      <c r="M45" s="257" t="s">
        <v>66</v>
      </c>
      <c r="N45" s="256" t="s">
        <v>67</v>
      </c>
      <c r="O45" s="256" t="s">
        <v>68</v>
      </c>
      <c r="P45" s="258" t="s">
        <v>69</v>
      </c>
      <c r="Q45" s="257" t="s">
        <v>66</v>
      </c>
      <c r="R45" s="256" t="s">
        <v>67</v>
      </c>
      <c r="S45" s="256" t="s">
        <v>68</v>
      </c>
      <c r="T45" s="258" t="s">
        <v>69</v>
      </c>
      <c r="U45" s="257" t="s">
        <v>66</v>
      </c>
      <c r="V45" s="256" t="s">
        <v>67</v>
      </c>
      <c r="W45" s="256" t="s">
        <v>68</v>
      </c>
      <c r="X45" s="258" t="s">
        <v>69</v>
      </c>
      <c r="Y45" s="257" t="s">
        <v>66</v>
      </c>
      <c r="Z45" s="256" t="s">
        <v>67</v>
      </c>
      <c r="AA45" s="256" t="s">
        <v>68</v>
      </c>
      <c r="AB45" s="258" t="s">
        <v>69</v>
      </c>
      <c r="AC45" s="257" t="s">
        <v>66</v>
      </c>
      <c r="AD45" s="256" t="s">
        <v>67</v>
      </c>
      <c r="AE45" s="256" t="s">
        <v>68</v>
      </c>
      <c r="AF45" s="258" t="s">
        <v>69</v>
      </c>
      <c r="AG45" s="257" t="s">
        <v>66</v>
      </c>
      <c r="AH45" s="256" t="s">
        <v>67</v>
      </c>
      <c r="AI45" s="256" t="s">
        <v>68</v>
      </c>
      <c r="AJ45" s="258" t="s">
        <v>69</v>
      </c>
      <c r="AK45" s="257" t="s">
        <v>66</v>
      </c>
      <c r="AL45" s="256" t="s">
        <v>67</v>
      </c>
      <c r="AM45" s="256" t="s">
        <v>68</v>
      </c>
      <c r="AN45" s="258" t="s">
        <v>69</v>
      </c>
      <c r="AO45" s="257" t="s">
        <v>66</v>
      </c>
      <c r="AP45" s="256" t="s">
        <v>67</v>
      </c>
      <c r="AQ45" s="256" t="s">
        <v>68</v>
      </c>
      <c r="AR45" s="258" t="s">
        <v>69</v>
      </c>
      <c r="AS45" s="257" t="s">
        <v>66</v>
      </c>
      <c r="AT45" s="256" t="s">
        <v>67</v>
      </c>
      <c r="AU45" s="256" t="s">
        <v>68</v>
      </c>
      <c r="AV45" s="258" t="s">
        <v>69</v>
      </c>
      <c r="AW45" s="257" t="s">
        <v>66</v>
      </c>
      <c r="AX45" s="256" t="s">
        <v>67</v>
      </c>
      <c r="AY45" s="256" t="s">
        <v>68</v>
      </c>
      <c r="AZ45" s="258" t="s">
        <v>69</v>
      </c>
      <c r="BA45" s="257" t="s">
        <v>66</v>
      </c>
      <c r="BB45" s="256" t="s">
        <v>67</v>
      </c>
      <c r="BC45" s="256" t="s">
        <v>68</v>
      </c>
      <c r="BD45" s="258" t="s">
        <v>69</v>
      </c>
      <c r="BE45" s="257" t="s">
        <v>66</v>
      </c>
      <c r="BF45" s="256" t="s">
        <v>67</v>
      </c>
      <c r="BG45" s="256" t="s">
        <v>68</v>
      </c>
      <c r="BH45" s="258" t="s">
        <v>69</v>
      </c>
      <c r="BI45" s="257" t="s">
        <v>66</v>
      </c>
      <c r="BJ45" s="256" t="s">
        <v>67</v>
      </c>
      <c r="BK45" s="256" t="s">
        <v>68</v>
      </c>
      <c r="BL45" s="258" t="s">
        <v>69</v>
      </c>
      <c r="BM45" s="257" t="s">
        <v>66</v>
      </c>
      <c r="BN45" s="256" t="s">
        <v>67</v>
      </c>
      <c r="BO45" s="256" t="s">
        <v>68</v>
      </c>
      <c r="BP45" s="258" t="s">
        <v>69</v>
      </c>
      <c r="BQ45" s="257" t="s">
        <v>66</v>
      </c>
      <c r="BR45" s="256" t="s">
        <v>67</v>
      </c>
      <c r="BS45" s="256" t="s">
        <v>68</v>
      </c>
      <c r="BT45" s="258" t="s">
        <v>69</v>
      </c>
      <c r="BU45" s="257" t="s">
        <v>66</v>
      </c>
      <c r="BV45" s="256" t="s">
        <v>67</v>
      </c>
      <c r="BW45" s="256" t="s">
        <v>68</v>
      </c>
      <c r="BX45" s="258" t="s">
        <v>69</v>
      </c>
      <c r="BY45" s="257" t="s">
        <v>66</v>
      </c>
      <c r="BZ45" s="256" t="s">
        <v>67</v>
      </c>
      <c r="CA45" s="256" t="s">
        <v>68</v>
      </c>
      <c r="CB45" s="258" t="s">
        <v>69</v>
      </c>
      <c r="CC45" s="257" t="s">
        <v>66</v>
      </c>
      <c r="CD45" s="256" t="s">
        <v>67</v>
      </c>
      <c r="CE45" s="256" t="s">
        <v>68</v>
      </c>
      <c r="CF45" s="258" t="s">
        <v>69</v>
      </c>
      <c r="CG45" s="259" t="s">
        <v>66</v>
      </c>
      <c r="CH45" s="260" t="s">
        <v>67</v>
      </c>
      <c r="CI45" s="260" t="s">
        <v>68</v>
      </c>
      <c r="CJ45" s="261" t="s">
        <v>69</v>
      </c>
    </row>
    <row r="46" spans="1:88" s="266" customFormat="1" ht="12" x14ac:dyDescent="0.3">
      <c r="A46" s="262"/>
      <c r="B46" s="263"/>
      <c r="C46" s="263" t="s">
        <v>148</v>
      </c>
      <c r="D46" s="264">
        <f>+D47-'[3]Inflation '!$G$46</f>
        <v>6.4509850009276359</v>
      </c>
      <c r="E46" s="264">
        <f>+E47-'[3]Inflation '!$G$46</f>
        <v>7.2843183342609361</v>
      </c>
      <c r="F46" s="264">
        <f>+F47-'[3]Inflation '!$G$46</f>
        <v>7.7009850009276359</v>
      </c>
      <c r="G46" s="264">
        <f>+G47-'[3]Inflation '!$G$46</f>
        <v>8.7009850009276359</v>
      </c>
      <c r="H46" s="264">
        <f>+H47-'[3]Inflation '!$G$46</f>
        <v>8.7009850009276359</v>
      </c>
      <c r="I46" s="264">
        <f>+I47-'[3]Inflation '!$G$46</f>
        <v>8.7009850009276359</v>
      </c>
      <c r="J46" s="264">
        <f>+J47-'[3]Inflation '!$G$46</f>
        <v>10.367651667594336</v>
      </c>
      <c r="K46" s="264">
        <f>+K47-'[3]Inflation '!$G$46</f>
        <v>9.7009850009276359</v>
      </c>
      <c r="L46" s="264">
        <f>+L47-'[3]Inflation '!$G$46</f>
        <v>10.117651667594336</v>
      </c>
      <c r="M46" s="264">
        <f>+M47-'[3]Inflation '!$G$46</f>
        <v>10.450985000927636</v>
      </c>
      <c r="N46" s="264">
        <f>+N47-'[3]Inflation '!$G$46</f>
        <v>10.450985000927636</v>
      </c>
      <c r="O46" s="264">
        <f>+O47-'[3]Inflation '!$G$46</f>
        <v>10.450985000927636</v>
      </c>
      <c r="P46" s="264">
        <f>+P47-'[3]Inflation '!$G$46</f>
        <v>9.4509850009276359</v>
      </c>
      <c r="Q46" s="264">
        <f>+Q47-'[3]Inflation '!$G$46</f>
        <v>9.1176516675943358</v>
      </c>
      <c r="R46" s="264">
        <f>+R47-'[3]Inflation '!$G$46</f>
        <v>9.7843183342609361</v>
      </c>
      <c r="S46" s="264">
        <f>+S47-'[3]Inflation '!$G$46</f>
        <v>15.200985000927636</v>
      </c>
      <c r="T46" s="264">
        <f>+T47-'[3]Inflation '!$G$46</f>
        <v>13.867651667594336</v>
      </c>
      <c r="U46" s="264">
        <f>+U47-'[3]Inflation '!$G$46</f>
        <v>11.200985000927636</v>
      </c>
      <c r="V46" s="264">
        <f>+V47-'[3]Inflation '!$G$46</f>
        <v>8.8676516675943358</v>
      </c>
      <c r="W46" s="264">
        <f>+W47-'[3]Inflation '!$G$46</f>
        <v>7.0343183342609361</v>
      </c>
      <c r="X46" s="264">
        <f>+X47-'[3]Inflation '!$G$46</f>
        <v>5.7009850009276359</v>
      </c>
      <c r="Y46" s="264">
        <f>+Y47-'[3]Inflation '!$G$46</f>
        <v>4.7009850009276359</v>
      </c>
      <c r="Z46" s="264">
        <f>+Z47-'[3]Inflation '!$G$46</f>
        <v>4.7009850009276359</v>
      </c>
      <c r="AA46" s="264">
        <f>+AA47-'[3]Inflation '!$G$46</f>
        <v>4.7009850009276359</v>
      </c>
      <c r="AB46" s="264">
        <f>+AB47-'[3]Inflation '!$G$46</f>
        <v>4.7009850009276359</v>
      </c>
      <c r="AC46" s="264">
        <f>+AC47-'[3]Inflation '!$G$46</f>
        <v>4.7009850009276359</v>
      </c>
      <c r="AD46" s="264">
        <f>+AD47-'[3]Inflation '!$G$46</f>
        <v>4.4509850009276359</v>
      </c>
      <c r="AE46" s="264">
        <f>+AE47-'[3]Inflation '!$G$46</f>
        <v>3.5343183342609361</v>
      </c>
      <c r="AF46" s="264">
        <f>+AF47-'[3]Inflation '!$G$46</f>
        <v>3.2009850009276359</v>
      </c>
      <c r="AG46" s="264">
        <f>+AG47-'[3]Inflation '!$G$46</f>
        <v>4.5343183342609361</v>
      </c>
      <c r="AH46" s="264">
        <f>+AH47-'[3]Inflation '!$G$46</f>
        <v>5.5343183342609361</v>
      </c>
      <c r="AI46" s="264">
        <f>+AI47-'[3]Inflation '!$G$46</f>
        <v>6.5343183342609361</v>
      </c>
      <c r="AJ46" s="264">
        <f>+AJ47-'[3]Inflation '!$G$46</f>
        <v>7.2009850009276359</v>
      </c>
      <c r="AK46" s="264">
        <f>+AK47-'[3]Inflation '!$G$46</f>
        <v>7.2009850009276359</v>
      </c>
      <c r="AL46" s="264">
        <f>+AL47-'[3]Inflation '!$G$46</f>
        <v>6.7009850009276359</v>
      </c>
      <c r="AM46" s="264">
        <f>+AM47-'[3]Inflation '!$G$46</f>
        <v>4.7009850009276359</v>
      </c>
      <c r="AN46" s="264">
        <f>+AN47-'[3]Inflation '!$G$46</f>
        <v>2.0343183342609361</v>
      </c>
      <c r="AO46" s="264">
        <f>+AO47-'[3]Inflation '!$G$46</f>
        <v>1.7009850009276359</v>
      </c>
      <c r="AP46" s="264">
        <f>+AP47-'[3]Inflation '!$G$46</f>
        <v>1.7009850009276359</v>
      </c>
      <c r="AQ46" s="264">
        <f>+AQ47-'[3]Inflation '!$G$46</f>
        <v>1.3676516675943358</v>
      </c>
      <c r="AR46" s="264">
        <f>+AR47-'[3]Inflation '!$G$46</f>
        <v>1.2009850009276359</v>
      </c>
      <c r="AS46" s="264">
        <f>+AS47-'[3]Inflation '!$G$46</f>
        <v>1.2009850009276359</v>
      </c>
      <c r="AT46" s="264">
        <f>+AT47-'[3]Inflation '!$G$46</f>
        <v>0.70098500092763594</v>
      </c>
      <c r="AU46" s="264">
        <f>+AU47-'[3]Inflation '!$G$46</f>
        <v>0.70098500092763594</v>
      </c>
      <c r="AV46" s="264">
        <f>+AV47-'[3]Inflation '!$G$46</f>
        <v>0.70098500092763594</v>
      </c>
      <c r="AW46" s="264">
        <f>+AW47-'[3]Inflation '!$G$46</f>
        <v>0.70098500092763594</v>
      </c>
      <c r="AX46" s="264">
        <f>+AX47-'[3]Inflation '!$G$46</f>
        <v>0.86765166759433576</v>
      </c>
      <c r="AY46" s="264">
        <f>+AY47-'[3]Inflation '!$G$46</f>
        <v>1.5343183342609361</v>
      </c>
      <c r="AZ46" s="264">
        <f>+AZ47-'[3]Inflation '!$G$46</f>
        <v>2.3676516675943358</v>
      </c>
      <c r="BA46" s="264">
        <f>+BA47-'[3]Inflation '!$G$46</f>
        <v>2.7009850009276359</v>
      </c>
      <c r="BB46" s="264">
        <f>+BB47-'[3]Inflation '!$G$46</f>
        <v>2.8676516675943358</v>
      </c>
      <c r="BC46" s="264">
        <f>+BC47-'[3]Inflation '!$G$46</f>
        <v>3.5343183342609361</v>
      </c>
      <c r="BD46" s="264">
        <f>+BD47-'[3]Inflation '!$G$46</f>
        <v>4.3676516675943358</v>
      </c>
      <c r="BE46" s="264">
        <f>+BE47-'[3]Inflation '!$G$46</f>
        <v>4.7009850009276359</v>
      </c>
      <c r="BF46" s="264">
        <f>+BF47-'[3]Inflation '!$G$46</f>
        <v>5.3676516675943358</v>
      </c>
      <c r="BG46" s="264">
        <f>+BG47-'[3]Inflation '!$G$46</f>
        <v>5.7009850009276359</v>
      </c>
      <c r="BH46" s="264">
        <f>+BH47-'[3]Inflation '!$G$46</f>
        <v>5.5343183342609361</v>
      </c>
      <c r="BI46" s="264">
        <f>+BI47-'[3]Inflation '!$G$46</f>
        <v>4.2009850009276359</v>
      </c>
      <c r="BJ46" s="264">
        <f>+BJ47-'[3]Inflation '!$G$46</f>
        <v>1.8676516675943358</v>
      </c>
      <c r="BK46" s="264">
        <f>+BK47-'[3]Inflation '!$G$46</f>
        <v>0.86765166759433576</v>
      </c>
      <c r="BL46" s="264">
        <f>+BL47-'[3]Inflation '!$G$46</f>
        <v>0.70098500092763594</v>
      </c>
      <c r="BM46" s="264">
        <f>+BM47-'[3]Inflation '!$G$46</f>
        <v>0.53431833426093611</v>
      </c>
      <c r="BN46" s="264">
        <f>+BN47-'[3]Inflation '!$G$46</f>
        <v>0.20098500092763594</v>
      </c>
      <c r="BO46" s="264">
        <f>+BO47-'[3]Inflation '!$G$46</f>
        <v>3.431833426096631E-2</v>
      </c>
      <c r="BP46" s="264">
        <f>+BP47-'[3]Inflation '!$G$46</f>
        <v>-0.63234833240569444</v>
      </c>
      <c r="BQ46" s="264">
        <f>+BQ47-'[3]Inflation '!$G$46</f>
        <v>-0.79901499907236406</v>
      </c>
      <c r="BR46" s="264">
        <f>+BR47-'[3]Inflation '!$G$46</f>
        <v>-0.79901499907236406</v>
      </c>
      <c r="BS46" s="264">
        <f>+BS47-'[3]Inflation '!$G$46</f>
        <v>-0.79901499907236406</v>
      </c>
      <c r="BT46" s="264">
        <f>+BT47-'[3]Inflation '!$G$46</f>
        <v>-0.79901499907236406</v>
      </c>
      <c r="BU46" s="264">
        <f>+BU47-'[3]Inflation '!$G$46</f>
        <v>-0.79901499907236406</v>
      </c>
      <c r="BV46" s="264">
        <f>+BV47-'[3]Inflation '!$G$46</f>
        <v>-0.79901499907236406</v>
      </c>
      <c r="BW46" s="264">
        <f>+BW47-'[3]Inflation '!$G$46</f>
        <v>-1.2990149990723641</v>
      </c>
      <c r="BX46" s="264">
        <f>+BX47-'[3]Inflation '!$G$46</f>
        <v>-1.2990149990723641</v>
      </c>
      <c r="BY46" s="264">
        <f>+BY47-'[3]Inflation '!$G$46</f>
        <v>-1.2990149990723641</v>
      </c>
      <c r="BZ46" s="264">
        <f>+BZ47-'[3]Inflation '!$G$46</f>
        <v>-1.2990149990723641</v>
      </c>
      <c r="CA46" s="264">
        <f>+CA47-'[3]Inflation '!$G$46</f>
        <v>-1.2990149990723641</v>
      </c>
      <c r="CB46" s="264">
        <f>+CB47-'[3]Inflation '!$G$46</f>
        <v>-1.2990149990723641</v>
      </c>
      <c r="CC46" s="264">
        <f>+CC47-'[3]Inflation '!$G$46</f>
        <v>-0.79901499907236406</v>
      </c>
      <c r="CD46" s="264">
        <f>+CD47-'[3]Inflation '!$G$46</f>
        <v>-0.79901499907236406</v>
      </c>
      <c r="CE46" s="264">
        <f>+CE47-'[3]Inflation '!$G$46</f>
        <v>-0.54901499907236406</v>
      </c>
      <c r="CF46" s="264">
        <f>+CF47-'[3]Inflation '!$G$46</f>
        <v>-0.54901499907236406</v>
      </c>
      <c r="CG46" s="265"/>
      <c r="CH46" s="265"/>
      <c r="CI46" s="265"/>
      <c r="CJ46" s="265"/>
    </row>
    <row r="47" spans="1:88" s="266" customFormat="1" x14ac:dyDescent="0.35">
      <c r="A47" s="262"/>
      <c r="B47" s="263"/>
      <c r="C47" s="263" t="s">
        <v>149</v>
      </c>
      <c r="D47" s="267">
        <v>16.25</v>
      </c>
      <c r="E47" s="267">
        <v>17.0833333333333</v>
      </c>
      <c r="F47" s="267">
        <v>17.5</v>
      </c>
      <c r="G47" s="267">
        <v>18.5</v>
      </c>
      <c r="H47" s="267">
        <v>18.5</v>
      </c>
      <c r="I47" s="267">
        <v>18.5</v>
      </c>
      <c r="J47" s="267">
        <v>20.1666666666667</v>
      </c>
      <c r="K47" s="267">
        <v>19.5</v>
      </c>
      <c r="L47" s="267">
        <v>19.9166666666667</v>
      </c>
      <c r="M47" s="267">
        <v>20.25</v>
      </c>
      <c r="N47" s="267">
        <v>20.25</v>
      </c>
      <c r="O47" s="267">
        <v>20.25</v>
      </c>
      <c r="P47" s="267">
        <v>19.25</v>
      </c>
      <c r="Q47" s="267">
        <v>18.9166666666667</v>
      </c>
      <c r="R47" s="267">
        <v>19.5833333333333</v>
      </c>
      <c r="S47" s="267">
        <v>25</v>
      </c>
      <c r="T47" s="267">
        <v>23.6666666666667</v>
      </c>
      <c r="U47" s="267">
        <v>21</v>
      </c>
      <c r="V47" s="267">
        <v>18.6666666666667</v>
      </c>
      <c r="W47" s="267">
        <v>16.8333333333333</v>
      </c>
      <c r="X47" s="267">
        <v>15.5</v>
      </c>
      <c r="Y47" s="267">
        <v>14.5</v>
      </c>
      <c r="Z47" s="267">
        <v>14.5</v>
      </c>
      <c r="AA47" s="267">
        <v>14.5</v>
      </c>
      <c r="AB47" s="267">
        <v>14.5</v>
      </c>
      <c r="AC47" s="267">
        <v>14.5</v>
      </c>
      <c r="AD47" s="267">
        <v>14.25</v>
      </c>
      <c r="AE47" s="267">
        <v>13.3333333333333</v>
      </c>
      <c r="AF47" s="267">
        <v>13</v>
      </c>
      <c r="AG47" s="267">
        <v>14.3333333333333</v>
      </c>
      <c r="AH47" s="267">
        <v>15.3333333333333</v>
      </c>
      <c r="AI47" s="267">
        <v>16.3333333333333</v>
      </c>
      <c r="AJ47" s="267">
        <v>17</v>
      </c>
      <c r="AK47" s="267">
        <v>17</v>
      </c>
      <c r="AL47" s="267">
        <v>16.5</v>
      </c>
      <c r="AM47" s="267">
        <v>14.5</v>
      </c>
      <c r="AN47" s="267">
        <v>11.8333333333333</v>
      </c>
      <c r="AO47" s="267">
        <v>11.5</v>
      </c>
      <c r="AP47" s="267">
        <v>11.5</v>
      </c>
      <c r="AQ47" s="267">
        <v>11.1666666666667</v>
      </c>
      <c r="AR47" s="267">
        <v>11</v>
      </c>
      <c r="AS47" s="267">
        <v>11</v>
      </c>
      <c r="AT47" s="267">
        <v>10.5</v>
      </c>
      <c r="AU47" s="267">
        <v>10.5</v>
      </c>
      <c r="AV47" s="267">
        <v>10.5</v>
      </c>
      <c r="AW47" s="267">
        <v>10.5</v>
      </c>
      <c r="AX47" s="267">
        <v>10.6666666666667</v>
      </c>
      <c r="AY47" s="267">
        <v>11.3333333333333</v>
      </c>
      <c r="AZ47" s="267">
        <v>12.1666666666667</v>
      </c>
      <c r="BA47" s="267">
        <v>12.5</v>
      </c>
      <c r="BB47" s="267">
        <v>12.6666666666667</v>
      </c>
      <c r="BC47" s="267">
        <v>13.3333333333333</v>
      </c>
      <c r="BD47" s="267">
        <v>14.1666666666667</v>
      </c>
      <c r="BE47" s="267">
        <v>14.5</v>
      </c>
      <c r="BF47" s="267">
        <v>15.1666666666667</v>
      </c>
      <c r="BG47" s="267">
        <v>15.5</v>
      </c>
      <c r="BH47" s="267">
        <v>15.3333333333333</v>
      </c>
      <c r="BI47" s="267">
        <v>14</v>
      </c>
      <c r="BJ47" s="267">
        <v>11.6666666666667</v>
      </c>
      <c r="BK47" s="267">
        <v>10.6666666666667</v>
      </c>
      <c r="BL47" s="267">
        <v>10.5</v>
      </c>
      <c r="BM47" s="267">
        <v>10.3333333333333</v>
      </c>
      <c r="BN47" s="267">
        <v>10</v>
      </c>
      <c r="BO47" s="267">
        <v>9.8333333333333304</v>
      </c>
      <c r="BP47" s="267">
        <v>9.1666666666666696</v>
      </c>
      <c r="BQ47" s="267">
        <v>9</v>
      </c>
      <c r="BR47" s="267">
        <v>9</v>
      </c>
      <c r="BS47" s="267">
        <v>9</v>
      </c>
      <c r="BT47" s="267">
        <v>9</v>
      </c>
      <c r="BU47" s="267">
        <v>9</v>
      </c>
      <c r="BV47" s="267">
        <v>9</v>
      </c>
      <c r="BW47" s="267">
        <v>8.5</v>
      </c>
      <c r="BX47" s="267">
        <v>8.5</v>
      </c>
      <c r="BY47" s="267">
        <v>8.5</v>
      </c>
      <c r="BZ47" s="267">
        <v>8.5</v>
      </c>
      <c r="CA47" s="267">
        <v>8.5</v>
      </c>
      <c r="CB47" s="267">
        <v>8.5</v>
      </c>
      <c r="CC47" s="267">
        <v>9</v>
      </c>
      <c r="CD47" s="267">
        <v>9</v>
      </c>
      <c r="CE47" s="267">
        <v>9.25</v>
      </c>
      <c r="CF47" s="267">
        <v>9.25</v>
      </c>
      <c r="CG47" s="268"/>
      <c r="CH47" s="268"/>
      <c r="CI47" s="268"/>
      <c r="CJ47" s="268"/>
    </row>
    <row r="48" spans="1:88" s="266" customFormat="1" ht="12" x14ac:dyDescent="0.3">
      <c r="A48" s="262"/>
      <c r="B48" s="263" t="s">
        <v>150</v>
      </c>
      <c r="C48" s="263"/>
      <c r="D48" s="264"/>
      <c r="E48" s="269">
        <f>+AVERAGE(E46:H46)</f>
        <v>8.096818334260961</v>
      </c>
      <c r="F48" s="270"/>
      <c r="G48" s="270"/>
      <c r="H48" s="271"/>
      <c r="I48" s="269">
        <f>+AVERAGE(I46:L46)</f>
        <v>9.7218183342609858</v>
      </c>
      <c r="J48" s="270"/>
      <c r="K48" s="270"/>
      <c r="L48" s="271"/>
      <c r="M48" s="269">
        <f>+AVERAGE(M46:P46)</f>
        <v>10.200985000927636</v>
      </c>
      <c r="N48" s="270"/>
      <c r="O48" s="270"/>
      <c r="P48" s="271"/>
      <c r="Q48" s="269">
        <f>+AVERAGE(Q46:T46)</f>
        <v>11.992651667594311</v>
      </c>
      <c r="R48" s="270"/>
      <c r="S48" s="270"/>
      <c r="T48" s="271"/>
      <c r="U48" s="269">
        <f>+AVERAGE(U46:X46)</f>
        <v>8.2009850009276359</v>
      </c>
      <c r="V48" s="270"/>
      <c r="W48" s="270"/>
      <c r="X48" s="271"/>
      <c r="Y48" s="269">
        <f>+AVERAGE(Y46:AB46)</f>
        <v>4.7009850009276359</v>
      </c>
      <c r="Z48" s="270"/>
      <c r="AA48" s="270"/>
      <c r="AB48" s="271"/>
      <c r="AC48" s="269">
        <f>+AVERAGE(AC46:AF46)</f>
        <v>3.971818334260961</v>
      </c>
      <c r="AD48" s="270"/>
      <c r="AE48" s="270"/>
      <c r="AF48" s="271"/>
      <c r="AG48" s="269">
        <f>+AVERAGE(AG46:AJ46)</f>
        <v>5.9509850009276111</v>
      </c>
      <c r="AH48" s="270"/>
      <c r="AI48" s="270"/>
      <c r="AJ48" s="271"/>
      <c r="AK48" s="269">
        <f>+AVERAGE(AK46:AN46)</f>
        <v>5.159318334260961</v>
      </c>
      <c r="AL48" s="270"/>
      <c r="AM48" s="270"/>
      <c r="AN48" s="271"/>
      <c r="AO48" s="269">
        <f>+AVERAGE(AO46:AR46)</f>
        <v>1.4926516675943109</v>
      </c>
      <c r="AP48" s="270"/>
      <c r="AQ48" s="270"/>
      <c r="AR48" s="271"/>
      <c r="AS48" s="269">
        <f>+AVERAGE(AS46:AV46)</f>
        <v>0.82598500092763594</v>
      </c>
      <c r="AT48" s="270"/>
      <c r="AU48" s="270"/>
      <c r="AV48" s="271"/>
      <c r="AW48" s="269">
        <f>+AVERAGE(AW46:AZ46)</f>
        <v>1.3676516675943109</v>
      </c>
      <c r="AX48" s="270"/>
      <c r="AY48" s="270"/>
      <c r="AZ48" s="271"/>
      <c r="BA48" s="269">
        <f>+AVERAGE(BA46:BD46)</f>
        <v>3.3676516675943109</v>
      </c>
      <c r="BB48" s="270"/>
      <c r="BC48" s="270"/>
      <c r="BD48" s="271"/>
      <c r="BE48" s="269">
        <f>+AVERAGE(BE46:BH46)</f>
        <v>5.3259850009276359</v>
      </c>
      <c r="BF48" s="270"/>
      <c r="BG48" s="270"/>
      <c r="BH48" s="271"/>
      <c r="BI48" s="269">
        <f>+AVERAGE(BI46:BL46)</f>
        <v>1.9093183342609858</v>
      </c>
      <c r="BJ48" s="270"/>
      <c r="BK48" s="270"/>
      <c r="BL48" s="271"/>
      <c r="BM48" s="269">
        <f>+AVERAGE(BM46:BP46)</f>
        <v>3.4318334260960981E-2</v>
      </c>
      <c r="BN48" s="270"/>
      <c r="BO48" s="270"/>
      <c r="BP48" s="271"/>
      <c r="BQ48" s="269">
        <f>+AVERAGE(BQ46:BT46)</f>
        <v>-0.79901499907236406</v>
      </c>
      <c r="BR48" s="270"/>
      <c r="BS48" s="270"/>
      <c r="BT48" s="271"/>
      <c r="BU48" s="269">
        <f>+AVERAGE(BU46:BX46)</f>
        <v>-1.0490149990723641</v>
      </c>
      <c r="BV48" s="270"/>
      <c r="BW48" s="270"/>
      <c r="BX48" s="271"/>
      <c r="BY48" s="269">
        <f>+AVERAGE(BY46:CG46)</f>
        <v>-0.98651499907236406</v>
      </c>
      <c r="BZ48" s="270"/>
      <c r="CA48" s="270"/>
      <c r="CB48" s="271"/>
      <c r="CC48" s="269"/>
      <c r="CD48" s="270"/>
      <c r="CE48" s="270"/>
      <c r="CF48" s="272"/>
      <c r="CG48" s="273"/>
      <c r="CH48" s="274"/>
      <c r="CI48" s="274"/>
      <c r="CJ48" s="275"/>
    </row>
    <row r="49" spans="1:88" s="266" customFormat="1" ht="12" x14ac:dyDescent="0.3">
      <c r="A49" s="262"/>
      <c r="B49" s="263" t="s">
        <v>151</v>
      </c>
      <c r="C49" s="263"/>
      <c r="D49" s="276"/>
      <c r="E49" s="277">
        <f>AVERAGE(E47:H47)</f>
        <v>17.895833333333325</v>
      </c>
      <c r="F49" s="278"/>
      <c r="G49" s="278"/>
      <c r="H49" s="279"/>
      <c r="I49" s="277">
        <f>AVERAGE(I47:L47)</f>
        <v>19.52083333333335</v>
      </c>
      <c r="J49" s="278"/>
      <c r="K49" s="278"/>
      <c r="L49" s="279"/>
      <c r="M49" s="277">
        <f>AVERAGE(M47:P47)</f>
        <v>20</v>
      </c>
      <c r="N49" s="278"/>
      <c r="O49" s="278"/>
      <c r="P49" s="279"/>
      <c r="Q49" s="277">
        <f>AVERAGE(Q47:T47)</f>
        <v>21.791666666666675</v>
      </c>
      <c r="R49" s="278"/>
      <c r="S49" s="278"/>
      <c r="T49" s="279"/>
      <c r="U49" s="277">
        <f>AVERAGE(U47:X47)</f>
        <v>18</v>
      </c>
      <c r="V49" s="278"/>
      <c r="W49" s="278"/>
      <c r="X49" s="279"/>
      <c r="Y49" s="277">
        <f>AVERAGE(Y47:AB47)</f>
        <v>14.5</v>
      </c>
      <c r="Z49" s="278"/>
      <c r="AA49" s="278"/>
      <c r="AB49" s="279"/>
      <c r="AC49" s="277">
        <f>AVERAGE(AC47:AF47)</f>
        <v>13.770833333333325</v>
      </c>
      <c r="AD49" s="278"/>
      <c r="AE49" s="278"/>
      <c r="AF49" s="279"/>
      <c r="AG49" s="277">
        <f>AVERAGE(AG47:AJ47)</f>
        <v>15.749999999999975</v>
      </c>
      <c r="AH49" s="278"/>
      <c r="AI49" s="278"/>
      <c r="AJ49" s="279"/>
      <c r="AK49" s="277">
        <f>AVERAGE(AK47:AN47)</f>
        <v>14.958333333333325</v>
      </c>
      <c r="AL49" s="278"/>
      <c r="AM49" s="278"/>
      <c r="AN49" s="279"/>
      <c r="AO49" s="277">
        <f>AVERAGE(AO47:AR47)</f>
        <v>11.291666666666675</v>
      </c>
      <c r="AP49" s="278"/>
      <c r="AQ49" s="278"/>
      <c r="AR49" s="279"/>
      <c r="AS49" s="277">
        <f>AVERAGE(AS47:AV47)</f>
        <v>10.625</v>
      </c>
      <c r="AT49" s="278"/>
      <c r="AU49" s="278"/>
      <c r="AV49" s="279"/>
      <c r="AW49" s="277">
        <f>AVERAGE(AW47:AZ47)</f>
        <v>11.166666666666675</v>
      </c>
      <c r="AX49" s="278"/>
      <c r="AY49" s="278"/>
      <c r="AZ49" s="279"/>
      <c r="BA49" s="277">
        <f>AVERAGE(BA47:BD47)</f>
        <v>13.166666666666675</v>
      </c>
      <c r="BB49" s="278"/>
      <c r="BC49" s="278"/>
      <c r="BD49" s="279"/>
      <c r="BE49" s="277">
        <f>AVERAGE(BE47:BH47)</f>
        <v>15.125</v>
      </c>
      <c r="BF49" s="278"/>
      <c r="BG49" s="278"/>
      <c r="BH49" s="279"/>
      <c r="BI49" s="277">
        <f>AVERAGE(BI47:BL47)</f>
        <v>11.70833333333335</v>
      </c>
      <c r="BJ49" s="278"/>
      <c r="BK49" s="278"/>
      <c r="BL49" s="279"/>
      <c r="BM49" s="277">
        <f>AVERAGE(BM47:BP47)</f>
        <v>9.833333333333325</v>
      </c>
      <c r="BN49" s="278"/>
      <c r="BO49" s="278"/>
      <c r="BP49" s="279"/>
      <c r="BQ49" s="277">
        <f>AVERAGE(BQ47:BT47)</f>
        <v>9</v>
      </c>
      <c r="BR49" s="278"/>
      <c r="BS49" s="278"/>
      <c r="BT49" s="279"/>
      <c r="BU49" s="277">
        <f>AVERAGE(BU47:BX47)</f>
        <v>8.75</v>
      </c>
      <c r="BV49" s="278"/>
      <c r="BW49" s="278"/>
      <c r="BX49" s="279"/>
      <c r="BY49" s="277">
        <f>AVERAGE(BY47:CG47)</f>
        <v>8.8125</v>
      </c>
      <c r="BZ49" s="278"/>
      <c r="CA49" s="278"/>
      <c r="CB49" s="279"/>
      <c r="CC49" s="277"/>
      <c r="CD49" s="278"/>
      <c r="CE49" s="278"/>
      <c r="CF49" s="280"/>
      <c r="CG49" s="281"/>
      <c r="CH49" s="282"/>
      <c r="CI49" s="282"/>
      <c r="CJ49" s="283"/>
    </row>
    <row r="50" spans="1:88" hidden="1" x14ac:dyDescent="0.35">
      <c r="E50" s="67"/>
      <c r="AJ50" s="67"/>
    </row>
    <row r="51" spans="1:88" hidden="1" x14ac:dyDescent="0.35">
      <c r="C51" s="84" t="s">
        <v>152</v>
      </c>
      <c r="D51" s="67">
        <f>+D52-D53</f>
        <v>6.4509850009276359</v>
      </c>
      <c r="E51" s="110">
        <f>+E52-E53</f>
        <v>7.1239891080250146</v>
      </c>
      <c r="F51" s="110">
        <f t="shared" ref="F51:BQ51" si="0">+F52-F53</f>
        <v>6.8478391161142795</v>
      </c>
      <c r="G51" s="110">
        <f t="shared" si="0"/>
        <v>10.773450474306951</v>
      </c>
      <c r="H51" s="110">
        <f t="shared" si="0"/>
        <v>11.938263767023022</v>
      </c>
      <c r="I51" s="110">
        <f t="shared" si="0"/>
        <v>11.991432032616251</v>
      </c>
      <c r="J51" s="110">
        <f t="shared" si="0"/>
        <v>14.086189240980008</v>
      </c>
      <c r="K51" s="110">
        <f t="shared" si="0"/>
        <v>11.870877161233466</v>
      </c>
      <c r="L51" s="110">
        <f t="shared" si="0"/>
        <v>10.771544737102118</v>
      </c>
      <c r="M51" s="110">
        <f t="shared" si="0"/>
        <v>10.63922593732801</v>
      </c>
      <c r="N51" s="110">
        <f t="shared" si="0"/>
        <v>10.871091374793394</v>
      </c>
      <c r="O51" s="110">
        <f t="shared" si="0"/>
        <v>11.633676573669126</v>
      </c>
      <c r="P51" s="110">
        <f t="shared" si="0"/>
        <v>12.368337988683052</v>
      </c>
      <c r="Q51" s="110">
        <f t="shared" si="0"/>
        <v>13.422184531978372</v>
      </c>
      <c r="R51" s="110">
        <f t="shared" si="0"/>
        <v>14.462249574469169</v>
      </c>
      <c r="S51" s="110">
        <f t="shared" si="0"/>
        <v>17.262676476109128</v>
      </c>
      <c r="T51" s="110">
        <f t="shared" si="0"/>
        <v>14.586242071162033</v>
      </c>
      <c r="U51" s="110">
        <f t="shared" si="0"/>
        <v>12.537047448994201</v>
      </c>
      <c r="V51" s="110">
        <f t="shared" si="0"/>
        <v>11.377854220174811</v>
      </c>
      <c r="W51" s="110">
        <f t="shared" si="0"/>
        <v>13.496167572359585</v>
      </c>
      <c r="X51" s="110">
        <f t="shared" si="0"/>
        <v>13.542160928992828</v>
      </c>
      <c r="Y51" s="110">
        <f t="shared" si="0"/>
        <v>11.709663540347568</v>
      </c>
      <c r="Z51" s="110">
        <f t="shared" si="0"/>
        <v>9.5723202503422016</v>
      </c>
      <c r="AA51" s="110">
        <f t="shared" si="0"/>
        <v>7.9014035758369943</v>
      </c>
      <c r="AB51" s="110">
        <f t="shared" si="0"/>
        <v>7.4868263967846831</v>
      </c>
      <c r="AC51" s="110">
        <f t="shared" si="0"/>
        <v>7.07940079878344</v>
      </c>
      <c r="AD51" s="110">
        <f t="shared" si="0"/>
        <v>7.8427974211818725</v>
      </c>
      <c r="AE51" s="110">
        <f t="shared" si="0"/>
        <v>8.5587604814998084</v>
      </c>
      <c r="AF51" s="110">
        <f t="shared" si="0"/>
        <v>8.6947899265363269</v>
      </c>
      <c r="AG51" s="110">
        <f t="shared" si="0"/>
        <v>8.6393523511654102</v>
      </c>
      <c r="AH51" s="110">
        <f t="shared" si="0"/>
        <v>7.6095325214104017</v>
      </c>
      <c r="AI51" s="110">
        <f t="shared" si="0"/>
        <v>5.9311525360954302</v>
      </c>
      <c r="AJ51" s="110">
        <f t="shared" si="0"/>
        <v>4.2473872512382833</v>
      </c>
      <c r="AK51" s="110">
        <f t="shared" si="0"/>
        <v>5.7018447345683025</v>
      </c>
      <c r="AL51" s="110">
        <f t="shared" si="0"/>
        <v>8.2118421589336652</v>
      </c>
      <c r="AM51" s="110">
        <f t="shared" si="0"/>
        <v>10.134487299026372</v>
      </c>
      <c r="AN51" s="110">
        <f t="shared" si="0"/>
        <v>12.781046047660965</v>
      </c>
      <c r="AO51" s="110">
        <f t="shared" si="0"/>
        <v>13.555378051604428</v>
      </c>
      <c r="AP51" s="110">
        <f t="shared" si="0"/>
        <v>13.524888820132409</v>
      </c>
      <c r="AQ51" s="110">
        <f t="shared" si="0"/>
        <v>12.174726293294299</v>
      </c>
      <c r="AR51" s="110">
        <f t="shared" si="0"/>
        <v>9.3740097745964945</v>
      </c>
      <c r="AS51" s="110">
        <f t="shared" si="0"/>
        <v>9.024961214313965</v>
      </c>
      <c r="AT51" s="110">
        <f t="shared" si="0"/>
        <v>8.5398884018697458</v>
      </c>
      <c r="AU51" s="110">
        <f t="shared" si="0"/>
        <v>8.0859342450643865</v>
      </c>
      <c r="AV51" s="110">
        <f t="shared" si="0"/>
        <v>8.396148095025449</v>
      </c>
      <c r="AW51" s="110">
        <f t="shared" si="0"/>
        <v>8.4624867597630455</v>
      </c>
      <c r="AX51" s="110">
        <f t="shared" si="0"/>
        <v>8.192506472381087</v>
      </c>
      <c r="AY51" s="110">
        <f t="shared" si="0"/>
        <v>7.6218254933868295</v>
      </c>
      <c r="AZ51" s="110">
        <f t="shared" si="0"/>
        <v>7.6545758129783668</v>
      </c>
      <c r="BA51" s="110">
        <f t="shared" si="0"/>
        <v>7.4116115587464337</v>
      </c>
      <c r="BB51" s="110">
        <f t="shared" si="0"/>
        <v>6.7279602613528349</v>
      </c>
      <c r="BC51" s="110">
        <f t="shared" si="0"/>
        <v>7.1582525732056066</v>
      </c>
      <c r="BD51" s="110">
        <f t="shared" si="0"/>
        <v>7.0501091978256882</v>
      </c>
      <c r="BE51" s="110">
        <f t="shared" si="0"/>
        <v>6.1087140639024078</v>
      </c>
      <c r="BF51" s="110">
        <f t="shared" si="0"/>
        <v>5.2145769480943684</v>
      </c>
      <c r="BG51" s="110">
        <f t="shared" si="0"/>
        <v>4.0391896082696981</v>
      </c>
      <c r="BH51" s="110">
        <f t="shared" si="0"/>
        <v>5.4777893035133367</v>
      </c>
      <c r="BI51" s="110">
        <f t="shared" si="0"/>
        <v>5.622807017543817</v>
      </c>
      <c r="BJ51" s="110">
        <f t="shared" si="0"/>
        <v>3.8955308852833683</v>
      </c>
      <c r="BK51" s="110">
        <f t="shared" si="0"/>
        <v>4.2484472049689392</v>
      </c>
      <c r="BL51" s="110">
        <f t="shared" si="0"/>
        <v>4.4194741166802682</v>
      </c>
      <c r="BM51" s="110">
        <f t="shared" si="0"/>
        <v>4.6676109537298673</v>
      </c>
      <c r="BN51" s="110">
        <f t="shared" si="0"/>
        <v>5.4833597464342265</v>
      </c>
      <c r="BO51" s="110">
        <f t="shared" si="0"/>
        <v>6.3702983138781564</v>
      </c>
      <c r="BP51" s="110">
        <f t="shared" si="0"/>
        <v>5.7197263103537033</v>
      </c>
      <c r="BQ51" s="110">
        <f t="shared" si="0"/>
        <v>5.1700497893527739</v>
      </c>
      <c r="BR51" s="110">
        <f t="shared" ref="BR51:CC51" si="1">+BR52-BR53</f>
        <v>4.375284306292607</v>
      </c>
      <c r="BS51" s="110">
        <f t="shared" si="1"/>
        <v>3.5468221135765674</v>
      </c>
      <c r="BT51" s="110">
        <f t="shared" si="1"/>
        <v>2.9348558592288718</v>
      </c>
      <c r="BU51" s="110">
        <f t="shared" si="1"/>
        <v>2.8767982294356651</v>
      </c>
      <c r="BV51" s="110">
        <f t="shared" si="1"/>
        <v>3.2391304347826031</v>
      </c>
      <c r="BW51" s="110">
        <f t="shared" si="1"/>
        <v>3.4001426533523151</v>
      </c>
      <c r="BX51" s="110">
        <f t="shared" si="1"/>
        <v>2.8522767384397332</v>
      </c>
      <c r="BY51" s="110">
        <f>+BY52-BY53</f>
        <v>2.7996176572815425</v>
      </c>
      <c r="BZ51" s="110">
        <f>+BZ52-BZ53</f>
        <v>2.8473792394655675</v>
      </c>
      <c r="CA51" s="110">
        <f>+CA52-CA53</f>
        <v>2.2563624024427833</v>
      </c>
      <c r="CB51" s="110">
        <f>+CB52-CB53</f>
        <v>3.0873705312392454</v>
      </c>
      <c r="CC51" s="110">
        <f t="shared" si="1"/>
        <v>3.0808944426175797</v>
      </c>
    </row>
    <row r="52" spans="1:88" s="266" customFormat="1" ht="12" hidden="1" x14ac:dyDescent="0.3">
      <c r="A52" s="262"/>
      <c r="B52" s="284"/>
      <c r="C52" s="284" t="s">
        <v>153</v>
      </c>
      <c r="D52" s="285">
        <v>16.25</v>
      </c>
      <c r="E52" s="286">
        <v>17.0833333333333</v>
      </c>
      <c r="F52" s="285">
        <v>17.5</v>
      </c>
      <c r="G52" s="285">
        <v>18.5</v>
      </c>
      <c r="H52" s="287">
        <v>18.5</v>
      </c>
      <c r="I52" s="286">
        <v>18.5</v>
      </c>
      <c r="J52" s="285">
        <v>20.1666666666667</v>
      </c>
      <c r="K52" s="285">
        <v>19.5</v>
      </c>
      <c r="L52" s="287">
        <v>19.9166666666667</v>
      </c>
      <c r="M52" s="286">
        <v>20.25</v>
      </c>
      <c r="N52" s="285">
        <v>20.25</v>
      </c>
      <c r="O52" s="285">
        <v>20.25</v>
      </c>
      <c r="P52" s="287">
        <v>19.25</v>
      </c>
      <c r="Q52" s="286">
        <v>18.9166666666667</v>
      </c>
      <c r="R52" s="285">
        <v>19.5833333333333</v>
      </c>
      <c r="S52" s="285">
        <v>25</v>
      </c>
      <c r="T52" s="287">
        <v>23.6666666666667</v>
      </c>
      <c r="U52" s="286">
        <v>21</v>
      </c>
      <c r="V52" s="285">
        <v>18.6666666666667</v>
      </c>
      <c r="W52" s="285">
        <v>16.8333333333333</v>
      </c>
      <c r="X52" s="287">
        <v>15.5</v>
      </c>
      <c r="Y52" s="286">
        <v>14.5</v>
      </c>
      <c r="Z52" s="285">
        <v>14.5</v>
      </c>
      <c r="AA52" s="285">
        <v>14.5</v>
      </c>
      <c r="AB52" s="287">
        <v>14.5</v>
      </c>
      <c r="AC52" s="286">
        <v>14.5</v>
      </c>
      <c r="AD52" s="285">
        <v>14.25</v>
      </c>
      <c r="AE52" s="285">
        <v>13.3333333333333</v>
      </c>
      <c r="AF52" s="287">
        <v>13</v>
      </c>
      <c r="AG52" s="286">
        <v>14.3333333333333</v>
      </c>
      <c r="AH52" s="285">
        <v>15.3333333333333</v>
      </c>
      <c r="AI52" s="285">
        <v>16.3333333333333</v>
      </c>
      <c r="AJ52" s="287">
        <v>17</v>
      </c>
      <c r="AK52" s="286">
        <v>17</v>
      </c>
      <c r="AL52" s="285">
        <v>16.5</v>
      </c>
      <c r="AM52" s="285">
        <v>14.5</v>
      </c>
      <c r="AN52" s="287">
        <v>11.8333333333333</v>
      </c>
      <c r="AO52" s="286">
        <v>11.5</v>
      </c>
      <c r="AP52" s="285">
        <v>11.5</v>
      </c>
      <c r="AQ52" s="285">
        <v>11.1666666666667</v>
      </c>
      <c r="AR52" s="287">
        <v>11</v>
      </c>
      <c r="AS52" s="286">
        <v>11</v>
      </c>
      <c r="AT52" s="285">
        <v>10.5</v>
      </c>
      <c r="AU52" s="285">
        <v>10.5</v>
      </c>
      <c r="AV52" s="287">
        <v>10.5</v>
      </c>
      <c r="AW52" s="286">
        <v>10.5</v>
      </c>
      <c r="AX52" s="285">
        <v>10.6666666666667</v>
      </c>
      <c r="AY52" s="285">
        <v>11.3333333333333</v>
      </c>
      <c r="AZ52" s="287">
        <v>12.1666666666667</v>
      </c>
      <c r="BA52" s="286">
        <v>12.5</v>
      </c>
      <c r="BB52" s="285">
        <v>12.6666666666667</v>
      </c>
      <c r="BC52" s="285">
        <v>13.3333333333333</v>
      </c>
      <c r="BD52" s="287">
        <v>14.1666666666667</v>
      </c>
      <c r="BE52" s="286">
        <v>14.5</v>
      </c>
      <c r="BF52" s="285">
        <v>15.1666666666667</v>
      </c>
      <c r="BG52" s="285">
        <v>15.5</v>
      </c>
      <c r="BH52" s="287">
        <v>15.3333333333333</v>
      </c>
      <c r="BI52" s="286">
        <v>14</v>
      </c>
      <c r="BJ52" s="285">
        <v>11.6666666666667</v>
      </c>
      <c r="BK52" s="285">
        <v>10.6666666666667</v>
      </c>
      <c r="BL52" s="287">
        <v>10.5</v>
      </c>
      <c r="BM52" s="286">
        <v>10.3333333333333</v>
      </c>
      <c r="BN52" s="285">
        <v>10</v>
      </c>
      <c r="BO52" s="285">
        <v>9.8333333333333304</v>
      </c>
      <c r="BP52" s="287">
        <v>9.1666666666666696</v>
      </c>
      <c r="BQ52" s="286">
        <v>9</v>
      </c>
      <c r="BR52" s="285">
        <v>9</v>
      </c>
      <c r="BS52" s="285">
        <v>9</v>
      </c>
      <c r="BT52" s="287">
        <v>9</v>
      </c>
      <c r="BU52" s="286">
        <v>9</v>
      </c>
      <c r="BV52" s="285">
        <v>9</v>
      </c>
      <c r="BW52" s="285">
        <v>8.5</v>
      </c>
      <c r="BX52" s="287">
        <v>8.5</v>
      </c>
      <c r="BY52" s="266">
        <v>8.5</v>
      </c>
      <c r="BZ52" s="266">
        <v>8.5</v>
      </c>
      <c r="CA52" s="266">
        <v>8.5</v>
      </c>
      <c r="CB52" s="266">
        <v>8.5</v>
      </c>
      <c r="CC52" s="266">
        <v>9</v>
      </c>
    </row>
    <row r="53" spans="1:88" hidden="1" x14ac:dyDescent="0.35">
      <c r="C53" s="84" t="s">
        <v>154</v>
      </c>
      <c r="D53" s="288">
        <v>9.7990149990723641</v>
      </c>
      <c r="E53" s="289">
        <v>9.9593442253082856</v>
      </c>
      <c r="F53" s="290">
        <v>10.65216088388572</v>
      </c>
      <c r="G53" s="290">
        <v>7.7265495256930494</v>
      </c>
      <c r="H53" s="288">
        <v>6.5617362329769779</v>
      </c>
      <c r="I53" s="289">
        <v>6.5085679673837493</v>
      </c>
      <c r="J53" s="290">
        <v>6.0804774256866922</v>
      </c>
      <c r="K53" s="290">
        <v>7.6291228387665333</v>
      </c>
      <c r="L53" s="288">
        <v>9.1451219295645814</v>
      </c>
      <c r="M53" s="289">
        <v>9.6107740626719895</v>
      </c>
      <c r="N53" s="290">
        <v>9.3789086252066056</v>
      </c>
      <c r="O53" s="290">
        <v>8.6163234263308741</v>
      </c>
      <c r="P53" s="288">
        <v>6.8816620113169469</v>
      </c>
      <c r="Q53" s="289">
        <v>5.4944821346883277</v>
      </c>
      <c r="R53" s="290">
        <v>5.1210837588641311</v>
      </c>
      <c r="S53" s="290">
        <v>7.7373235238908711</v>
      </c>
      <c r="T53" s="288">
        <v>9.0804245955046667</v>
      </c>
      <c r="U53" s="289">
        <v>8.4629525510057988</v>
      </c>
      <c r="V53" s="290">
        <v>7.288812446491888</v>
      </c>
      <c r="W53" s="290">
        <v>3.3371657609737149</v>
      </c>
      <c r="X53" s="288">
        <v>1.9578390710071725</v>
      </c>
      <c r="Y53" s="289">
        <v>2.7903364596524316</v>
      </c>
      <c r="Z53" s="290">
        <v>4.9276797496577984</v>
      </c>
      <c r="AA53" s="290">
        <v>6.5985964241630057</v>
      </c>
      <c r="AB53" s="288">
        <v>7.0131736032153169</v>
      </c>
      <c r="AC53" s="289">
        <v>7.42059920121656</v>
      </c>
      <c r="AD53" s="290">
        <v>6.4072025788181275</v>
      </c>
      <c r="AE53" s="290">
        <v>4.7745728518334918</v>
      </c>
      <c r="AF53" s="288">
        <v>4.3052100734636722</v>
      </c>
      <c r="AG53" s="289">
        <v>5.6939809821678899</v>
      </c>
      <c r="AH53" s="290">
        <v>7.7238008119228985</v>
      </c>
      <c r="AI53" s="290">
        <v>10.40218079723787</v>
      </c>
      <c r="AJ53" s="288">
        <v>12.752612748761717</v>
      </c>
      <c r="AK53" s="289">
        <v>11.298155265431697</v>
      </c>
      <c r="AL53" s="290">
        <v>8.2881578410663348</v>
      </c>
      <c r="AM53" s="290">
        <v>4.3655127009736283</v>
      </c>
      <c r="AN53" s="288">
        <v>-0.94771271432766424</v>
      </c>
      <c r="AO53" s="289">
        <v>-2.0553780516044284</v>
      </c>
      <c r="AP53" s="290">
        <v>-2.0248888201324089</v>
      </c>
      <c r="AQ53" s="290">
        <v>-1.0080596266275998</v>
      </c>
      <c r="AR53" s="288">
        <v>1.6259902254035064</v>
      </c>
      <c r="AS53" s="289">
        <v>1.9750387856860341</v>
      </c>
      <c r="AT53" s="290">
        <v>1.9601115981302542</v>
      </c>
      <c r="AU53" s="290">
        <v>2.4140657549356126</v>
      </c>
      <c r="AV53" s="288">
        <v>2.1038519049745519</v>
      </c>
      <c r="AW53" s="289">
        <v>2.0375132402369545</v>
      </c>
      <c r="AX53" s="290">
        <v>2.4741601942856128</v>
      </c>
      <c r="AY53" s="290">
        <v>3.7115078399464707</v>
      </c>
      <c r="AZ53" s="288">
        <v>4.5120908536883331</v>
      </c>
      <c r="BA53" s="289">
        <v>5.0883884412535663</v>
      </c>
      <c r="BB53" s="290">
        <v>5.938706405313865</v>
      </c>
      <c r="BC53" s="290">
        <v>6.1750807601276936</v>
      </c>
      <c r="BD53" s="288">
        <v>7.1165574688410116</v>
      </c>
      <c r="BE53" s="289">
        <v>8.3912859360975922</v>
      </c>
      <c r="BF53" s="290">
        <v>9.9520897185723314</v>
      </c>
      <c r="BG53" s="290">
        <v>11.460810391730302</v>
      </c>
      <c r="BH53" s="288">
        <v>9.8555440298199635</v>
      </c>
      <c r="BI53" s="289">
        <v>8.377192982456183</v>
      </c>
      <c r="BJ53" s="290">
        <v>7.7711357813833315</v>
      </c>
      <c r="BK53" s="290">
        <v>6.4182194616977606</v>
      </c>
      <c r="BL53" s="288">
        <v>6.0805258833197318</v>
      </c>
      <c r="BM53" s="289">
        <v>5.6657223796034328</v>
      </c>
      <c r="BN53" s="290">
        <v>4.5166402535657735</v>
      </c>
      <c r="BO53" s="290">
        <v>3.463035019455174</v>
      </c>
      <c r="BP53" s="288">
        <v>3.4469403563129664</v>
      </c>
      <c r="BQ53" s="291">
        <v>3.8299502106472261</v>
      </c>
      <c r="BR53" s="292">
        <v>4.624715693707393</v>
      </c>
      <c r="BS53" s="293">
        <v>5.4531778864234326</v>
      </c>
      <c r="BT53" s="294">
        <v>6.0651441407711282</v>
      </c>
      <c r="BU53" s="292">
        <v>6.1232017705643349</v>
      </c>
      <c r="BV53" s="292">
        <v>5.7608695652173969</v>
      </c>
      <c r="BW53" s="293">
        <v>5.0998573466476849</v>
      </c>
      <c r="BX53" s="294">
        <v>5.6477232615602668</v>
      </c>
      <c r="BY53" s="293">
        <v>5.7003823427184575</v>
      </c>
      <c r="BZ53" s="293">
        <v>5.6526207605344325</v>
      </c>
      <c r="CA53" s="293">
        <v>6.2436375975572167</v>
      </c>
      <c r="CB53" s="293">
        <v>5.4126294687607546</v>
      </c>
      <c r="CC53" s="293">
        <v>5.9191055573824203</v>
      </c>
    </row>
    <row r="54" spans="1:88" hidden="1" x14ac:dyDescent="0.35">
      <c r="E54" s="110"/>
      <c r="AI54" s="226"/>
    </row>
    <row r="55" spans="1:88" hidden="1" x14ac:dyDescent="0.35">
      <c r="E55" s="33"/>
      <c r="AI55" s="226"/>
    </row>
    <row r="56" spans="1:88" hidden="1" x14ac:dyDescent="0.35">
      <c r="E56" s="33"/>
      <c r="AI56" s="226"/>
    </row>
    <row r="57" spans="1:88" hidden="1" x14ac:dyDescent="0.35">
      <c r="E57" s="33"/>
      <c r="AI57" s="226"/>
    </row>
    <row r="58" spans="1:88" hidden="1" x14ac:dyDescent="0.35">
      <c r="E58" s="33"/>
      <c r="AI58" s="226"/>
    </row>
    <row r="59" spans="1:88" hidden="1" x14ac:dyDescent="0.35">
      <c r="E59" s="33"/>
      <c r="AI59" s="226"/>
    </row>
    <row r="60" spans="1:88" hidden="1" x14ac:dyDescent="0.35">
      <c r="E60" s="33"/>
      <c r="AI60" s="226"/>
    </row>
    <row r="61" spans="1:88" hidden="1" x14ac:dyDescent="0.35">
      <c r="E61" s="33"/>
      <c r="AI61" s="226"/>
    </row>
    <row r="62" spans="1:88" hidden="1" x14ac:dyDescent="0.35">
      <c r="E62" s="33"/>
      <c r="AI62" s="137"/>
    </row>
    <row r="63" spans="1:88" hidden="1" x14ac:dyDescent="0.35">
      <c r="E63" s="33"/>
    </row>
    <row r="64" spans="1:88" hidden="1" x14ac:dyDescent="0.35">
      <c r="E64" s="33"/>
    </row>
    <row r="65" spans="2:82" hidden="1" x14ac:dyDescent="0.35">
      <c r="E65" s="33"/>
      <c r="AC65" s="4" t="s">
        <v>67</v>
      </c>
    </row>
    <row r="66" spans="2:82" hidden="1" x14ac:dyDescent="0.35">
      <c r="E66" s="33"/>
    </row>
    <row r="67" spans="2:82" hidden="1" x14ac:dyDescent="0.35">
      <c r="E67" s="33"/>
    </row>
    <row r="68" spans="2:82" hidden="1" x14ac:dyDescent="0.35">
      <c r="E68" s="33"/>
    </row>
    <row r="69" spans="2:82" hidden="1" x14ac:dyDescent="0.35">
      <c r="B69" s="4667">
        <v>1994</v>
      </c>
      <c r="C69" s="4668"/>
      <c r="D69" s="4668"/>
      <c r="E69" s="4669"/>
      <c r="F69" s="4667">
        <v>1995</v>
      </c>
      <c r="G69" s="4668"/>
      <c r="H69" s="4668"/>
      <c r="I69" s="4669"/>
      <c r="J69" s="4667">
        <v>1996</v>
      </c>
      <c r="K69" s="4668"/>
      <c r="L69" s="4668"/>
      <c r="M69" s="4669"/>
      <c r="N69" s="4667">
        <v>1997</v>
      </c>
      <c r="O69" s="4668"/>
      <c r="P69" s="4668"/>
      <c r="Q69" s="4669"/>
      <c r="R69" s="4667">
        <v>1998</v>
      </c>
      <c r="S69" s="4668"/>
      <c r="T69" s="4668"/>
      <c r="U69" s="4669"/>
      <c r="V69" s="4667">
        <v>1999</v>
      </c>
      <c r="W69" s="4668"/>
      <c r="X69" s="4668"/>
      <c r="Y69" s="4669"/>
      <c r="Z69" s="4667">
        <v>2000</v>
      </c>
      <c r="AA69" s="4668"/>
      <c r="AB69" s="4668"/>
      <c r="AC69" s="4669"/>
      <c r="AD69" s="4667">
        <v>2001</v>
      </c>
      <c r="AE69" s="4668"/>
      <c r="AF69" s="4668"/>
      <c r="AG69" s="4669"/>
      <c r="AH69" s="4667">
        <v>2002</v>
      </c>
      <c r="AI69" s="4668"/>
      <c r="AJ69" s="4668"/>
      <c r="AK69" s="4669"/>
      <c r="AL69" s="4667">
        <v>2003</v>
      </c>
      <c r="AM69" s="4668"/>
      <c r="AN69" s="4668"/>
      <c r="AO69" s="4669"/>
      <c r="AP69" s="4667">
        <v>2004</v>
      </c>
      <c r="AQ69" s="4668"/>
      <c r="AR69" s="4668"/>
      <c r="AS69" s="4669"/>
      <c r="AT69" s="4667">
        <v>2005</v>
      </c>
      <c r="AU69" s="4668"/>
      <c r="AV69" s="4668"/>
      <c r="AW69" s="4669"/>
      <c r="AX69" s="4667">
        <v>2006</v>
      </c>
      <c r="AY69" s="4668"/>
      <c r="AZ69" s="4668"/>
      <c r="BA69" s="4669"/>
      <c r="BB69" s="4667">
        <v>2007</v>
      </c>
      <c r="BC69" s="4668"/>
      <c r="BD69" s="4668"/>
      <c r="BE69" s="4669"/>
      <c r="BF69" s="4667">
        <v>2008</v>
      </c>
      <c r="BG69" s="4668"/>
      <c r="BH69" s="4668"/>
      <c r="BI69" s="4669"/>
      <c r="BJ69" s="4667">
        <v>2009</v>
      </c>
      <c r="BK69" s="4668"/>
      <c r="BL69" s="4668"/>
      <c r="BM69" s="4669"/>
      <c r="BN69" s="4667">
        <v>2010</v>
      </c>
      <c r="BO69" s="4668"/>
      <c r="BP69" s="4668"/>
      <c r="BQ69" s="4669"/>
      <c r="BR69" s="4667">
        <v>2011</v>
      </c>
      <c r="BS69" s="4668"/>
      <c r="BT69" s="4668"/>
      <c r="BU69" s="4668"/>
      <c r="BV69" s="4668"/>
      <c r="BW69" s="4668"/>
      <c r="BX69" s="4668"/>
      <c r="BY69" s="4668"/>
      <c r="BZ69" s="4668"/>
      <c r="CA69" s="4668"/>
      <c r="CB69" s="4668"/>
      <c r="CC69" s="4668"/>
      <c r="CD69" s="295"/>
    </row>
    <row r="70" spans="2:82" hidden="1" x14ac:dyDescent="0.35">
      <c r="B70" s="296" t="s">
        <v>69</v>
      </c>
      <c r="C70" s="297" t="s">
        <v>66</v>
      </c>
      <c r="D70" s="231" t="s">
        <v>67</v>
      </c>
      <c r="E70" s="12" t="s">
        <v>68</v>
      </c>
      <c r="F70" s="296" t="s">
        <v>69</v>
      </c>
      <c r="G70" s="297" t="s">
        <v>66</v>
      </c>
      <c r="H70" s="231" t="s">
        <v>67</v>
      </c>
      <c r="I70" s="12" t="s">
        <v>68</v>
      </c>
      <c r="J70" s="296" t="s">
        <v>69</v>
      </c>
      <c r="K70" s="297" t="s">
        <v>66</v>
      </c>
      <c r="L70" s="231" t="s">
        <v>67</v>
      </c>
      <c r="M70" s="12" t="s">
        <v>68</v>
      </c>
      <c r="N70" s="296" t="s">
        <v>69</v>
      </c>
      <c r="O70" s="297" t="s">
        <v>66</v>
      </c>
      <c r="P70" s="231" t="s">
        <v>67</v>
      </c>
      <c r="Q70" s="12" t="s">
        <v>68</v>
      </c>
      <c r="R70" s="296" t="s">
        <v>69</v>
      </c>
      <c r="S70" s="297" t="s">
        <v>66</v>
      </c>
      <c r="T70" s="231" t="s">
        <v>67</v>
      </c>
      <c r="U70" s="12" t="s">
        <v>68</v>
      </c>
      <c r="V70" s="296" t="s">
        <v>69</v>
      </c>
      <c r="W70" s="297" t="s">
        <v>66</v>
      </c>
      <c r="X70" s="231" t="s">
        <v>67</v>
      </c>
      <c r="Y70" s="12" t="s">
        <v>68</v>
      </c>
      <c r="Z70" s="296" t="s">
        <v>69</v>
      </c>
      <c r="AA70" s="297" t="s">
        <v>66</v>
      </c>
      <c r="AB70" s="231" t="s">
        <v>67</v>
      </c>
      <c r="AC70" s="12" t="s">
        <v>68</v>
      </c>
      <c r="AD70" s="296" t="s">
        <v>69</v>
      </c>
      <c r="AE70" s="297" t="s">
        <v>66</v>
      </c>
      <c r="AF70" s="231" t="s">
        <v>67</v>
      </c>
      <c r="AG70" s="12" t="s">
        <v>68</v>
      </c>
      <c r="AH70" s="296" t="s">
        <v>69</v>
      </c>
      <c r="AI70" s="297" t="s">
        <v>66</v>
      </c>
      <c r="AJ70" s="231" t="s">
        <v>67</v>
      </c>
      <c r="AK70" s="12" t="s">
        <v>68</v>
      </c>
      <c r="AL70" s="296" t="s">
        <v>69</v>
      </c>
      <c r="AM70" s="297" t="s">
        <v>66</v>
      </c>
      <c r="AN70" s="231" t="s">
        <v>67</v>
      </c>
      <c r="AO70" s="12" t="s">
        <v>68</v>
      </c>
      <c r="AP70" s="296" t="s">
        <v>69</v>
      </c>
      <c r="AQ70" s="297" t="s">
        <v>66</v>
      </c>
      <c r="AR70" s="231" t="s">
        <v>67</v>
      </c>
      <c r="AS70" s="12" t="s">
        <v>68</v>
      </c>
      <c r="AT70" s="296" t="s">
        <v>69</v>
      </c>
      <c r="AU70" s="297" t="s">
        <v>66</v>
      </c>
      <c r="AV70" s="231" t="s">
        <v>67</v>
      </c>
      <c r="AW70" s="12" t="s">
        <v>68</v>
      </c>
      <c r="AX70" s="296" t="s">
        <v>69</v>
      </c>
      <c r="AY70" s="297" t="s">
        <v>66</v>
      </c>
      <c r="AZ70" s="231" t="s">
        <v>67</v>
      </c>
      <c r="BA70" s="12" t="s">
        <v>68</v>
      </c>
      <c r="BB70" s="296" t="s">
        <v>69</v>
      </c>
      <c r="BC70" s="297" t="s">
        <v>66</v>
      </c>
      <c r="BD70" s="231" t="s">
        <v>67</v>
      </c>
      <c r="BE70" s="12" t="s">
        <v>68</v>
      </c>
      <c r="BF70" s="296" t="s">
        <v>69</v>
      </c>
      <c r="BG70" s="297" t="s">
        <v>66</v>
      </c>
      <c r="BH70" s="231" t="s">
        <v>67</v>
      </c>
      <c r="BI70" s="12" t="s">
        <v>68</v>
      </c>
      <c r="BJ70" s="296" t="s">
        <v>69</v>
      </c>
      <c r="BK70" s="297" t="s">
        <v>66</v>
      </c>
      <c r="BL70" s="231" t="s">
        <v>67</v>
      </c>
      <c r="BM70" s="12" t="s">
        <v>68</v>
      </c>
      <c r="BN70" s="296" t="s">
        <v>69</v>
      </c>
      <c r="BO70" s="297" t="s">
        <v>66</v>
      </c>
      <c r="BP70" s="231" t="s">
        <v>67</v>
      </c>
      <c r="BQ70" s="12" t="s">
        <v>68</v>
      </c>
      <c r="BR70" s="296" t="s">
        <v>69</v>
      </c>
      <c r="BS70" s="233" t="s">
        <v>66</v>
      </c>
      <c r="BT70" s="231" t="s">
        <v>67</v>
      </c>
      <c r="BU70" s="12" t="s">
        <v>68</v>
      </c>
      <c r="BV70" s="296" t="s">
        <v>69</v>
      </c>
      <c r="BY70" s="12" t="s">
        <v>68</v>
      </c>
      <c r="BZ70" s="296" t="s">
        <v>69</v>
      </c>
      <c r="CC70" s="12" t="s">
        <v>68</v>
      </c>
    </row>
    <row r="71" spans="2:82" hidden="1" x14ac:dyDescent="0.35">
      <c r="B71" s="298">
        <v>16.25</v>
      </c>
      <c r="C71" s="299">
        <v>17.0833333333333</v>
      </c>
      <c r="D71" s="300">
        <v>17.5</v>
      </c>
      <c r="E71" s="300">
        <v>18.5</v>
      </c>
      <c r="F71" s="298">
        <v>18.5</v>
      </c>
      <c r="G71" s="299">
        <v>18.5</v>
      </c>
      <c r="H71" s="300">
        <v>20.1666666666667</v>
      </c>
      <c r="I71" s="300">
        <v>19.5</v>
      </c>
      <c r="J71" s="298">
        <v>19.9166666666667</v>
      </c>
      <c r="K71" s="299">
        <v>20.25</v>
      </c>
      <c r="L71" s="300">
        <v>20.25</v>
      </c>
      <c r="M71" s="300">
        <v>20.25</v>
      </c>
      <c r="N71" s="298">
        <v>19.25</v>
      </c>
      <c r="O71" s="299">
        <v>18.9166666666667</v>
      </c>
      <c r="P71" s="300">
        <v>19.5833333333333</v>
      </c>
      <c r="Q71" s="300">
        <v>25</v>
      </c>
      <c r="R71" s="298">
        <v>23.6666666666667</v>
      </c>
      <c r="S71" s="299">
        <v>21</v>
      </c>
      <c r="T71" s="300">
        <v>18.6666666666667</v>
      </c>
      <c r="U71" s="300">
        <v>16.8333333333333</v>
      </c>
      <c r="V71" s="298">
        <v>15.5</v>
      </c>
      <c r="W71" s="299">
        <v>14.5</v>
      </c>
      <c r="X71" s="300">
        <v>14.5</v>
      </c>
      <c r="Y71" s="300">
        <v>14.5</v>
      </c>
      <c r="Z71" s="298">
        <v>14.5</v>
      </c>
      <c r="AA71" s="299">
        <v>14.5</v>
      </c>
      <c r="AB71" s="300">
        <v>14.25</v>
      </c>
      <c r="AC71" s="300">
        <v>13.3333333333333</v>
      </c>
      <c r="AD71" s="298">
        <v>13</v>
      </c>
      <c r="AE71" s="299">
        <v>14.3333333333333</v>
      </c>
      <c r="AF71" s="300">
        <v>15.3333333333333</v>
      </c>
      <c r="AG71" s="300">
        <v>16.3333333333333</v>
      </c>
      <c r="AH71" s="298">
        <v>17</v>
      </c>
      <c r="AI71" s="299">
        <v>17</v>
      </c>
      <c r="AJ71" s="300">
        <v>16.5</v>
      </c>
      <c r="AK71" s="300">
        <v>14.5</v>
      </c>
      <c r="AL71" s="298">
        <v>11.8333333333333</v>
      </c>
      <c r="AM71" s="299">
        <v>11.5</v>
      </c>
      <c r="AN71" s="300">
        <v>11.5</v>
      </c>
      <c r="AO71" s="300">
        <v>11.1666666666667</v>
      </c>
      <c r="AP71" s="298">
        <v>11</v>
      </c>
      <c r="AQ71" s="299">
        <v>11</v>
      </c>
      <c r="AR71" s="300">
        <v>10.5</v>
      </c>
      <c r="AS71" s="300">
        <v>10.5</v>
      </c>
      <c r="AT71" s="298">
        <v>10.5</v>
      </c>
      <c r="AU71" s="299">
        <v>10.5</v>
      </c>
      <c r="AV71" s="300">
        <v>10.6666666666667</v>
      </c>
      <c r="AW71" s="300">
        <v>11.3333333333333</v>
      </c>
      <c r="AX71" s="298">
        <v>12.1666666666667</v>
      </c>
      <c r="AY71" s="299">
        <v>12.5</v>
      </c>
      <c r="AZ71" s="300">
        <v>12.6666666666667</v>
      </c>
      <c r="BA71" s="300">
        <v>13.3333333333333</v>
      </c>
      <c r="BB71" s="298">
        <v>14.1666666666667</v>
      </c>
      <c r="BC71" s="299">
        <v>14.5</v>
      </c>
      <c r="BD71" s="300">
        <v>15.1666666666667</v>
      </c>
      <c r="BE71" s="300">
        <v>15.5</v>
      </c>
      <c r="BF71" s="298">
        <v>15.3333333333333</v>
      </c>
      <c r="BG71" s="299">
        <v>14</v>
      </c>
      <c r="BH71" s="300">
        <v>11.6666666666667</v>
      </c>
      <c r="BI71" s="300">
        <v>10.6666666666667</v>
      </c>
      <c r="BJ71" s="298">
        <v>10.5</v>
      </c>
      <c r="BK71" s="299">
        <v>10.3333333333333</v>
      </c>
      <c r="BL71" s="300">
        <v>10</v>
      </c>
      <c r="BM71" s="300">
        <v>9.8333333333333304</v>
      </c>
      <c r="BN71" s="298">
        <v>9.1666666666666696</v>
      </c>
      <c r="BO71" s="299">
        <v>9</v>
      </c>
      <c r="BP71" s="300">
        <v>9</v>
      </c>
      <c r="BQ71" s="300">
        <v>9</v>
      </c>
      <c r="BR71" s="301">
        <v>9</v>
      </c>
      <c r="BS71" s="302">
        <v>9</v>
      </c>
      <c r="BT71" s="302">
        <v>9</v>
      </c>
      <c r="BU71" s="302">
        <v>8.5</v>
      </c>
      <c r="BV71" s="301">
        <v>8.5</v>
      </c>
      <c r="BY71" s="302">
        <v>8.5</v>
      </c>
      <c r="BZ71" s="301">
        <v>8.5</v>
      </c>
      <c r="CC71" s="302">
        <v>8.5</v>
      </c>
    </row>
    <row r="72" spans="2:82" hidden="1" x14ac:dyDescent="0.35">
      <c r="E72" s="33"/>
    </row>
    <row r="73" spans="2:82" hidden="1" x14ac:dyDescent="0.35">
      <c r="E73" s="33"/>
    </row>
    <row r="74" spans="2:82" hidden="1" x14ac:dyDescent="0.35">
      <c r="E74" s="33"/>
    </row>
    <row r="75" spans="2:82" hidden="1" x14ac:dyDescent="0.35">
      <c r="E75" s="33"/>
    </row>
    <row r="76" spans="2:82" hidden="1" x14ac:dyDescent="0.35">
      <c r="E76" s="33"/>
    </row>
    <row r="77" spans="2:82" hidden="1" x14ac:dyDescent="0.35">
      <c r="E77" s="33"/>
    </row>
    <row r="78" spans="2:82" hidden="1" x14ac:dyDescent="0.35">
      <c r="E78" s="33"/>
    </row>
    <row r="79" spans="2:82" hidden="1" x14ac:dyDescent="0.35">
      <c r="E79" s="33"/>
    </row>
    <row r="80" spans="2:82" hidden="1" x14ac:dyDescent="0.35">
      <c r="E80" s="33"/>
    </row>
    <row r="81" spans="5:5" hidden="1" x14ac:dyDescent="0.35">
      <c r="E81" s="33"/>
    </row>
    <row r="82" spans="5:5" hidden="1" x14ac:dyDescent="0.35">
      <c r="E82" s="33"/>
    </row>
    <row r="83" spans="5:5" x14ac:dyDescent="0.35">
      <c r="E83" s="33"/>
    </row>
    <row r="84" spans="5:5" x14ac:dyDescent="0.35">
      <c r="E84" s="33"/>
    </row>
    <row r="85" spans="5:5" x14ac:dyDescent="0.35">
      <c r="E85" s="33"/>
    </row>
    <row r="86" spans="5:5" x14ac:dyDescent="0.35">
      <c r="E86" s="33"/>
    </row>
    <row r="87" spans="5:5" x14ac:dyDescent="0.35">
      <c r="E87" s="33"/>
    </row>
    <row r="88" spans="5:5" x14ac:dyDescent="0.35">
      <c r="E88" s="33"/>
    </row>
    <row r="89" spans="5:5" x14ac:dyDescent="0.35">
      <c r="E89" s="33"/>
    </row>
    <row r="90" spans="5:5" x14ac:dyDescent="0.35">
      <c r="E90" s="33"/>
    </row>
    <row r="91" spans="5:5" x14ac:dyDescent="0.35">
      <c r="E91" s="33"/>
    </row>
    <row r="92" spans="5:5" x14ac:dyDescent="0.35">
      <c r="E92" s="33"/>
    </row>
    <row r="93" spans="5:5" x14ac:dyDescent="0.35">
      <c r="E93" s="33"/>
    </row>
    <row r="94" spans="5:5" x14ac:dyDescent="0.35">
      <c r="E94" s="33"/>
    </row>
    <row r="95" spans="5:5" x14ac:dyDescent="0.35">
      <c r="E95" s="33"/>
    </row>
    <row r="96" spans="5:5" x14ac:dyDescent="0.35">
      <c r="E96" s="33"/>
    </row>
    <row r="97" spans="5:5" x14ac:dyDescent="0.35">
      <c r="E97" s="33"/>
    </row>
    <row r="98" spans="5:5" x14ac:dyDescent="0.35">
      <c r="E98" s="33"/>
    </row>
    <row r="99" spans="5:5" x14ac:dyDescent="0.35">
      <c r="E99" s="33"/>
    </row>
    <row r="100" spans="5:5" x14ac:dyDescent="0.35">
      <c r="E100" s="33"/>
    </row>
    <row r="101" spans="5:5" x14ac:dyDescent="0.35">
      <c r="E101" s="33"/>
    </row>
    <row r="102" spans="5:5" x14ac:dyDescent="0.35">
      <c r="E102" s="33"/>
    </row>
    <row r="103" spans="5:5" x14ac:dyDescent="0.35">
      <c r="E103" s="33"/>
    </row>
    <row r="104" spans="5:5" x14ac:dyDescent="0.35">
      <c r="E104" s="33"/>
    </row>
    <row r="105" spans="5:5" x14ac:dyDescent="0.35">
      <c r="E105" s="33"/>
    </row>
    <row r="106" spans="5:5" x14ac:dyDescent="0.35">
      <c r="E106" s="33"/>
    </row>
    <row r="107" spans="5:5" x14ac:dyDescent="0.35">
      <c r="E107" s="33"/>
    </row>
    <row r="108" spans="5:5" x14ac:dyDescent="0.35">
      <c r="E108" s="33"/>
    </row>
    <row r="109" spans="5:5" x14ac:dyDescent="0.35">
      <c r="E109" s="33"/>
    </row>
    <row r="110" spans="5:5" x14ac:dyDescent="0.35">
      <c r="E110" s="33"/>
    </row>
    <row r="111" spans="5:5" x14ac:dyDescent="0.35">
      <c r="E111" s="33"/>
    </row>
    <row r="112" spans="5:5" x14ac:dyDescent="0.35">
      <c r="E112" s="33"/>
    </row>
    <row r="113" spans="5:5" x14ac:dyDescent="0.35">
      <c r="E113" s="33"/>
    </row>
    <row r="114" spans="5:5" x14ac:dyDescent="0.35">
      <c r="E114" s="33"/>
    </row>
    <row r="115" spans="5:5" x14ac:dyDescent="0.35">
      <c r="E115" s="33"/>
    </row>
    <row r="116" spans="5:5" x14ac:dyDescent="0.35">
      <c r="E116" s="33"/>
    </row>
    <row r="117" spans="5:5" x14ac:dyDescent="0.35">
      <c r="E117" s="33"/>
    </row>
    <row r="118" spans="5:5" x14ac:dyDescent="0.35">
      <c r="E118" s="33"/>
    </row>
    <row r="119" spans="5:5" x14ac:dyDescent="0.35">
      <c r="E119" s="33"/>
    </row>
    <row r="120" spans="5:5" x14ac:dyDescent="0.35">
      <c r="E120" s="33"/>
    </row>
    <row r="121" spans="5:5" x14ac:dyDescent="0.35">
      <c r="E121" s="33"/>
    </row>
    <row r="122" spans="5:5" x14ac:dyDescent="0.35">
      <c r="E122" s="33"/>
    </row>
    <row r="123" spans="5:5" x14ac:dyDescent="0.35">
      <c r="E123" s="33"/>
    </row>
    <row r="124" spans="5:5" x14ac:dyDescent="0.35">
      <c r="E124" s="33"/>
    </row>
    <row r="125" spans="5:5" x14ac:dyDescent="0.35">
      <c r="E125" s="33"/>
    </row>
    <row r="126" spans="5:5" x14ac:dyDescent="0.35">
      <c r="E126" s="33"/>
    </row>
    <row r="127" spans="5:5" x14ac:dyDescent="0.35">
      <c r="E127" s="33"/>
    </row>
    <row r="128" spans="5:5" x14ac:dyDescent="0.35">
      <c r="E128" s="33"/>
    </row>
    <row r="129" spans="5:5" x14ac:dyDescent="0.35">
      <c r="E129" s="33"/>
    </row>
    <row r="130" spans="5:5" x14ac:dyDescent="0.35">
      <c r="E130" s="33"/>
    </row>
    <row r="131" spans="5:5" x14ac:dyDescent="0.35">
      <c r="E131" s="33"/>
    </row>
    <row r="132" spans="5:5" x14ac:dyDescent="0.35">
      <c r="E132" s="33"/>
    </row>
    <row r="133" spans="5:5" x14ac:dyDescent="0.35">
      <c r="E133" s="33"/>
    </row>
    <row r="134" spans="5:5" x14ac:dyDescent="0.35">
      <c r="E134" s="33"/>
    </row>
    <row r="135" spans="5:5" x14ac:dyDescent="0.35">
      <c r="E135" s="33"/>
    </row>
    <row r="136" spans="5:5" x14ac:dyDescent="0.35">
      <c r="E136" s="33"/>
    </row>
    <row r="137" spans="5:5" x14ac:dyDescent="0.35">
      <c r="E137" s="33"/>
    </row>
    <row r="138" spans="5:5" x14ac:dyDescent="0.35">
      <c r="E138" s="33"/>
    </row>
    <row r="139" spans="5:5" x14ac:dyDescent="0.35">
      <c r="E139" s="33"/>
    </row>
    <row r="140" spans="5:5" x14ac:dyDescent="0.35">
      <c r="E140" s="33"/>
    </row>
    <row r="141" spans="5:5" x14ac:dyDescent="0.35">
      <c r="E141" s="33"/>
    </row>
    <row r="142" spans="5:5" x14ac:dyDescent="0.35">
      <c r="E142" s="33"/>
    </row>
    <row r="143" spans="5:5" x14ac:dyDescent="0.35">
      <c r="E143" s="33"/>
    </row>
    <row r="144" spans="5:5" x14ac:dyDescent="0.35">
      <c r="E144" s="33"/>
    </row>
    <row r="145" spans="5:5" x14ac:dyDescent="0.35">
      <c r="E145" s="33"/>
    </row>
    <row r="146" spans="5:5" x14ac:dyDescent="0.35">
      <c r="E146" s="33"/>
    </row>
    <row r="147" spans="5:5" x14ac:dyDescent="0.35">
      <c r="E147" s="33"/>
    </row>
    <row r="148" spans="5:5" x14ac:dyDescent="0.35">
      <c r="E148" s="33"/>
    </row>
    <row r="149" spans="5:5" x14ac:dyDescent="0.35">
      <c r="E149" s="33"/>
    </row>
    <row r="150" spans="5:5" x14ac:dyDescent="0.35">
      <c r="E150" s="33"/>
    </row>
    <row r="151" spans="5:5" x14ac:dyDescent="0.35">
      <c r="E151" s="33"/>
    </row>
    <row r="152" spans="5:5" x14ac:dyDescent="0.35">
      <c r="E152" s="33"/>
    </row>
    <row r="153" spans="5:5" x14ac:dyDescent="0.35">
      <c r="E153" s="33"/>
    </row>
    <row r="154" spans="5:5" x14ac:dyDescent="0.35">
      <c r="E154" s="33"/>
    </row>
    <row r="155" spans="5:5" x14ac:dyDescent="0.35">
      <c r="E155" s="33"/>
    </row>
    <row r="156" spans="5:5" x14ac:dyDescent="0.35">
      <c r="E156" s="33"/>
    </row>
    <row r="157" spans="5:5" x14ac:dyDescent="0.35">
      <c r="E157" s="33"/>
    </row>
    <row r="158" spans="5:5" x14ac:dyDescent="0.35">
      <c r="E158" s="33"/>
    </row>
    <row r="159" spans="5:5" x14ac:dyDescent="0.35">
      <c r="E159" s="33"/>
    </row>
    <row r="160" spans="5:5" x14ac:dyDescent="0.35">
      <c r="E160" s="33"/>
    </row>
    <row r="161" spans="2:5" x14ac:dyDescent="0.35">
      <c r="E161" s="33"/>
    </row>
    <row r="162" spans="2:5" x14ac:dyDescent="0.35">
      <c r="E162" s="33"/>
    </row>
    <row r="163" spans="2:5" x14ac:dyDescent="0.35">
      <c r="E163" s="33"/>
    </row>
    <row r="164" spans="2:5" x14ac:dyDescent="0.35">
      <c r="E164" s="33"/>
    </row>
    <row r="165" spans="2:5" x14ac:dyDescent="0.35">
      <c r="E165" s="33"/>
    </row>
    <row r="166" spans="2:5" x14ac:dyDescent="0.35">
      <c r="E166" s="33"/>
    </row>
    <row r="167" spans="2:5" x14ac:dyDescent="0.35">
      <c r="E167" s="33"/>
    </row>
    <row r="168" spans="2:5" x14ac:dyDescent="0.35">
      <c r="E168" s="33"/>
    </row>
    <row r="169" spans="2:5" x14ac:dyDescent="0.35">
      <c r="E169" s="33"/>
    </row>
    <row r="170" spans="2:5" x14ac:dyDescent="0.35">
      <c r="E170" s="33"/>
    </row>
    <row r="171" spans="2:5" x14ac:dyDescent="0.35">
      <c r="E171" s="33"/>
    </row>
    <row r="172" spans="2:5" x14ac:dyDescent="0.35">
      <c r="E172" s="33"/>
    </row>
    <row r="173" spans="2:5" x14ac:dyDescent="0.35">
      <c r="E173" s="33"/>
    </row>
    <row r="174" spans="2:5" x14ac:dyDescent="0.35">
      <c r="B174" s="100"/>
      <c r="C174" s="101"/>
      <c r="D174" s="33"/>
      <c r="E174" s="33"/>
    </row>
    <row r="175" spans="2:5" x14ac:dyDescent="0.35">
      <c r="B175" s="303"/>
      <c r="C175" s="304"/>
      <c r="D175" s="171"/>
      <c r="E175" s="171"/>
    </row>
    <row r="176" spans="2:5" x14ac:dyDescent="0.35">
      <c r="B176" s="100"/>
      <c r="C176" s="101"/>
      <c r="D176" s="33"/>
    </row>
    <row r="177" spans="2:4" x14ac:dyDescent="0.35">
      <c r="B177" s="100"/>
      <c r="C177" s="101"/>
      <c r="D177" s="33"/>
    </row>
    <row r="178" spans="2:4" x14ac:dyDescent="0.35">
      <c r="B178" s="100"/>
      <c r="C178" s="101"/>
      <c r="D178" s="33"/>
    </row>
    <row r="179" spans="2:4" x14ac:dyDescent="0.35">
      <c r="B179" s="100"/>
      <c r="C179" s="101"/>
      <c r="D179" s="33"/>
    </row>
    <row r="180" spans="2:4" x14ac:dyDescent="0.35">
      <c r="B180" s="100"/>
      <c r="C180" s="101"/>
      <c r="D180" s="33"/>
    </row>
  </sheetData>
  <mergeCells count="46">
    <mergeCell ref="D39:AD39"/>
    <mergeCell ref="D2:AD2"/>
    <mergeCell ref="D3:AD3"/>
    <mergeCell ref="D4:AD4"/>
    <mergeCell ref="D37:AD37"/>
    <mergeCell ref="D38:AD38"/>
    <mergeCell ref="BA44:BD44"/>
    <mergeCell ref="D40:AD40"/>
    <mergeCell ref="E44:H44"/>
    <mergeCell ref="I44:L44"/>
    <mergeCell ref="M44:P44"/>
    <mergeCell ref="Q44:T44"/>
    <mergeCell ref="U44:X44"/>
    <mergeCell ref="Y44:AB44"/>
    <mergeCell ref="AC44:AF44"/>
    <mergeCell ref="AG44:AJ44"/>
    <mergeCell ref="AK44:AN44"/>
    <mergeCell ref="AO44:AR44"/>
    <mergeCell ref="AS44:AV44"/>
    <mergeCell ref="AW44:AZ44"/>
    <mergeCell ref="CC44:CF44"/>
    <mergeCell ref="CG44:CJ44"/>
    <mergeCell ref="B69:E69"/>
    <mergeCell ref="F69:I69"/>
    <mergeCell ref="J69:M69"/>
    <mergeCell ref="N69:Q69"/>
    <mergeCell ref="R69:U69"/>
    <mergeCell ref="V69:Y69"/>
    <mergeCell ref="Z69:AC69"/>
    <mergeCell ref="AD69:AG69"/>
    <mergeCell ref="BE44:BH44"/>
    <mergeCell ref="BI44:BL44"/>
    <mergeCell ref="BM44:BP44"/>
    <mergeCell ref="BQ44:BT44"/>
    <mergeCell ref="BU44:BX44"/>
    <mergeCell ref="BY44:CB44"/>
    <mergeCell ref="BF69:BI69"/>
    <mergeCell ref="BJ69:BM69"/>
    <mergeCell ref="BN69:BQ69"/>
    <mergeCell ref="BR69:CC69"/>
    <mergeCell ref="AH69:AK69"/>
    <mergeCell ref="AL69:AO69"/>
    <mergeCell ref="AP69:AS69"/>
    <mergeCell ref="AT69:AW69"/>
    <mergeCell ref="AX69:BA69"/>
    <mergeCell ref="BB69:BE69"/>
  </mergeCells>
  <pageMargins left="0.74803149606299202" right="0.74803149606299202" top="0.98425196850393704" bottom="0.98425196850393704" header="0.511811023622047" footer="0.511811023622047"/>
  <pageSetup paperSize="9" scale="7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249977111117893"/>
    <pageSetUpPr fitToPage="1"/>
  </sheetPr>
  <dimension ref="A1:AF60"/>
  <sheetViews>
    <sheetView showGridLines="0" view="pageBreakPreview" zoomScaleNormal="100" zoomScaleSheetLayoutView="100" workbookViewId="0">
      <selection activeCell="Y27" sqref="Y27"/>
    </sheetView>
  </sheetViews>
  <sheetFormatPr defaultColWidth="9.1796875" defaultRowHeight="12" x14ac:dyDescent="0.3"/>
  <cols>
    <col min="1" max="1" width="3.81640625" style="3880" customWidth="1"/>
    <col min="2" max="2" width="9.54296875" style="3881" customWidth="1"/>
    <col min="3" max="3" width="3" style="3881" bestFit="1" customWidth="1"/>
    <col min="4" max="4" width="18" style="3516" bestFit="1" customWidth="1"/>
    <col min="5" max="17" width="7.453125" style="3516" customWidth="1"/>
    <col min="18" max="20" width="7.54296875" style="3516" bestFit="1" customWidth="1"/>
    <col min="21" max="21" width="7.1796875" style="3516" customWidth="1"/>
    <col min="22" max="22" width="7.81640625" style="3516" customWidth="1"/>
    <col min="23" max="23" width="7.1796875" style="3516" customWidth="1"/>
    <col min="24" max="24" width="8.1796875" style="3516" customWidth="1"/>
    <col min="25" max="25" width="7.453125" style="3516" customWidth="1"/>
    <col min="26" max="26" width="7.1796875" style="3516" customWidth="1"/>
    <col min="27" max="27" width="7.81640625" style="3516" customWidth="1"/>
    <col min="28" max="28" width="8.1796875" style="3516" customWidth="1"/>
    <col min="29" max="29" width="7.453125" style="3516" bestFit="1" customWidth="1"/>
    <col min="30" max="30" width="7.81640625" style="3516" customWidth="1"/>
    <col min="31" max="16384" width="9.1796875" style="3516"/>
  </cols>
  <sheetData>
    <row r="1" spans="1:32" ht="13" x14ac:dyDescent="0.3">
      <c r="A1" s="3423"/>
      <c r="B1" s="3833"/>
      <c r="C1" s="3833"/>
      <c r="D1" s="3834"/>
      <c r="E1" s="3834"/>
      <c r="F1" s="3834"/>
      <c r="G1" s="3834"/>
      <c r="H1" s="3834"/>
      <c r="I1" s="3834"/>
      <c r="J1" s="3834"/>
      <c r="K1" s="3834"/>
      <c r="L1" s="3834"/>
      <c r="M1" s="3834"/>
      <c r="N1" s="3834"/>
      <c r="O1" s="3834"/>
      <c r="P1" s="3834"/>
      <c r="Q1" s="3834"/>
      <c r="R1" s="3834"/>
      <c r="S1" s="3834"/>
      <c r="T1" s="3835"/>
      <c r="U1" s="3835"/>
      <c r="V1" s="3835"/>
      <c r="W1" s="3835"/>
      <c r="X1" s="3835"/>
      <c r="Y1" s="3835"/>
      <c r="Z1" s="3835"/>
      <c r="AA1" s="3835"/>
      <c r="AB1" s="3835"/>
      <c r="AC1" s="3835"/>
    </row>
    <row r="2" spans="1:32" ht="14.5" customHeight="1" x14ac:dyDescent="0.3">
      <c r="A2" s="3423">
        <v>1</v>
      </c>
      <c r="B2" s="3423" t="s">
        <v>0</v>
      </c>
      <c r="C2" s="3423">
        <v>70</v>
      </c>
      <c r="D2" s="4642" t="s">
        <v>1565</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4"/>
    </row>
    <row r="3" spans="1:32" ht="13" x14ac:dyDescent="0.3">
      <c r="A3" s="3423">
        <v>2</v>
      </c>
      <c r="B3" s="3423" t="s">
        <v>2</v>
      </c>
      <c r="C3" s="3423"/>
      <c r="D3" s="4642" t="s">
        <v>1566</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4"/>
    </row>
    <row r="4" spans="1:32" ht="15" customHeight="1" x14ac:dyDescent="0.3">
      <c r="A4" s="3423">
        <v>3</v>
      </c>
      <c r="B4" s="3423" t="s">
        <v>4</v>
      </c>
      <c r="C4" s="3423"/>
      <c r="D4" s="4642" t="s">
        <v>1567</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4"/>
      <c r="AE4" s="3836"/>
    </row>
    <row r="5" spans="1:32" ht="15" customHeight="1" x14ac:dyDescent="0.3">
      <c r="A5" s="3423"/>
      <c r="B5" s="3423"/>
      <c r="C5" s="3423"/>
      <c r="D5" s="949"/>
      <c r="E5" s="949"/>
      <c r="F5" s="949"/>
      <c r="G5" s="949"/>
      <c r="H5" s="949"/>
      <c r="I5" s="949"/>
      <c r="J5" s="949"/>
      <c r="K5" s="949"/>
      <c r="L5" s="949"/>
      <c r="M5" s="949"/>
      <c r="N5" s="949"/>
      <c r="O5" s="949"/>
      <c r="P5" s="949"/>
      <c r="Q5" s="949"/>
      <c r="R5" s="949"/>
      <c r="S5" s="949"/>
      <c r="T5" s="949"/>
      <c r="U5" s="949"/>
      <c r="V5" s="949"/>
      <c r="W5" s="949"/>
      <c r="X5" s="949"/>
      <c r="Y5" s="949"/>
      <c r="Z5" s="949"/>
      <c r="AA5" s="949"/>
      <c r="AB5" s="949"/>
      <c r="AC5" s="949"/>
      <c r="AE5" s="3836"/>
    </row>
    <row r="6" spans="1:32" ht="13" x14ac:dyDescent="0.3">
      <c r="A6" s="3423">
        <v>4</v>
      </c>
      <c r="B6" s="1192" t="s">
        <v>6</v>
      </c>
      <c r="C6" s="1192"/>
      <c r="D6" s="3835"/>
      <c r="E6" s="3835"/>
      <c r="F6" s="3837"/>
      <c r="G6" s="3837"/>
      <c r="H6" s="3837"/>
      <c r="I6" s="3837"/>
      <c r="J6" s="3837"/>
      <c r="K6" s="3837"/>
      <c r="L6" s="3837"/>
      <c r="M6" s="3837"/>
      <c r="N6" s="3837"/>
      <c r="O6" s="3837"/>
      <c r="P6" s="3837"/>
      <c r="Q6" s="3837"/>
      <c r="R6" s="3837"/>
      <c r="S6" s="3837"/>
      <c r="T6" s="3837"/>
      <c r="U6" s="3837"/>
      <c r="V6" s="3837"/>
      <c r="W6" s="3835"/>
      <c r="X6" s="3835"/>
      <c r="Y6" s="3835"/>
      <c r="Z6" s="3835"/>
      <c r="AA6" s="3835"/>
      <c r="AB6" s="3835"/>
      <c r="AC6" s="3835"/>
    </row>
    <row r="7" spans="1:32" s="3848" customFormat="1" ht="13" x14ac:dyDescent="0.3">
      <c r="A7" s="3838"/>
      <c r="B7" s="3838"/>
      <c r="C7" s="3838"/>
      <c r="D7" s="3839" t="s">
        <v>85</v>
      </c>
      <c r="E7" s="3840"/>
      <c r="F7" s="3841" t="s">
        <v>1568</v>
      </c>
      <c r="G7" s="3842"/>
      <c r="H7" s="3842"/>
      <c r="I7" s="3843"/>
      <c r="J7" s="3843"/>
      <c r="K7" s="3843"/>
      <c r="L7" s="3843"/>
      <c r="M7" s="3844"/>
      <c r="N7" s="3845"/>
      <c r="O7" s="3845"/>
      <c r="P7" s="3845"/>
      <c r="Q7" s="3845"/>
      <c r="R7" s="3846"/>
      <c r="S7" s="3847"/>
      <c r="T7" s="3847"/>
      <c r="U7" s="3847"/>
      <c r="V7" s="3847"/>
      <c r="W7" s="3847"/>
      <c r="X7" s="3847"/>
      <c r="Y7" s="3847"/>
      <c r="Z7" s="4493"/>
      <c r="AA7" s="4494"/>
      <c r="AB7" s="4494"/>
      <c r="AC7" s="4494"/>
      <c r="AD7" s="4495"/>
      <c r="AE7" s="4495"/>
    </row>
    <row r="8" spans="1:32" ht="12.75" customHeight="1" x14ac:dyDescent="0.3">
      <c r="A8" s="3423"/>
      <c r="B8" s="3833"/>
      <c r="C8" s="3833"/>
      <c r="D8" s="3849"/>
      <c r="E8" s="3520" t="s">
        <v>102</v>
      </c>
      <c r="F8" s="3520" t="s">
        <v>103</v>
      </c>
      <c r="G8" s="3520" t="s">
        <v>104</v>
      </c>
      <c r="H8" s="3520" t="s">
        <v>105</v>
      </c>
      <c r="I8" s="3520" t="s">
        <v>106</v>
      </c>
      <c r="J8" s="3520" t="s">
        <v>107</v>
      </c>
      <c r="K8" s="3521" t="s">
        <v>108</v>
      </c>
      <c r="L8" s="3520" t="s">
        <v>109</v>
      </c>
      <c r="M8" s="3520" t="s">
        <v>110</v>
      </c>
      <c r="N8" s="3520" t="s">
        <v>111</v>
      </c>
      <c r="O8" s="3520" t="s">
        <v>112</v>
      </c>
      <c r="P8" s="3520" t="s">
        <v>113</v>
      </c>
      <c r="Q8" s="3520" t="s">
        <v>114</v>
      </c>
      <c r="R8" s="3520" t="s">
        <v>115</v>
      </c>
      <c r="S8" s="3520" t="s">
        <v>116</v>
      </c>
      <c r="T8" s="3520" t="s">
        <v>117</v>
      </c>
      <c r="U8" s="3522" t="s">
        <v>118</v>
      </c>
      <c r="V8" s="3522" t="s">
        <v>119</v>
      </c>
      <c r="W8" s="3522" t="s">
        <v>120</v>
      </c>
      <c r="X8" s="3522" t="s">
        <v>121</v>
      </c>
      <c r="Y8" s="3522" t="s">
        <v>122</v>
      </c>
      <c r="Z8" s="3522" t="s">
        <v>123</v>
      </c>
      <c r="AA8" s="3522" t="s">
        <v>124</v>
      </c>
      <c r="AB8" s="3522" t="s">
        <v>125</v>
      </c>
      <c r="AC8" s="3522" t="s">
        <v>126</v>
      </c>
      <c r="AD8" s="3522" t="s">
        <v>302</v>
      </c>
      <c r="AE8" s="4496"/>
    </row>
    <row r="9" spans="1:32" s="3855" customFormat="1" ht="18.75" customHeight="1" x14ac:dyDescent="0.3">
      <c r="A9" s="3850"/>
      <c r="B9" s="3851"/>
      <c r="C9" s="3851"/>
      <c r="D9" s="3852" t="s">
        <v>1569</v>
      </c>
      <c r="E9" s="3853">
        <v>91853</v>
      </c>
      <c r="F9" s="3853">
        <v>86708</v>
      </c>
      <c r="G9" s="3853">
        <v>88885</v>
      </c>
      <c r="H9" s="3853">
        <v>97504</v>
      </c>
      <c r="I9" s="3853">
        <v>95835</v>
      </c>
      <c r="J9" s="3853">
        <v>99692</v>
      </c>
      <c r="K9" s="3853">
        <v>109072</v>
      </c>
      <c r="L9" s="3853">
        <v>115897</v>
      </c>
      <c r="M9" s="3853">
        <v>125322</v>
      </c>
      <c r="N9" s="3853">
        <v>130940</v>
      </c>
      <c r="O9" s="3853">
        <v>134487</v>
      </c>
      <c r="P9" s="3853">
        <v>122410</v>
      </c>
      <c r="Q9" s="3853">
        <v>113711</v>
      </c>
      <c r="R9" s="3853">
        <v>111230</v>
      </c>
      <c r="S9" s="3853">
        <v>109877</v>
      </c>
      <c r="T9" s="3853">
        <v>114972</v>
      </c>
      <c r="U9" s="3853">
        <f>2625+110714</f>
        <v>113339</v>
      </c>
      <c r="V9" s="3853">
        <f>2735+110309</f>
        <v>113044</v>
      </c>
      <c r="W9" s="3853">
        <f>2392+102486</f>
        <v>104878</v>
      </c>
      <c r="X9" s="3853">
        <f>2490+105206</f>
        <v>107696</v>
      </c>
      <c r="Y9" s="3854">
        <v>115064</v>
      </c>
      <c r="Z9" s="3853">
        <v>116727</v>
      </c>
      <c r="AA9" s="3853">
        <v>117255</v>
      </c>
      <c r="AB9" s="3853">
        <v>117878</v>
      </c>
      <c r="AC9" s="3853">
        <v>115147</v>
      </c>
      <c r="AD9" s="3853">
        <v>102841</v>
      </c>
      <c r="AE9" s="4491"/>
    </row>
    <row r="10" spans="1:32" s="3855" customFormat="1" ht="12.75" customHeight="1" x14ac:dyDescent="0.3">
      <c r="A10" s="3850"/>
      <c r="B10" s="3851"/>
      <c r="C10" s="3851"/>
      <c r="D10" s="3856" t="s">
        <v>1570</v>
      </c>
      <c r="E10" s="3857">
        <v>22021</v>
      </c>
      <c r="F10" s="3857">
        <v>23412</v>
      </c>
      <c r="G10" s="3858">
        <v>29514</v>
      </c>
      <c r="H10" s="3858">
        <v>36698</v>
      </c>
      <c r="I10" s="3857">
        <v>45607</v>
      </c>
      <c r="J10" s="3858">
        <v>54884</v>
      </c>
      <c r="K10" s="3857">
        <v>57262</v>
      </c>
      <c r="L10" s="3858">
        <v>53662</v>
      </c>
      <c r="M10" s="3857">
        <v>53996</v>
      </c>
      <c r="N10" s="3857">
        <v>53901</v>
      </c>
      <c r="O10" s="3857">
        <v>51020</v>
      </c>
      <c r="P10" s="3857">
        <v>46971</v>
      </c>
      <c r="Q10" s="3857">
        <v>44884</v>
      </c>
      <c r="R10" s="3857">
        <v>47595</v>
      </c>
      <c r="S10" s="3858">
        <v>49150</v>
      </c>
      <c r="T10" s="3858">
        <v>47602</v>
      </c>
      <c r="U10" s="3858">
        <f>963+46794</f>
        <v>47757</v>
      </c>
      <c r="V10" s="3858">
        <f>1030+44868</f>
        <v>45898</v>
      </c>
      <c r="W10" s="3858">
        <f>988+44742</f>
        <v>45730</v>
      </c>
      <c r="X10" s="3858">
        <f>1005+43853</f>
        <v>44858</v>
      </c>
      <c r="Y10" s="3859">
        <v>42077</v>
      </c>
      <c r="Z10" s="3858">
        <v>45257</v>
      </c>
      <c r="AA10" s="3858">
        <v>43799</v>
      </c>
      <c r="AB10" s="3858">
        <v>42705</v>
      </c>
      <c r="AC10" s="3858">
        <v>47728</v>
      </c>
      <c r="AD10" s="3858">
        <v>51596</v>
      </c>
      <c r="AE10" s="4492"/>
      <c r="AF10" s="3860"/>
    </row>
    <row r="11" spans="1:32" s="3855" customFormat="1" ht="13" x14ac:dyDescent="0.3">
      <c r="A11" s="3850"/>
      <c r="B11" s="3851"/>
      <c r="C11" s="3851"/>
      <c r="D11" s="3861" t="s">
        <v>1571</v>
      </c>
      <c r="E11" s="3853"/>
      <c r="F11" s="3862">
        <f>(F10/F9)*100</f>
        <v>27.000968768741064</v>
      </c>
      <c r="G11" s="3862">
        <f t="shared" ref="G11:AB11" si="0">(G10/G9)*100</f>
        <v>33.204702705743379</v>
      </c>
      <c r="H11" s="3862">
        <f t="shared" si="0"/>
        <v>37.637430259271412</v>
      </c>
      <c r="I11" s="3862">
        <f t="shared" si="0"/>
        <v>47.589085407210305</v>
      </c>
      <c r="J11" s="3862">
        <f t="shared" si="0"/>
        <v>55.053564980138823</v>
      </c>
      <c r="K11" s="3862">
        <f t="shared" si="0"/>
        <v>52.499266539533515</v>
      </c>
      <c r="L11" s="3862">
        <f t="shared" si="0"/>
        <v>46.301457328489953</v>
      </c>
      <c r="M11" s="3862">
        <f t="shared" si="0"/>
        <v>43.08581095099025</v>
      </c>
      <c r="N11" s="3862">
        <f t="shared" si="0"/>
        <v>41.164655567435467</v>
      </c>
      <c r="O11" s="3862">
        <f t="shared" si="0"/>
        <v>37.936752251146949</v>
      </c>
      <c r="P11" s="3862">
        <f t="shared" si="0"/>
        <v>38.371865043705576</v>
      </c>
      <c r="Q11" s="3862">
        <f t="shared" si="0"/>
        <v>39.47199479381942</v>
      </c>
      <c r="R11" s="3862">
        <f t="shared" si="0"/>
        <v>42.789715004944711</v>
      </c>
      <c r="S11" s="3862">
        <f t="shared" si="0"/>
        <v>44.731836508095419</v>
      </c>
      <c r="T11" s="3862">
        <f t="shared" si="0"/>
        <v>41.403124238945132</v>
      </c>
      <c r="U11" s="3862">
        <f t="shared" si="0"/>
        <v>42.136422590635178</v>
      </c>
      <c r="V11" s="3862">
        <f t="shared" si="0"/>
        <v>40.601889529740632</v>
      </c>
      <c r="W11" s="3862">
        <f t="shared" si="0"/>
        <v>43.603043536299317</v>
      </c>
      <c r="X11" s="3862">
        <f t="shared" si="0"/>
        <v>41.652429059575105</v>
      </c>
      <c r="Y11" s="3854">
        <f t="shared" si="0"/>
        <v>36.568344573454773</v>
      </c>
      <c r="Z11" s="3853">
        <f t="shared" si="0"/>
        <v>38.771663796722265</v>
      </c>
      <c r="AA11" s="3853">
        <f t="shared" si="0"/>
        <v>37.353630975224938</v>
      </c>
      <c r="AB11" s="3853">
        <f t="shared" si="0"/>
        <v>36.22813417261915</v>
      </c>
      <c r="AC11" s="3853">
        <f>SUM(AC9:AC10)/118572*100-100</f>
        <v>37.363795837128492</v>
      </c>
      <c r="AD11" s="3853">
        <f>SUM(AD9:AD10)/118572*100-100</f>
        <v>30.247444590628476</v>
      </c>
      <c r="AE11" s="4491"/>
    </row>
    <row r="12" spans="1:32" s="3855" customFormat="1" ht="13" x14ac:dyDescent="0.3">
      <c r="A12" s="3850"/>
      <c r="B12" s="3851"/>
      <c r="C12" s="3851"/>
      <c r="D12" s="3863" t="s">
        <v>1572</v>
      </c>
      <c r="E12" s="3853"/>
      <c r="F12" s="3853">
        <v>634</v>
      </c>
      <c r="G12" s="3864">
        <v>807</v>
      </c>
      <c r="H12" s="3864">
        <v>1059</v>
      </c>
      <c r="I12" s="3853">
        <v>1174</v>
      </c>
      <c r="J12" s="3864">
        <v>1302</v>
      </c>
      <c r="K12" s="3853">
        <v>1370</v>
      </c>
      <c r="L12" s="3864">
        <v>1236</v>
      </c>
      <c r="M12" s="3853">
        <v>1215</v>
      </c>
      <c r="N12" s="3853">
        <v>1159</v>
      </c>
      <c r="O12" s="3853">
        <v>1052</v>
      </c>
      <c r="P12" s="3853">
        <v>969</v>
      </c>
      <c r="Q12" s="3853">
        <v>920</v>
      </c>
      <c r="R12" s="3853">
        <v>961</v>
      </c>
      <c r="S12" s="3864">
        <v>1016</v>
      </c>
      <c r="T12" s="3864">
        <v>1022</v>
      </c>
      <c r="U12" s="3864">
        <f>963+2625</f>
        <v>3588</v>
      </c>
      <c r="V12" s="3864">
        <f>1030+2735</f>
        <v>3765</v>
      </c>
      <c r="W12" s="3864">
        <v>3380</v>
      </c>
      <c r="X12" s="3864">
        <f>1005+2490</f>
        <v>3495</v>
      </c>
      <c r="Y12" s="3865">
        <v>3915</v>
      </c>
      <c r="Z12" s="3864">
        <v>4105</v>
      </c>
      <c r="AA12" s="3864">
        <v>4080</v>
      </c>
      <c r="AB12" s="3864">
        <v>4150</v>
      </c>
      <c r="AC12" s="3864">
        <v>4316</v>
      </c>
      <c r="AD12" s="3864">
        <v>3969</v>
      </c>
      <c r="AE12" s="4491"/>
    </row>
    <row r="13" spans="1:32" s="3855" customFormat="1" ht="13" x14ac:dyDescent="0.3">
      <c r="A13" s="3850"/>
      <c r="B13" s="3851"/>
      <c r="C13" s="3851"/>
      <c r="D13" s="3866" t="s">
        <v>1573</v>
      </c>
      <c r="E13" s="3857"/>
      <c r="F13" s="3857">
        <v>22976</v>
      </c>
      <c r="G13" s="3858">
        <v>29257</v>
      </c>
      <c r="H13" s="3858">
        <v>36060</v>
      </c>
      <c r="I13" s="3857">
        <v>45264</v>
      </c>
      <c r="J13" s="3858">
        <v>54029</v>
      </c>
      <c r="K13" s="3857">
        <v>56184</v>
      </c>
      <c r="L13" s="3858">
        <v>52368</v>
      </c>
      <c r="M13" s="3857">
        <v>52686</v>
      </c>
      <c r="N13" s="3857">
        <v>52832</v>
      </c>
      <c r="O13" s="3857">
        <v>50096</v>
      </c>
      <c r="P13" s="3857">
        <v>46274</v>
      </c>
      <c r="Q13" s="3857">
        <v>44087</v>
      </c>
      <c r="R13" s="3857">
        <v>47735</v>
      </c>
      <c r="S13" s="3858">
        <v>48756</v>
      </c>
      <c r="T13" s="3858">
        <v>47185</v>
      </c>
      <c r="U13" s="3858">
        <f>46794+110714</f>
        <v>157508</v>
      </c>
      <c r="V13" s="3858">
        <f>44868+110309</f>
        <v>155177</v>
      </c>
      <c r="W13" s="3858">
        <v>150608</v>
      </c>
      <c r="X13" s="3858">
        <v>149058</v>
      </c>
      <c r="Y13" s="3859">
        <v>153226</v>
      </c>
      <c r="Z13" s="3858">
        <v>155226</v>
      </c>
      <c r="AA13" s="3858">
        <v>156200</v>
      </c>
      <c r="AB13" s="3858">
        <v>156433</v>
      </c>
      <c r="AC13" s="3858">
        <v>158559</v>
      </c>
      <c r="AD13" s="3858">
        <v>150468</v>
      </c>
      <c r="AE13" s="4492"/>
      <c r="AF13" s="3860"/>
    </row>
    <row r="14" spans="1:32" ht="13" x14ac:dyDescent="0.3">
      <c r="A14" s="3867"/>
      <c r="B14" s="3868"/>
      <c r="C14" s="3868"/>
      <c r="D14" s="3869"/>
      <c r="E14" s="3869"/>
      <c r="F14" s="3869"/>
      <c r="G14" s="3869"/>
      <c r="H14" s="3869"/>
      <c r="I14" s="3869"/>
      <c r="J14" s="3869"/>
      <c r="K14" s="3869"/>
      <c r="L14" s="3869"/>
      <c r="M14" s="3869"/>
      <c r="N14" s="3869"/>
      <c r="O14" s="3869"/>
      <c r="P14" s="3869"/>
      <c r="Q14" s="3869"/>
      <c r="R14" s="3869"/>
      <c r="S14" s="3869"/>
      <c r="T14" s="3869"/>
      <c r="U14" s="3870"/>
      <c r="V14" s="3870"/>
      <c r="W14" s="3870"/>
      <c r="X14" s="3870"/>
      <c r="Y14" s="3871"/>
      <c r="Z14" s="3870"/>
      <c r="AA14" s="3870"/>
      <c r="AB14" s="3870"/>
      <c r="AC14" s="3870"/>
      <c r="AD14" s="4491"/>
      <c r="AE14" s="4496"/>
    </row>
    <row r="15" spans="1:32" ht="12.75" hidden="1" customHeight="1" x14ac:dyDescent="0.3">
      <c r="A15" s="3423"/>
      <c r="B15" s="3833"/>
      <c r="C15" s="3833"/>
      <c r="D15" s="3872"/>
      <c r="E15" s="3872"/>
      <c r="F15" s="3873"/>
      <c r="G15" s="3873"/>
      <c r="H15" s="3873"/>
      <c r="I15" s="3873"/>
      <c r="J15" s="3873"/>
      <c r="K15" s="3873"/>
      <c r="L15" s="3873"/>
      <c r="M15" s="3873"/>
      <c r="N15" s="3873"/>
      <c r="O15" s="3873"/>
      <c r="P15" s="3873"/>
      <c r="Q15" s="3873"/>
      <c r="R15" s="3873"/>
      <c r="S15" s="3873"/>
      <c r="T15" s="3874"/>
      <c r="U15" s="3870"/>
      <c r="V15" s="3870"/>
      <c r="W15" s="3870"/>
      <c r="X15" s="3870"/>
      <c r="Y15" s="3871"/>
      <c r="Z15" s="3870"/>
      <c r="AA15" s="3870"/>
      <c r="AB15" s="3870"/>
      <c r="AC15" s="3870"/>
      <c r="AD15" s="4491"/>
      <c r="AE15" s="4496"/>
    </row>
    <row r="16" spans="1:32" ht="12.75" hidden="1" customHeight="1" x14ac:dyDescent="0.3">
      <c r="A16" s="3423"/>
      <c r="B16" s="3833"/>
      <c r="C16" s="3833"/>
      <c r="D16" s="3872"/>
      <c r="E16" s="3872"/>
      <c r="F16" s="3873"/>
      <c r="G16" s="3873"/>
      <c r="H16" s="3873"/>
      <c r="I16" s="3873"/>
      <c r="J16" s="3873"/>
      <c r="K16" s="3873"/>
      <c r="L16" s="3873"/>
      <c r="M16" s="3873"/>
      <c r="N16" s="3873"/>
      <c r="O16" s="3873"/>
      <c r="P16" s="3873"/>
      <c r="Q16" s="3873"/>
      <c r="R16" s="3873"/>
      <c r="S16" s="3873"/>
      <c r="T16" s="3874"/>
      <c r="U16" s="3870"/>
      <c r="V16" s="3870"/>
      <c r="W16" s="3870"/>
      <c r="X16" s="3870"/>
      <c r="Y16" s="3871"/>
      <c r="Z16" s="3870"/>
      <c r="AA16" s="3870"/>
      <c r="AB16" s="3870"/>
      <c r="AC16" s="3870"/>
      <c r="AD16" s="4491"/>
      <c r="AE16" s="4496"/>
    </row>
    <row r="17" spans="1:31" ht="12.75" hidden="1" customHeight="1" x14ac:dyDescent="0.3">
      <c r="A17" s="3423"/>
      <c r="B17" s="3833"/>
      <c r="C17" s="3833"/>
      <c r="D17" s="3872"/>
      <c r="E17" s="3872"/>
      <c r="F17" s="3873"/>
      <c r="G17" s="3873"/>
      <c r="H17" s="3873"/>
      <c r="I17" s="3873"/>
      <c r="J17" s="3873"/>
      <c r="K17" s="3873"/>
      <c r="L17" s="3873"/>
      <c r="M17" s="3873"/>
      <c r="N17" s="3873"/>
      <c r="O17" s="3873"/>
      <c r="P17" s="3873"/>
      <c r="Q17" s="3873"/>
      <c r="R17" s="3873"/>
      <c r="S17" s="3873"/>
      <c r="T17" s="3874"/>
      <c r="U17" s="3870"/>
      <c r="V17" s="3870"/>
      <c r="W17" s="3870"/>
      <c r="X17" s="3870"/>
      <c r="Y17" s="3871"/>
      <c r="Z17" s="3870"/>
      <c r="AA17" s="3870"/>
      <c r="AB17" s="3870"/>
      <c r="AC17" s="3870"/>
      <c r="AD17" s="4491"/>
      <c r="AE17" s="4496"/>
    </row>
    <row r="18" spans="1:31" ht="12.75" hidden="1" customHeight="1" x14ac:dyDescent="0.3">
      <c r="A18" s="3423"/>
      <c r="B18" s="3833"/>
      <c r="C18" s="3833"/>
      <c r="D18" s="3872"/>
      <c r="E18" s="3872"/>
      <c r="F18" s="3873"/>
      <c r="G18" s="3873"/>
      <c r="H18" s="3873"/>
      <c r="I18" s="3873"/>
      <c r="J18" s="3873"/>
      <c r="K18" s="3873"/>
      <c r="L18" s="3873"/>
      <c r="M18" s="3873"/>
      <c r="N18" s="3873"/>
      <c r="O18" s="3873"/>
      <c r="P18" s="3873"/>
      <c r="Q18" s="3873"/>
      <c r="R18" s="3873"/>
      <c r="S18" s="3873"/>
      <c r="T18" s="3874"/>
      <c r="U18" s="3870"/>
      <c r="V18" s="3870"/>
      <c r="W18" s="3870"/>
      <c r="X18" s="3870"/>
      <c r="Y18" s="3871"/>
      <c r="Z18" s="3870"/>
      <c r="AA18" s="3870"/>
      <c r="AB18" s="3870"/>
      <c r="AC18" s="3870"/>
      <c r="AD18" s="4491"/>
      <c r="AE18" s="4496"/>
    </row>
    <row r="19" spans="1:31" ht="12.75" hidden="1" customHeight="1" x14ac:dyDescent="0.3">
      <c r="A19" s="3423"/>
      <c r="B19" s="3833"/>
      <c r="C19" s="3833"/>
      <c r="D19" s="3872"/>
      <c r="E19" s="3872"/>
      <c r="F19" s="3873"/>
      <c r="G19" s="3873"/>
      <c r="H19" s="3873"/>
      <c r="I19" s="3873"/>
      <c r="J19" s="3873"/>
      <c r="K19" s="3873"/>
      <c r="L19" s="3873"/>
      <c r="M19" s="3873"/>
      <c r="N19" s="3873"/>
      <c r="O19" s="3873"/>
      <c r="P19" s="3873"/>
      <c r="Q19" s="3873"/>
      <c r="R19" s="3873"/>
      <c r="S19" s="3873"/>
      <c r="T19" s="3874"/>
      <c r="U19" s="3870"/>
      <c r="V19" s="3870"/>
      <c r="W19" s="3870"/>
      <c r="X19" s="3870"/>
      <c r="Y19" s="3871"/>
      <c r="Z19" s="3870"/>
      <c r="AA19" s="3870"/>
      <c r="AB19" s="3870"/>
      <c r="AC19" s="3870"/>
      <c r="AD19" s="4491"/>
      <c r="AE19" s="4496"/>
    </row>
    <row r="20" spans="1:31" ht="12.75" hidden="1" customHeight="1" x14ac:dyDescent="0.3">
      <c r="A20" s="3423"/>
      <c r="B20" s="3833"/>
      <c r="C20" s="3833"/>
      <c r="D20" s="3872"/>
      <c r="E20" s="3872"/>
      <c r="F20" s="3873"/>
      <c r="G20" s="3873"/>
      <c r="H20" s="3873"/>
      <c r="I20" s="3873"/>
      <c r="J20" s="3873"/>
      <c r="K20" s="3873"/>
      <c r="L20" s="3873"/>
      <c r="M20" s="3873"/>
      <c r="N20" s="3873"/>
      <c r="O20" s="3873"/>
      <c r="P20" s="3873"/>
      <c r="Q20" s="3873"/>
      <c r="R20" s="3873"/>
      <c r="S20" s="3873"/>
      <c r="T20" s="3874"/>
      <c r="U20" s="3870"/>
      <c r="V20" s="3870"/>
      <c r="W20" s="3870"/>
      <c r="X20" s="3870"/>
      <c r="Y20" s="3871"/>
      <c r="Z20" s="3870"/>
      <c r="AA20" s="3870"/>
      <c r="AB20" s="3870"/>
      <c r="AC20" s="3870"/>
      <c r="AD20" s="4491"/>
      <c r="AE20" s="4496"/>
    </row>
    <row r="21" spans="1:31" ht="12.75" hidden="1" customHeight="1" x14ac:dyDescent="0.3">
      <c r="A21" s="3423"/>
      <c r="B21" s="3833"/>
      <c r="C21" s="3833"/>
      <c r="D21" s="3872"/>
      <c r="E21" s="3872"/>
      <c r="F21" s="3873"/>
      <c r="G21" s="3873"/>
      <c r="H21" s="3873"/>
      <c r="I21" s="3873"/>
      <c r="J21" s="3873"/>
      <c r="K21" s="3873"/>
      <c r="L21" s="3873"/>
      <c r="M21" s="3873"/>
      <c r="N21" s="3873"/>
      <c r="O21" s="3873"/>
      <c r="P21" s="3873"/>
      <c r="Q21" s="3873"/>
      <c r="R21" s="3873"/>
      <c r="S21" s="3873"/>
      <c r="T21" s="3874"/>
      <c r="U21" s="3870"/>
      <c r="V21" s="3870"/>
      <c r="W21" s="3870"/>
      <c r="X21" s="3870"/>
      <c r="Y21" s="3871"/>
      <c r="Z21" s="3870"/>
      <c r="AA21" s="3870"/>
      <c r="AB21" s="3870"/>
      <c r="AC21" s="3870"/>
      <c r="AD21" s="4491"/>
      <c r="AE21" s="4496"/>
    </row>
    <row r="22" spans="1:31" ht="12.75" hidden="1" customHeight="1" x14ac:dyDescent="0.3">
      <c r="A22" s="3423"/>
      <c r="B22" s="3833"/>
      <c r="C22" s="3833"/>
      <c r="D22" s="3872"/>
      <c r="E22" s="3872"/>
      <c r="F22" s="3873"/>
      <c r="G22" s="3873"/>
      <c r="H22" s="3873"/>
      <c r="I22" s="3873"/>
      <c r="J22" s="3873"/>
      <c r="K22" s="3873"/>
      <c r="L22" s="3873"/>
      <c r="M22" s="3873"/>
      <c r="N22" s="3873"/>
      <c r="O22" s="3873"/>
      <c r="P22" s="3873"/>
      <c r="Q22" s="3873"/>
      <c r="R22" s="3873"/>
      <c r="S22" s="3873"/>
      <c r="T22" s="3874"/>
      <c r="U22" s="3870"/>
      <c r="V22" s="3870"/>
      <c r="W22" s="3870"/>
      <c r="X22" s="3870"/>
      <c r="Y22" s="3871"/>
      <c r="Z22" s="3870"/>
      <c r="AA22" s="3870"/>
      <c r="AB22" s="3870"/>
      <c r="AC22" s="3870"/>
      <c r="AD22" s="4491"/>
      <c r="AE22" s="4496"/>
    </row>
    <row r="23" spans="1:31" ht="12.75" hidden="1" customHeight="1" x14ac:dyDescent="0.3">
      <c r="A23" s="3423"/>
      <c r="B23" s="3833"/>
      <c r="C23" s="3833"/>
      <c r="D23" s="3872"/>
      <c r="E23" s="3872"/>
      <c r="F23" s="3873"/>
      <c r="G23" s="3873"/>
      <c r="H23" s="3873"/>
      <c r="I23" s="3873"/>
      <c r="J23" s="3873"/>
      <c r="K23" s="3873"/>
      <c r="L23" s="3873"/>
      <c r="M23" s="3873"/>
      <c r="N23" s="3873"/>
      <c r="O23" s="3873"/>
      <c r="P23" s="3873"/>
      <c r="Q23" s="3873"/>
      <c r="R23" s="3873"/>
      <c r="S23" s="3873"/>
      <c r="T23" s="3874"/>
      <c r="U23" s="3870"/>
      <c r="V23" s="3870"/>
      <c r="W23" s="3870"/>
      <c r="X23" s="3870"/>
      <c r="Y23" s="3871"/>
      <c r="Z23" s="3870"/>
      <c r="AA23" s="3870"/>
      <c r="AB23" s="3870"/>
      <c r="AC23" s="3870"/>
      <c r="AD23" s="4491"/>
      <c r="AE23" s="4496"/>
    </row>
    <row r="24" spans="1:31" ht="12.75" hidden="1" customHeight="1" x14ac:dyDescent="0.3">
      <c r="A24" s="3423"/>
      <c r="B24" s="3833"/>
      <c r="C24" s="3833"/>
      <c r="D24" s="3872"/>
      <c r="E24" s="3872"/>
      <c r="F24" s="3873"/>
      <c r="G24" s="3873"/>
      <c r="H24" s="3873"/>
      <c r="I24" s="3873"/>
      <c r="J24" s="3873"/>
      <c r="K24" s="3873"/>
      <c r="L24" s="3873"/>
      <c r="M24" s="3873"/>
      <c r="N24" s="3873"/>
      <c r="O24" s="3873"/>
      <c r="P24" s="3873"/>
      <c r="Q24" s="3873"/>
      <c r="R24" s="3873"/>
      <c r="S24" s="3873"/>
      <c r="T24" s="3874"/>
      <c r="U24" s="3870"/>
      <c r="V24" s="3870"/>
      <c r="W24" s="3870"/>
      <c r="X24" s="3870"/>
      <c r="Y24" s="3871"/>
      <c r="Z24" s="3870"/>
      <c r="AA24" s="3870"/>
      <c r="AB24" s="3870"/>
      <c r="AC24" s="3870"/>
      <c r="AD24" s="4491"/>
      <c r="AE24" s="4496"/>
    </row>
    <row r="25" spans="1:31" ht="12.75" hidden="1" customHeight="1" x14ac:dyDescent="0.3">
      <c r="A25" s="3423"/>
      <c r="B25" s="3833"/>
      <c r="C25" s="3833"/>
      <c r="D25" s="3872"/>
      <c r="E25" s="3872"/>
      <c r="F25" s="3873"/>
      <c r="G25" s="3873"/>
      <c r="H25" s="3873"/>
      <c r="I25" s="3873"/>
      <c r="J25" s="3873"/>
      <c r="K25" s="3873"/>
      <c r="L25" s="3873"/>
      <c r="M25" s="3873"/>
      <c r="N25" s="3873"/>
      <c r="O25" s="3873"/>
      <c r="P25" s="3873"/>
      <c r="Q25" s="3873"/>
      <c r="R25" s="3873"/>
      <c r="S25" s="3873"/>
      <c r="T25" s="3874"/>
      <c r="U25" s="3870"/>
      <c r="V25" s="3870"/>
      <c r="W25" s="3870"/>
      <c r="X25" s="3870"/>
      <c r="Y25" s="3871"/>
      <c r="Z25" s="3870"/>
      <c r="AA25" s="3870"/>
      <c r="AB25" s="3870"/>
      <c r="AC25" s="3870"/>
      <c r="AD25" s="4491"/>
      <c r="AE25" s="4496"/>
    </row>
    <row r="26" spans="1:31" ht="12.75" hidden="1" customHeight="1" x14ac:dyDescent="0.3">
      <c r="A26" s="3423"/>
      <c r="B26" s="3833"/>
      <c r="C26" s="3833"/>
      <c r="D26" s="3872"/>
      <c r="E26" s="3872"/>
      <c r="F26" s="3873"/>
      <c r="G26" s="3873"/>
      <c r="H26" s="3873"/>
      <c r="I26" s="3873"/>
      <c r="J26" s="3873"/>
      <c r="K26" s="3873"/>
      <c r="L26" s="3873"/>
      <c r="M26" s="3873"/>
      <c r="N26" s="3873"/>
      <c r="O26" s="3873"/>
      <c r="P26" s="3873"/>
      <c r="Q26" s="3873"/>
      <c r="R26" s="3873"/>
      <c r="S26" s="3873"/>
      <c r="T26" s="3874"/>
      <c r="U26" s="3870"/>
      <c r="V26" s="3870"/>
      <c r="W26" s="3870"/>
      <c r="X26" s="3870"/>
      <c r="Y26" s="3871"/>
      <c r="Z26" s="3870"/>
      <c r="AA26" s="3870"/>
      <c r="AB26" s="3870"/>
      <c r="AC26" s="3870"/>
      <c r="AD26" s="4491"/>
      <c r="AE26" s="4496"/>
    </row>
    <row r="27" spans="1:31" ht="12.75" hidden="1" customHeight="1" x14ac:dyDescent="0.3">
      <c r="A27" s="3423"/>
      <c r="B27" s="3833"/>
      <c r="C27" s="3833"/>
      <c r="D27" s="3872"/>
      <c r="E27" s="3872"/>
      <c r="F27" s="3873"/>
      <c r="G27" s="3873"/>
      <c r="H27" s="3873"/>
      <c r="I27" s="3873"/>
      <c r="J27" s="3873"/>
      <c r="K27" s="3873"/>
      <c r="L27" s="3873"/>
      <c r="M27" s="3873"/>
      <c r="N27" s="3873"/>
      <c r="O27" s="3873"/>
      <c r="P27" s="3873"/>
      <c r="Q27" s="3873"/>
      <c r="R27" s="3873"/>
      <c r="S27" s="3873"/>
      <c r="T27" s="3874"/>
      <c r="U27" s="3870"/>
      <c r="V27" s="3870"/>
      <c r="W27" s="3870"/>
      <c r="X27" s="3870"/>
      <c r="Y27" s="3871"/>
      <c r="Z27" s="3870"/>
      <c r="AA27" s="3870"/>
      <c r="AB27" s="3870"/>
      <c r="AC27" s="3870"/>
      <c r="AD27" s="4491"/>
      <c r="AE27" s="4496"/>
    </row>
    <row r="28" spans="1:31" ht="12.75" hidden="1" customHeight="1" x14ac:dyDescent="0.3">
      <c r="A28" s="3423"/>
      <c r="B28" s="3833"/>
      <c r="C28" s="3833"/>
      <c r="D28" s="3872"/>
      <c r="E28" s="3872"/>
      <c r="F28" s="3873"/>
      <c r="G28" s="3873"/>
      <c r="H28" s="3873"/>
      <c r="I28" s="3873"/>
      <c r="J28" s="3873"/>
      <c r="K28" s="3873"/>
      <c r="L28" s="3873"/>
      <c r="M28" s="3873"/>
      <c r="N28" s="3873"/>
      <c r="O28" s="3873"/>
      <c r="P28" s="3873"/>
      <c r="Q28" s="3873"/>
      <c r="R28" s="3873"/>
      <c r="S28" s="3873"/>
      <c r="T28" s="3874"/>
      <c r="U28" s="3870"/>
      <c r="V28" s="3870"/>
      <c r="W28" s="3870"/>
      <c r="X28" s="3870"/>
      <c r="Y28" s="3871"/>
      <c r="Z28" s="3870"/>
      <c r="AA28" s="3870"/>
      <c r="AB28" s="3870"/>
      <c r="AC28" s="3870"/>
      <c r="AD28" s="4491"/>
      <c r="AE28" s="4496"/>
    </row>
    <row r="29" spans="1:31" ht="12.75" hidden="1" customHeight="1" x14ac:dyDescent="0.3">
      <c r="A29" s="3423"/>
      <c r="B29" s="3833"/>
      <c r="C29" s="3833"/>
      <c r="D29" s="3872"/>
      <c r="E29" s="3872"/>
      <c r="F29" s="3873"/>
      <c r="G29" s="3873"/>
      <c r="H29" s="3873"/>
      <c r="I29" s="3873"/>
      <c r="J29" s="3873"/>
      <c r="K29" s="3873"/>
      <c r="L29" s="3873"/>
      <c r="M29" s="3873"/>
      <c r="N29" s="3873"/>
      <c r="O29" s="3873"/>
      <c r="P29" s="3873"/>
      <c r="Q29" s="3873"/>
      <c r="R29" s="3873"/>
      <c r="S29" s="3873"/>
      <c r="T29" s="3874"/>
      <c r="U29" s="3870"/>
      <c r="V29" s="3870"/>
      <c r="W29" s="3870"/>
      <c r="X29" s="3870"/>
      <c r="Y29" s="3871"/>
      <c r="Z29" s="3870"/>
      <c r="AA29" s="3870"/>
      <c r="AB29" s="3870"/>
      <c r="AC29" s="3870"/>
      <c r="AD29" s="4491"/>
      <c r="AE29" s="4496"/>
    </row>
    <row r="30" spans="1:31" ht="12.75" hidden="1" customHeight="1" x14ac:dyDescent="0.3">
      <c r="A30" s="3423"/>
      <c r="B30" s="3833"/>
      <c r="C30" s="3833"/>
      <c r="D30" s="3872"/>
      <c r="E30" s="3872"/>
      <c r="F30" s="3873"/>
      <c r="G30" s="3873"/>
      <c r="H30" s="3873"/>
      <c r="I30" s="3873"/>
      <c r="J30" s="3873"/>
      <c r="K30" s="3873"/>
      <c r="L30" s="3873"/>
      <c r="M30" s="3873"/>
      <c r="N30" s="3873"/>
      <c r="O30" s="3873"/>
      <c r="P30" s="3873"/>
      <c r="Q30" s="3873"/>
      <c r="R30" s="3873"/>
      <c r="S30" s="3873"/>
      <c r="T30" s="3874"/>
      <c r="U30" s="3870"/>
      <c r="V30" s="3870"/>
      <c r="W30" s="3870"/>
      <c r="X30" s="3870"/>
      <c r="Y30" s="3871"/>
      <c r="Z30" s="3870"/>
      <c r="AA30" s="3870"/>
      <c r="AB30" s="3870"/>
      <c r="AC30" s="3870"/>
      <c r="AD30" s="4491"/>
      <c r="AE30" s="4496"/>
    </row>
    <row r="31" spans="1:31" ht="12.75" hidden="1" customHeight="1" x14ac:dyDescent="0.3">
      <c r="A31" s="3423"/>
      <c r="B31" s="3833"/>
      <c r="C31" s="3833"/>
      <c r="D31" s="3872"/>
      <c r="E31" s="3872"/>
      <c r="F31" s="3873"/>
      <c r="G31" s="3873"/>
      <c r="H31" s="3873"/>
      <c r="I31" s="3873"/>
      <c r="J31" s="3873"/>
      <c r="K31" s="3873"/>
      <c r="L31" s="3873"/>
      <c r="M31" s="3873"/>
      <c r="N31" s="3873"/>
      <c r="O31" s="3873"/>
      <c r="P31" s="3873"/>
      <c r="Q31" s="3873"/>
      <c r="R31" s="3873"/>
      <c r="S31" s="3873"/>
      <c r="T31" s="3874"/>
      <c r="U31" s="3870"/>
      <c r="V31" s="3870"/>
      <c r="W31" s="3870"/>
      <c r="X31" s="3870"/>
      <c r="Y31" s="3871"/>
      <c r="Z31" s="3870"/>
      <c r="AA31" s="3870"/>
      <c r="AB31" s="3870"/>
      <c r="AC31" s="3870"/>
      <c r="AD31" s="4491"/>
      <c r="AE31" s="4496"/>
    </row>
    <row r="32" spans="1:31" ht="12.75" hidden="1" customHeight="1" x14ac:dyDescent="0.3">
      <c r="A32" s="3423"/>
      <c r="B32" s="3833"/>
      <c r="C32" s="3833"/>
      <c r="D32" s="3872"/>
      <c r="E32" s="3872"/>
      <c r="F32" s="3873"/>
      <c r="G32" s="3873"/>
      <c r="H32" s="3873"/>
      <c r="I32" s="3873"/>
      <c r="J32" s="3873"/>
      <c r="K32" s="3873"/>
      <c r="L32" s="3873"/>
      <c r="M32" s="3873"/>
      <c r="N32" s="3873"/>
      <c r="O32" s="3873"/>
      <c r="P32" s="3873"/>
      <c r="Q32" s="3873"/>
      <c r="R32" s="3873"/>
      <c r="S32" s="3873"/>
      <c r="T32" s="3874"/>
      <c r="U32" s="3870"/>
      <c r="V32" s="3870"/>
      <c r="W32" s="3870"/>
      <c r="X32" s="3870"/>
      <c r="Y32" s="3871"/>
      <c r="Z32" s="3870"/>
      <c r="AA32" s="3870"/>
      <c r="AB32" s="3870"/>
      <c r="AC32" s="3870"/>
      <c r="AD32" s="4491"/>
      <c r="AE32" s="4496"/>
    </row>
    <row r="33" spans="1:31" ht="12.75" hidden="1" customHeight="1" x14ac:dyDescent="0.3">
      <c r="A33" s="3423"/>
      <c r="B33" s="3833"/>
      <c r="C33" s="3833"/>
      <c r="D33" s="3872"/>
      <c r="E33" s="3872"/>
      <c r="F33" s="3873"/>
      <c r="G33" s="3873"/>
      <c r="H33" s="3873"/>
      <c r="I33" s="3873"/>
      <c r="J33" s="3873"/>
      <c r="K33" s="3873"/>
      <c r="L33" s="3873"/>
      <c r="M33" s="3873"/>
      <c r="N33" s="3873"/>
      <c r="O33" s="3873"/>
      <c r="P33" s="3873"/>
      <c r="Q33" s="3873"/>
      <c r="R33" s="3873"/>
      <c r="S33" s="3873"/>
      <c r="T33" s="3874"/>
      <c r="U33" s="3870"/>
      <c r="V33" s="3870"/>
      <c r="W33" s="3870"/>
      <c r="X33" s="3870"/>
      <c r="Y33" s="3871"/>
      <c r="Z33" s="3870"/>
      <c r="AA33" s="3870"/>
      <c r="AB33" s="3870"/>
      <c r="AC33" s="3870"/>
      <c r="AD33" s="4491"/>
      <c r="AE33" s="4496"/>
    </row>
    <row r="34" spans="1:31" ht="13" x14ac:dyDescent="0.3">
      <c r="A34" s="3423"/>
      <c r="B34" s="3833"/>
      <c r="C34" s="3833"/>
      <c r="D34" s="3872"/>
      <c r="E34" s="3872"/>
      <c r="F34" s="3873"/>
      <c r="G34" s="3873"/>
      <c r="H34" s="3873"/>
      <c r="I34" s="3873"/>
      <c r="J34" s="3873"/>
      <c r="K34" s="3873"/>
      <c r="L34" s="3873"/>
      <c r="M34" s="3873"/>
      <c r="N34" s="3873"/>
      <c r="O34" s="3873"/>
      <c r="P34" s="3873"/>
      <c r="Q34" s="3873"/>
      <c r="R34" s="3873"/>
      <c r="S34" s="3873"/>
      <c r="T34" s="3874"/>
      <c r="U34" s="430">
        <f t="shared" ref="U34:AD34" si="1">U9+U10</f>
        <v>161096</v>
      </c>
      <c r="V34" s="430">
        <f t="shared" si="1"/>
        <v>158942</v>
      </c>
      <c r="W34" s="430">
        <f t="shared" si="1"/>
        <v>150608</v>
      </c>
      <c r="X34" s="430">
        <f t="shared" si="1"/>
        <v>152554</v>
      </c>
      <c r="Y34" s="3875">
        <f t="shared" si="1"/>
        <v>157141</v>
      </c>
      <c r="Z34" s="430">
        <f t="shared" si="1"/>
        <v>161984</v>
      </c>
      <c r="AA34" s="430">
        <f t="shared" si="1"/>
        <v>161054</v>
      </c>
      <c r="AB34" s="430">
        <f t="shared" si="1"/>
        <v>160583</v>
      </c>
      <c r="AC34" s="430">
        <f t="shared" si="1"/>
        <v>162875</v>
      </c>
      <c r="AD34" s="430">
        <f t="shared" si="1"/>
        <v>154437</v>
      </c>
      <c r="AE34" s="4496"/>
    </row>
    <row r="35" spans="1:31" ht="13" x14ac:dyDescent="0.3">
      <c r="A35" s="3423"/>
      <c r="B35" s="3423"/>
      <c r="C35" s="3833"/>
      <c r="D35" s="3834"/>
      <c r="E35" s="3834"/>
      <c r="F35" s="3849"/>
      <c r="G35" s="3849"/>
      <c r="H35" s="3849"/>
      <c r="I35" s="3849"/>
      <c r="J35" s="3849"/>
      <c r="K35" s="3849"/>
      <c r="L35" s="3849"/>
      <c r="M35" s="3849"/>
      <c r="N35" s="3876"/>
      <c r="O35" s="3849"/>
      <c r="P35" s="3849"/>
      <c r="Q35" s="3849"/>
      <c r="R35" s="3849"/>
      <c r="S35" s="3849"/>
      <c r="T35" s="3849"/>
      <c r="U35" s="430">
        <f t="shared" ref="U35:AD35" si="2">U12+U13</f>
        <v>161096</v>
      </c>
      <c r="V35" s="430">
        <f t="shared" si="2"/>
        <v>158942</v>
      </c>
      <c r="W35" s="430">
        <f t="shared" si="2"/>
        <v>153988</v>
      </c>
      <c r="X35" s="430">
        <f t="shared" si="2"/>
        <v>152553</v>
      </c>
      <c r="Y35" s="3875">
        <f t="shared" si="2"/>
        <v>157141</v>
      </c>
      <c r="Z35" s="430">
        <f t="shared" si="2"/>
        <v>159331</v>
      </c>
      <c r="AA35" s="430">
        <f t="shared" si="2"/>
        <v>160280</v>
      </c>
      <c r="AB35" s="430">
        <f t="shared" si="2"/>
        <v>160583</v>
      </c>
      <c r="AC35" s="430">
        <f t="shared" si="2"/>
        <v>162875</v>
      </c>
      <c r="AD35" s="430">
        <f t="shared" si="2"/>
        <v>154437</v>
      </c>
      <c r="AE35" s="4496"/>
    </row>
    <row r="36" spans="1:31" ht="13" x14ac:dyDescent="0.3">
      <c r="A36" s="3423"/>
      <c r="B36" s="3833"/>
      <c r="C36" s="3833"/>
      <c r="D36" s="3834"/>
      <c r="E36" s="3834"/>
      <c r="F36" s="3849"/>
      <c r="G36" s="3849"/>
      <c r="H36" s="3849"/>
      <c r="I36" s="3849"/>
      <c r="J36" s="3849"/>
      <c r="K36" s="3849"/>
      <c r="L36" s="3849"/>
      <c r="M36" s="3849"/>
      <c r="N36" s="3876"/>
      <c r="O36" s="3849"/>
      <c r="P36" s="3849"/>
      <c r="Q36" s="3849"/>
      <c r="R36" s="3849"/>
      <c r="S36" s="3849"/>
      <c r="T36" s="3835"/>
      <c r="U36" s="3725"/>
      <c r="V36" s="3725"/>
      <c r="W36" s="3725"/>
      <c r="X36" s="3725"/>
      <c r="Y36" s="3725"/>
      <c r="Z36" s="4497"/>
      <c r="AA36" s="4497"/>
      <c r="AB36" s="4497"/>
      <c r="AC36" s="4497"/>
      <c r="AD36" s="4496"/>
      <c r="AE36" s="4496"/>
    </row>
    <row r="37" spans="1:31" ht="13" x14ac:dyDescent="0.3">
      <c r="A37" s="3423"/>
      <c r="B37" s="3833"/>
      <c r="C37" s="3833"/>
      <c r="D37" s="3834"/>
      <c r="E37" s="3834"/>
      <c r="F37" s="3849"/>
      <c r="G37" s="3849"/>
      <c r="H37" s="3849"/>
      <c r="I37" s="3849"/>
      <c r="J37" s="3849"/>
      <c r="K37" s="3849"/>
      <c r="L37" s="3849"/>
      <c r="M37" s="3849"/>
      <c r="N37" s="3876"/>
      <c r="O37" s="3849"/>
      <c r="P37" s="3849"/>
      <c r="Q37" s="3849"/>
      <c r="R37" s="3849"/>
      <c r="S37" s="3849"/>
      <c r="T37" s="3835"/>
      <c r="U37" s="3835"/>
      <c r="V37" s="3835"/>
      <c r="W37" s="3835"/>
      <c r="X37" s="3835"/>
      <c r="Y37" s="3835"/>
      <c r="Z37" s="4498"/>
      <c r="AA37" s="4498"/>
      <c r="AB37" s="4498"/>
      <c r="AC37" s="4498"/>
      <c r="AD37" s="4496"/>
      <c r="AE37" s="4496"/>
    </row>
    <row r="38" spans="1:31" ht="13" x14ac:dyDescent="0.3">
      <c r="A38" s="3423"/>
      <c r="B38" s="3833"/>
      <c r="C38" s="3833"/>
      <c r="D38" s="3834"/>
      <c r="E38" s="3834"/>
      <c r="F38" s="3849"/>
      <c r="G38" s="3849"/>
      <c r="H38" s="3849"/>
      <c r="I38" s="3849"/>
      <c r="J38" s="3849"/>
      <c r="K38" s="3849"/>
      <c r="L38" s="3849"/>
      <c r="M38" s="3849"/>
      <c r="N38" s="3876"/>
      <c r="O38" s="3849"/>
      <c r="P38" s="3849"/>
      <c r="Q38" s="3849"/>
      <c r="R38" s="3849"/>
      <c r="S38" s="3849"/>
      <c r="T38" s="3835"/>
      <c r="U38" s="3835"/>
      <c r="V38" s="3835"/>
      <c r="W38" s="3835"/>
      <c r="X38" s="3835"/>
      <c r="Y38" s="3835"/>
      <c r="Z38" s="4498"/>
      <c r="AA38" s="4498"/>
      <c r="AB38" s="4498"/>
      <c r="AC38" s="4498"/>
      <c r="AD38" s="4496"/>
      <c r="AE38" s="4496"/>
    </row>
    <row r="39" spans="1:31" ht="13" x14ac:dyDescent="0.3">
      <c r="A39" s="3423"/>
      <c r="B39" s="3833"/>
      <c r="C39" s="3833"/>
      <c r="D39" s="3834"/>
      <c r="E39" s="3834"/>
      <c r="F39" s="3849"/>
      <c r="G39" s="3849"/>
      <c r="H39" s="3849"/>
      <c r="I39" s="3849"/>
      <c r="J39" s="3849"/>
      <c r="K39" s="3849"/>
      <c r="L39" s="3849"/>
      <c r="M39" s="3849"/>
      <c r="N39" s="3876"/>
      <c r="O39" s="3849"/>
      <c r="P39" s="3849"/>
      <c r="Q39" s="3849"/>
      <c r="R39" s="3849"/>
      <c r="S39" s="3849"/>
      <c r="T39" s="3835"/>
      <c r="U39" s="3835"/>
      <c r="V39" s="3835"/>
      <c r="W39" s="3835"/>
      <c r="X39" s="3835"/>
      <c r="Y39" s="3835"/>
      <c r="Z39" s="3835"/>
      <c r="AA39" s="3835"/>
      <c r="AB39" s="3835"/>
      <c r="AC39" s="3835"/>
    </row>
    <row r="40" spans="1:31" ht="13" x14ac:dyDescent="0.3">
      <c r="A40" s="3423"/>
      <c r="B40" s="3833"/>
      <c r="C40" s="3833"/>
      <c r="D40" s="3834"/>
      <c r="E40" s="3834"/>
      <c r="F40" s="3849"/>
      <c r="G40" s="3849"/>
      <c r="H40" s="3849"/>
      <c r="I40" s="3849"/>
      <c r="J40" s="3849"/>
      <c r="K40" s="3849"/>
      <c r="L40" s="3849"/>
      <c r="M40" s="3849"/>
      <c r="N40" s="3876"/>
      <c r="O40" s="3849"/>
      <c r="P40" s="3849"/>
      <c r="Q40" s="3849"/>
      <c r="R40" s="3849"/>
      <c r="S40" s="3849"/>
      <c r="T40" s="3835"/>
      <c r="U40" s="3835"/>
      <c r="V40" s="3835"/>
      <c r="W40" s="3835"/>
      <c r="X40" s="3835"/>
      <c r="Y40" s="3835"/>
      <c r="Z40" s="3835"/>
      <c r="AA40" s="3835"/>
      <c r="AB40" s="3835"/>
      <c r="AC40" s="3835"/>
    </row>
    <row r="41" spans="1:31" ht="13" x14ac:dyDescent="0.3">
      <c r="A41" s="3423"/>
      <c r="B41" s="3833"/>
      <c r="C41" s="3833"/>
      <c r="D41" s="3834"/>
      <c r="E41" s="3834"/>
      <c r="F41" s="3849"/>
      <c r="G41" s="3849"/>
      <c r="H41" s="3849"/>
      <c r="I41" s="3849"/>
      <c r="J41" s="3849"/>
      <c r="K41" s="3849"/>
      <c r="L41" s="3849"/>
      <c r="M41" s="3849"/>
      <c r="N41" s="3876"/>
      <c r="O41" s="3849"/>
      <c r="P41" s="3849"/>
      <c r="Q41" s="3849"/>
      <c r="R41" s="3849"/>
      <c r="S41" s="3849"/>
      <c r="T41" s="3835"/>
      <c r="U41" s="3835"/>
      <c r="V41" s="3835"/>
      <c r="W41" s="3835"/>
      <c r="X41" s="3835"/>
      <c r="Y41" s="3835"/>
      <c r="Z41" s="3835"/>
      <c r="AA41" s="3835"/>
      <c r="AB41" s="3835"/>
      <c r="AC41" s="3835"/>
    </row>
    <row r="42" spans="1:31" ht="13" x14ac:dyDescent="0.3">
      <c r="A42" s="3423"/>
      <c r="B42" s="3833"/>
      <c r="C42" s="3833"/>
      <c r="D42" s="3834"/>
      <c r="E42" s="3834"/>
      <c r="F42" s="3849"/>
      <c r="G42" s="3849"/>
      <c r="H42" s="3849"/>
      <c r="I42" s="3849"/>
      <c r="J42" s="3849"/>
      <c r="K42" s="3849"/>
      <c r="L42" s="3849"/>
      <c r="M42" s="3849"/>
      <c r="N42" s="3876"/>
      <c r="O42" s="3849"/>
      <c r="P42" s="3849"/>
      <c r="Q42" s="3849"/>
      <c r="R42" s="3849"/>
      <c r="S42" s="3849"/>
      <c r="T42" s="3835"/>
      <c r="U42" s="3835"/>
      <c r="V42" s="3835"/>
      <c r="W42" s="3835"/>
      <c r="X42" s="3835"/>
      <c r="Y42" s="3835"/>
      <c r="Z42" s="3835"/>
      <c r="AA42" s="3835"/>
      <c r="AB42" s="3835"/>
      <c r="AC42" s="3835"/>
    </row>
    <row r="43" spans="1:31" ht="13" x14ac:dyDescent="0.3">
      <c r="A43" s="3423"/>
      <c r="B43" s="3833"/>
      <c r="C43" s="3833"/>
      <c r="D43" s="3834"/>
      <c r="E43" s="3834"/>
      <c r="F43" s="3849"/>
      <c r="G43" s="3849"/>
      <c r="H43" s="3849"/>
      <c r="I43" s="3849"/>
      <c r="J43" s="3849"/>
      <c r="K43" s="3849"/>
      <c r="L43" s="3849"/>
      <c r="M43" s="3849"/>
      <c r="N43" s="3876"/>
      <c r="O43" s="3849"/>
      <c r="P43" s="3849"/>
      <c r="Q43" s="3849"/>
      <c r="R43" s="3849"/>
      <c r="S43" s="3849"/>
      <c r="T43" s="3835"/>
      <c r="U43" s="3835"/>
      <c r="V43" s="3835"/>
      <c r="W43" s="3835"/>
      <c r="X43" s="3835"/>
      <c r="Y43" s="3835"/>
      <c r="Z43" s="3835"/>
      <c r="AA43" s="3835"/>
      <c r="AB43" s="3835"/>
      <c r="AC43" s="3835"/>
    </row>
    <row r="44" spans="1:31" ht="13" x14ac:dyDescent="0.3">
      <c r="A44" s="3423"/>
      <c r="B44" s="3833"/>
      <c r="C44" s="3833"/>
      <c r="D44" s="3834"/>
      <c r="E44" s="3834"/>
      <c r="F44" s="3849"/>
      <c r="G44" s="3849"/>
      <c r="H44" s="3849"/>
      <c r="I44" s="3849"/>
      <c r="J44" s="3849"/>
      <c r="K44" s="3849"/>
      <c r="L44" s="3849"/>
      <c r="M44" s="3849"/>
      <c r="N44" s="3876"/>
      <c r="O44" s="3849"/>
      <c r="P44" s="3849"/>
      <c r="Q44" s="3849"/>
      <c r="R44" s="3849"/>
      <c r="S44" s="3849"/>
      <c r="T44" s="3835"/>
      <c r="U44" s="3835"/>
      <c r="V44" s="3835"/>
      <c r="W44" s="3835"/>
      <c r="X44" s="3835"/>
      <c r="Y44" s="3835"/>
      <c r="Z44" s="3835"/>
      <c r="AA44" s="3835"/>
      <c r="AB44" s="3835"/>
      <c r="AC44" s="3835"/>
    </row>
    <row r="45" spans="1:31" ht="13" x14ac:dyDescent="0.3">
      <c r="A45" s="3423"/>
      <c r="B45" s="3833"/>
      <c r="C45" s="3833"/>
      <c r="D45" s="3834"/>
      <c r="E45" s="3834"/>
      <c r="F45" s="3849"/>
      <c r="G45" s="3849"/>
      <c r="H45" s="3849"/>
      <c r="I45" s="3849"/>
      <c r="J45" s="3849"/>
      <c r="K45" s="3849"/>
      <c r="L45" s="3849"/>
      <c r="M45" s="3849"/>
      <c r="N45" s="3876"/>
      <c r="O45" s="3849"/>
      <c r="P45" s="3849"/>
      <c r="Q45" s="3849"/>
      <c r="R45" s="3849"/>
      <c r="S45" s="3849"/>
      <c r="T45" s="3835"/>
      <c r="U45" s="3835"/>
      <c r="V45" s="3835"/>
      <c r="W45" s="3835"/>
      <c r="X45" s="3835"/>
      <c r="Y45" s="3835"/>
      <c r="Z45" s="3835"/>
      <c r="AA45" s="3835"/>
      <c r="AB45" s="3835"/>
      <c r="AC45" s="3835"/>
    </row>
    <row r="46" spans="1:31" ht="13" x14ac:dyDescent="0.3">
      <c r="A46" s="3423"/>
      <c r="B46" s="3833"/>
      <c r="C46" s="3833"/>
      <c r="D46" s="3834"/>
      <c r="E46" s="3834"/>
      <c r="F46" s="3849"/>
      <c r="G46" s="3849"/>
      <c r="H46" s="3849"/>
      <c r="I46" s="3849"/>
      <c r="J46" s="3849"/>
      <c r="K46" s="3849"/>
      <c r="L46" s="3849"/>
      <c r="M46" s="3849"/>
      <c r="N46" s="3876"/>
      <c r="O46" s="3849"/>
      <c r="P46" s="3849"/>
      <c r="Q46" s="3849"/>
      <c r="R46" s="3849"/>
      <c r="S46" s="3849"/>
      <c r="T46" s="3835"/>
      <c r="U46" s="3835"/>
      <c r="V46" s="3835"/>
      <c r="W46" s="3835"/>
      <c r="X46" s="3835"/>
      <c r="Y46" s="3835"/>
      <c r="Z46" s="3835"/>
      <c r="AA46" s="3835"/>
      <c r="AB46" s="3835"/>
      <c r="AC46" s="3835"/>
    </row>
    <row r="47" spans="1:31" ht="13" x14ac:dyDescent="0.3">
      <c r="A47" s="3423"/>
      <c r="B47" s="3833"/>
      <c r="C47" s="3833"/>
      <c r="D47" s="3877"/>
      <c r="E47" s="3877"/>
      <c r="F47" s="3834"/>
      <c r="G47" s="3834"/>
      <c r="H47" s="3834"/>
      <c r="I47" s="3834"/>
      <c r="J47" s="3834"/>
      <c r="K47" s="3834"/>
      <c r="L47" s="3877"/>
      <c r="M47" s="3834"/>
      <c r="N47" s="3876"/>
      <c r="O47" s="3834"/>
      <c r="P47" s="3834"/>
      <c r="Q47" s="3834"/>
      <c r="R47" s="3834"/>
      <c r="S47" s="3834"/>
      <c r="T47" s="3835"/>
      <c r="U47" s="3835"/>
      <c r="V47" s="3835"/>
      <c r="W47" s="3835"/>
      <c r="X47" s="3835"/>
      <c r="Y47" s="3835"/>
      <c r="Z47" s="3835"/>
      <c r="AA47" s="3835"/>
      <c r="AB47" s="3835"/>
      <c r="AC47" s="3835"/>
    </row>
    <row r="48" spans="1:31" ht="13" x14ac:dyDescent="0.3">
      <c r="A48" s="3423"/>
      <c r="B48" s="3833"/>
      <c r="C48" s="3833"/>
      <c r="D48" s="3834"/>
      <c r="E48" s="3834"/>
      <c r="F48" s="3834"/>
      <c r="G48" s="3834"/>
      <c r="H48" s="3834"/>
      <c r="I48" s="3834"/>
      <c r="J48" s="3834"/>
      <c r="K48" s="3834"/>
      <c r="L48" s="3834"/>
      <c r="M48" s="3834"/>
      <c r="N48" s="3834"/>
      <c r="O48" s="3834"/>
      <c r="P48" s="3834"/>
      <c r="Q48" s="3834"/>
      <c r="R48" s="3834"/>
      <c r="S48" s="3834"/>
      <c r="T48" s="3835"/>
      <c r="U48" s="3835"/>
      <c r="V48" s="3835"/>
      <c r="W48" s="3835"/>
      <c r="X48" s="3835"/>
      <c r="Y48" s="3835"/>
      <c r="Z48" s="3835"/>
      <c r="AA48" s="3835"/>
      <c r="AB48" s="3835"/>
      <c r="AC48" s="3835"/>
    </row>
    <row r="49" spans="1:31" ht="13" x14ac:dyDescent="0.3">
      <c r="A49" s="3423"/>
      <c r="B49" s="3833"/>
      <c r="C49" s="3833"/>
      <c r="D49" s="3834"/>
      <c r="E49" s="3834"/>
      <c r="F49" s="3834"/>
      <c r="G49" s="3834"/>
      <c r="H49" s="3834"/>
      <c r="I49" s="3834"/>
      <c r="J49" s="3834"/>
      <c r="K49" s="3834"/>
      <c r="L49" s="3834"/>
      <c r="M49" s="3834"/>
      <c r="N49" s="3834"/>
      <c r="O49" s="3834"/>
      <c r="P49" s="3834"/>
      <c r="Q49" s="3834"/>
      <c r="R49" s="3834"/>
      <c r="S49" s="3834"/>
      <c r="T49" s="3835"/>
      <c r="U49" s="3835"/>
      <c r="V49" s="3835"/>
      <c r="W49" s="3835"/>
      <c r="X49" s="3835"/>
      <c r="Y49" s="3835"/>
      <c r="Z49" s="3835"/>
      <c r="AA49" s="3835"/>
      <c r="AB49" s="3835"/>
      <c r="AC49" s="3835"/>
    </row>
    <row r="50" spans="1:31" ht="13" x14ac:dyDescent="0.3">
      <c r="A50" s="3423"/>
      <c r="B50" s="3833"/>
      <c r="C50" s="3833"/>
      <c r="D50" s="3834"/>
      <c r="E50" s="3834"/>
      <c r="F50" s="3834"/>
      <c r="G50" s="3834"/>
      <c r="H50" s="3834"/>
      <c r="I50" s="3834"/>
      <c r="J50" s="3834"/>
      <c r="K50" s="3834"/>
      <c r="L50" s="3834"/>
      <c r="M50" s="3834"/>
      <c r="N50" s="3834"/>
      <c r="O50" s="3834"/>
      <c r="P50" s="3834"/>
      <c r="Q50" s="3834"/>
      <c r="R50" s="3834"/>
      <c r="S50" s="3834"/>
      <c r="T50" s="3835"/>
      <c r="U50" s="3835"/>
      <c r="V50" s="3835"/>
      <c r="W50" s="3835"/>
      <c r="X50" s="3835"/>
      <c r="Y50" s="3835"/>
      <c r="Z50" s="3835"/>
      <c r="AA50" s="3835"/>
      <c r="AB50" s="3835"/>
      <c r="AC50" s="3835"/>
    </row>
    <row r="51" spans="1:31" ht="13" x14ac:dyDescent="0.3">
      <c r="A51" s="3423"/>
      <c r="B51" s="3833"/>
      <c r="C51" s="3833"/>
      <c r="D51" s="3834"/>
      <c r="E51" s="3834"/>
      <c r="F51" s="3834"/>
      <c r="G51" s="3834"/>
      <c r="H51" s="3834"/>
      <c r="I51" s="3834"/>
      <c r="J51" s="3834"/>
      <c r="K51" s="3834"/>
      <c r="L51" s="3834"/>
      <c r="M51" s="3834"/>
      <c r="N51" s="3834"/>
      <c r="O51" s="3834"/>
      <c r="P51" s="3834"/>
      <c r="Q51" s="3834"/>
      <c r="R51" s="3834"/>
      <c r="S51" s="3834"/>
      <c r="T51" s="3835"/>
      <c r="U51" s="3835"/>
      <c r="V51" s="3835"/>
      <c r="W51" s="3835"/>
      <c r="X51" s="3835"/>
      <c r="Y51" s="3835"/>
      <c r="Z51" s="3835"/>
      <c r="AA51" s="3835"/>
      <c r="AB51" s="3835"/>
      <c r="AC51" s="3835"/>
    </row>
    <row r="52" spans="1:31" ht="13" x14ac:dyDescent="0.3">
      <c r="A52" s="3423"/>
      <c r="B52" s="3833"/>
      <c r="C52" s="3833"/>
      <c r="D52" s="3834"/>
      <c r="E52" s="3834"/>
      <c r="F52" s="3834"/>
      <c r="G52" s="3834"/>
      <c r="H52" s="3834"/>
      <c r="I52" s="3834"/>
      <c r="J52" s="3834"/>
      <c r="K52" s="3834"/>
      <c r="L52" s="3834"/>
      <c r="M52" s="3834"/>
      <c r="N52" s="3834"/>
      <c r="O52" s="3834"/>
      <c r="P52" s="3834"/>
      <c r="Q52" s="3834"/>
      <c r="R52" s="3834"/>
      <c r="S52" s="3834"/>
      <c r="T52" s="3835"/>
      <c r="U52" s="3835"/>
      <c r="V52" s="3835"/>
      <c r="W52" s="3835"/>
      <c r="X52" s="3835"/>
      <c r="Y52" s="3835"/>
      <c r="Z52" s="3835"/>
      <c r="AA52" s="3835"/>
      <c r="AB52" s="3835"/>
      <c r="AC52" s="3835"/>
    </row>
    <row r="53" spans="1:31" ht="13" x14ac:dyDescent="0.3">
      <c r="A53" s="3423"/>
      <c r="B53" s="3833"/>
      <c r="C53" s="3833"/>
      <c r="D53" s="3834"/>
      <c r="E53" s="3834"/>
      <c r="F53" s="3834"/>
      <c r="G53" s="3834"/>
      <c r="H53" s="3834"/>
      <c r="I53" s="3834"/>
      <c r="J53" s="3834"/>
      <c r="K53" s="3834"/>
      <c r="L53" s="3834"/>
      <c r="M53" s="3834"/>
      <c r="N53" s="3834"/>
      <c r="O53" s="3834"/>
      <c r="P53" s="3834"/>
      <c r="Q53" s="3834"/>
      <c r="R53" s="3834"/>
      <c r="S53" s="3834"/>
      <c r="T53" s="3835"/>
      <c r="U53" s="3835"/>
      <c r="V53" s="3835"/>
      <c r="W53" s="3835"/>
      <c r="X53" s="3835"/>
      <c r="Y53" s="3835"/>
      <c r="Z53" s="3835"/>
      <c r="AA53" s="3835"/>
      <c r="AB53" s="3835"/>
      <c r="AC53" s="3835"/>
    </row>
    <row r="54" spans="1:31" ht="13" x14ac:dyDescent="0.3">
      <c r="A54" s="3423"/>
      <c r="B54" s="3833"/>
      <c r="C54" s="3833"/>
      <c r="D54" s="3834"/>
      <c r="E54" s="3834"/>
      <c r="F54" s="3834"/>
      <c r="G54" s="3834"/>
      <c r="H54" s="3834"/>
      <c r="I54" s="3834"/>
      <c r="J54" s="3834"/>
      <c r="K54" s="3834"/>
      <c r="L54" s="3834"/>
      <c r="M54" s="3834"/>
      <c r="N54" s="3834"/>
      <c r="O54" s="3834"/>
      <c r="P54" s="3834"/>
      <c r="Q54" s="3834"/>
      <c r="R54" s="3834"/>
      <c r="S54" s="3834"/>
      <c r="T54" s="3835"/>
      <c r="U54" s="3835"/>
      <c r="V54" s="3835"/>
      <c r="W54" s="3835"/>
      <c r="X54" s="3835"/>
      <c r="Y54" s="3835"/>
      <c r="Z54" s="3835"/>
      <c r="AA54" s="3835"/>
      <c r="AB54" s="3835"/>
      <c r="AC54" s="3835"/>
    </row>
    <row r="55" spans="1:31" ht="13" x14ac:dyDescent="0.3">
      <c r="A55" s="3758"/>
      <c r="B55" s="3758"/>
      <c r="C55" s="3758"/>
      <c r="D55" s="5064"/>
      <c r="E55" s="5064"/>
      <c r="F55" s="5064"/>
      <c r="G55" s="5064"/>
      <c r="H55" s="5064"/>
      <c r="I55" s="5064"/>
      <c r="J55" s="5064"/>
      <c r="K55" s="5064"/>
      <c r="L55" s="5064"/>
      <c r="M55" s="5064"/>
      <c r="N55" s="5064"/>
      <c r="O55" s="5064"/>
      <c r="P55" s="5064"/>
      <c r="Q55" s="5064"/>
      <c r="R55" s="5064"/>
      <c r="S55" s="5064"/>
      <c r="T55" s="5064"/>
      <c r="U55" s="5064"/>
      <c r="V55" s="5064"/>
      <c r="W55" s="5064"/>
      <c r="X55" s="5064"/>
      <c r="Y55" s="5064"/>
      <c r="Z55" s="5064"/>
      <c r="AA55" s="5064"/>
      <c r="AB55" s="5064"/>
      <c r="AC55" s="5064"/>
    </row>
    <row r="56" spans="1:31" ht="15.75" customHeight="1" x14ac:dyDescent="0.3">
      <c r="A56" s="3423">
        <v>5</v>
      </c>
      <c r="B56" s="3423" t="s">
        <v>58</v>
      </c>
      <c r="C56" s="3423"/>
      <c r="D56" s="4642" t="s">
        <v>1574</v>
      </c>
      <c r="E56" s="4643"/>
      <c r="F56" s="4643"/>
      <c r="G56" s="4643"/>
      <c r="H56" s="4643"/>
      <c r="I56" s="4643"/>
      <c r="J56" s="4643"/>
      <c r="K56" s="4643"/>
      <c r="L56" s="4643"/>
      <c r="M56" s="4643"/>
      <c r="N56" s="4643"/>
      <c r="O56" s="4643"/>
      <c r="P56" s="4643"/>
      <c r="Q56" s="4643"/>
      <c r="R56" s="4643"/>
      <c r="S56" s="4643"/>
      <c r="T56" s="4643"/>
      <c r="U56" s="4643"/>
      <c r="V56" s="4643"/>
      <c r="W56" s="4643"/>
      <c r="X56" s="4643"/>
      <c r="Y56" s="4643"/>
      <c r="Z56" s="4643"/>
      <c r="AA56" s="4643"/>
      <c r="AB56" s="4643"/>
      <c r="AC56" s="4644"/>
    </row>
    <row r="57" spans="1:31" ht="51" customHeight="1" x14ac:dyDescent="0.3">
      <c r="A57" s="3511">
        <v>6</v>
      </c>
      <c r="B57" s="3511" t="s">
        <v>60</v>
      </c>
      <c r="C57" s="3511"/>
      <c r="D57" s="4642" t="s">
        <v>1575</v>
      </c>
      <c r="E57" s="4643"/>
      <c r="F57" s="4643"/>
      <c r="G57" s="4643"/>
      <c r="H57" s="4643"/>
      <c r="I57" s="4643"/>
      <c r="J57" s="4643"/>
      <c r="K57" s="4643"/>
      <c r="L57" s="4643"/>
      <c r="M57" s="4643"/>
      <c r="N57" s="4643"/>
      <c r="O57" s="4643"/>
      <c r="P57" s="4643"/>
      <c r="Q57" s="4643"/>
      <c r="R57" s="4643"/>
      <c r="S57" s="4643"/>
      <c r="T57" s="4643"/>
      <c r="U57" s="4643"/>
      <c r="V57" s="4643"/>
      <c r="W57" s="4643"/>
      <c r="X57" s="4643"/>
      <c r="Y57" s="4643"/>
      <c r="Z57" s="4643"/>
      <c r="AA57" s="4643"/>
      <c r="AB57" s="4643"/>
      <c r="AC57" s="4644"/>
    </row>
    <row r="58" spans="1:31" ht="13" x14ac:dyDescent="0.3">
      <c r="A58" s="3423">
        <v>7</v>
      </c>
      <c r="B58" s="3423" t="s">
        <v>62</v>
      </c>
      <c r="C58" s="3423"/>
      <c r="D58" s="3835" t="s">
        <v>1576</v>
      </c>
      <c r="E58" s="3835"/>
      <c r="F58" s="950"/>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c r="AD58" s="951"/>
      <c r="AE58" s="952"/>
    </row>
    <row r="59" spans="1:31" ht="13" x14ac:dyDescent="0.3">
      <c r="A59" s="3423"/>
      <c r="B59" s="3878"/>
      <c r="C59" s="3878"/>
      <c r="D59" s="3879"/>
      <c r="E59" s="3879"/>
      <c r="F59" s="3835"/>
      <c r="G59" s="3835"/>
      <c r="H59" s="3835"/>
      <c r="I59" s="3835"/>
      <c r="J59" s="3835"/>
      <c r="K59" s="3835"/>
      <c r="L59" s="3835"/>
      <c r="M59" s="3835"/>
      <c r="N59" s="3835"/>
      <c r="O59" s="3835"/>
      <c r="P59" s="3835"/>
      <c r="Q59" s="3835"/>
      <c r="R59" s="3835"/>
      <c r="S59" s="3835"/>
      <c r="T59" s="3835"/>
      <c r="U59" s="3835"/>
      <c r="V59" s="3835"/>
      <c r="W59" s="3835"/>
      <c r="X59" s="3835"/>
      <c r="Y59" s="3835"/>
      <c r="Z59" s="3835"/>
      <c r="AA59" s="3835"/>
      <c r="AB59" s="3835"/>
      <c r="AC59" s="3835"/>
    </row>
    <row r="60" spans="1:31" ht="13" x14ac:dyDescent="0.3">
      <c r="A60" s="3423"/>
      <c r="B60" s="3833"/>
      <c r="C60" s="3833"/>
      <c r="D60" s="3835"/>
      <c r="E60" s="3835"/>
      <c r="F60" s="3835"/>
      <c r="G60" s="3835"/>
      <c r="H60" s="3835"/>
      <c r="I60" s="3835"/>
      <c r="J60" s="3835"/>
      <c r="K60" s="3835"/>
      <c r="L60" s="3835"/>
      <c r="M60" s="3835"/>
      <c r="N60" s="3835"/>
      <c r="O60" s="3835"/>
      <c r="P60" s="3835"/>
      <c r="Q60" s="3835"/>
      <c r="R60" s="3835"/>
      <c r="S60" s="3835"/>
      <c r="T60" s="3835"/>
      <c r="U60" s="3835"/>
      <c r="V60" s="3835"/>
      <c r="W60" s="3835"/>
      <c r="X60" s="3835"/>
      <c r="Y60" s="3835"/>
      <c r="Z60" s="3835"/>
      <c r="AA60" s="3835"/>
      <c r="AB60" s="3835"/>
      <c r="AC60" s="3835"/>
    </row>
  </sheetData>
  <mergeCells count="6">
    <mergeCell ref="D57:AC57"/>
    <mergeCell ref="D2:AC2"/>
    <mergeCell ref="D3:AC3"/>
    <mergeCell ref="D4:AC4"/>
    <mergeCell ref="D55:AC55"/>
    <mergeCell ref="D56:AC56"/>
  </mergeCells>
  <pageMargins left="0.74803149606299213" right="0.74803149606299213" top="0.98425196850393704" bottom="0.98425196850393704" header="0.51181102362204722" footer="0.51181102362204722"/>
  <pageSetup paperSize="8" scale="80"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pageSetUpPr fitToPage="1"/>
  </sheetPr>
  <dimension ref="A1:AC50"/>
  <sheetViews>
    <sheetView showGridLines="0" view="pageBreakPreview" zoomScaleNormal="100" zoomScaleSheetLayoutView="100" workbookViewId="0">
      <selection activeCell="Y27" sqref="Y27"/>
    </sheetView>
  </sheetViews>
  <sheetFormatPr defaultColWidth="9.1796875" defaultRowHeight="14.5" x14ac:dyDescent="0.35"/>
  <cols>
    <col min="1" max="1" width="3.81640625" style="3423" customWidth="1"/>
    <col min="2" max="2" width="14.1796875" style="3420" customWidth="1"/>
    <col min="3" max="3" width="6.1796875" style="3420" customWidth="1"/>
    <col min="4" max="4" width="15" style="3422" customWidth="1"/>
    <col min="5" max="11" width="7.453125" style="3422" customWidth="1"/>
    <col min="12" max="12" width="7.1796875" style="3422" customWidth="1"/>
    <col min="13" max="13" width="6.1796875" style="3422" customWidth="1"/>
    <col min="14" max="14" width="6.81640625" style="3422" customWidth="1"/>
    <col min="15" max="15" width="6" style="3422" customWidth="1"/>
    <col min="16" max="19" width="7.453125" style="3422" customWidth="1"/>
    <col min="20" max="20" width="6.81640625" style="3422" customWidth="1"/>
    <col min="21" max="21" width="7.1796875" style="3422" customWidth="1"/>
    <col min="22" max="23" width="6.81640625" style="3422" customWidth="1"/>
    <col min="24" max="24" width="8" style="3422" customWidth="1"/>
    <col min="25" max="25" width="7.1796875" style="3422" customWidth="1"/>
    <col min="26" max="27" width="6.54296875" style="3422" customWidth="1"/>
    <col min="28" max="28" width="7.81640625" style="3422" customWidth="1"/>
    <col min="29" max="29" width="6.81640625" style="3422" customWidth="1"/>
    <col min="30" max="16384" width="9.1796875" style="3422"/>
  </cols>
  <sheetData>
    <row r="1" spans="1:29" x14ac:dyDescent="0.35">
      <c r="D1" s="3421"/>
      <c r="E1" s="3421"/>
      <c r="F1" s="3421"/>
      <c r="G1" s="3421"/>
      <c r="H1" s="3421"/>
      <c r="I1" s="3421"/>
      <c r="J1" s="3421"/>
      <c r="K1" s="3421"/>
      <c r="L1" s="3421"/>
      <c r="M1" s="3421"/>
      <c r="N1" s="3421"/>
      <c r="O1" s="3421"/>
      <c r="P1" s="3421"/>
      <c r="Q1" s="3421"/>
      <c r="R1" s="3421"/>
    </row>
    <row r="2" spans="1:29" ht="14.5" customHeight="1" x14ac:dyDescent="0.35">
      <c r="A2" s="3423">
        <v>1</v>
      </c>
      <c r="B2" s="3423" t="s">
        <v>0</v>
      </c>
      <c r="C2" s="3423">
        <v>71</v>
      </c>
      <c r="D2" s="4642" t="s">
        <v>1577</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4"/>
    </row>
    <row r="3" spans="1:29" ht="14.5" customHeight="1" x14ac:dyDescent="0.35">
      <c r="A3" s="3423">
        <v>2</v>
      </c>
      <c r="B3" s="3423" t="s">
        <v>2</v>
      </c>
      <c r="C3" s="3423"/>
      <c r="D3" s="4642" t="s">
        <v>1578</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4"/>
    </row>
    <row r="4" spans="1:29" ht="14.5" customHeight="1" x14ac:dyDescent="0.35">
      <c r="A4" s="3423">
        <v>3</v>
      </c>
      <c r="B4" s="3423" t="s">
        <v>4</v>
      </c>
      <c r="C4" s="3423"/>
      <c r="D4" s="4642" t="s">
        <v>1579</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4"/>
    </row>
    <row r="5" spans="1:29" ht="15" customHeight="1" x14ac:dyDescent="0.35">
      <c r="A5" s="1879"/>
      <c r="B5" s="1879"/>
      <c r="C5" s="1879"/>
      <c r="D5" s="3512"/>
      <c r="E5" s="3513"/>
      <c r="F5" s="3513"/>
      <c r="G5" s="3513"/>
      <c r="H5" s="3513"/>
      <c r="I5" s="3513"/>
      <c r="J5" s="3513"/>
      <c r="K5" s="3513"/>
      <c r="L5" s="3513"/>
      <c r="M5" s="3513"/>
      <c r="N5" s="3513"/>
      <c r="O5" s="3513"/>
      <c r="P5" s="3513"/>
      <c r="Q5" s="326"/>
      <c r="R5" s="326"/>
    </row>
    <row r="6" spans="1:29" x14ac:dyDescent="0.35">
      <c r="A6" s="3423">
        <v>4</v>
      </c>
      <c r="B6" s="1326" t="s">
        <v>6</v>
      </c>
      <c r="C6" s="1326"/>
      <c r="Q6" s="326"/>
      <c r="R6" s="326"/>
    </row>
    <row r="7" spans="1:29" s="3891" customFormat="1" x14ac:dyDescent="0.35">
      <c r="A7" s="3882"/>
      <c r="B7" s="3882"/>
      <c r="C7" s="3882"/>
      <c r="D7" s="3883" t="s">
        <v>85</v>
      </c>
      <c r="E7" s="3884" t="s">
        <v>1580</v>
      </c>
      <c r="F7" s="3885"/>
      <c r="G7" s="3885"/>
      <c r="H7" s="3886"/>
      <c r="I7" s="3886"/>
      <c r="J7" s="3886"/>
      <c r="K7" s="3886"/>
      <c r="L7" s="3887"/>
      <c r="M7" s="3888"/>
      <c r="N7" s="3888"/>
      <c r="O7" s="3888"/>
      <c r="P7" s="3888"/>
      <c r="Q7" s="3889"/>
      <c r="R7" s="3889"/>
      <c r="S7" s="3889"/>
      <c r="T7" s="3889"/>
      <c r="U7" s="3889"/>
      <c r="V7" s="3889"/>
      <c r="W7" s="3890"/>
    </row>
    <row r="8" spans="1:29" x14ac:dyDescent="0.35">
      <c r="D8" s="3892"/>
      <c r="E8" s="3893" t="s">
        <v>103</v>
      </c>
      <c r="F8" s="3893" t="s">
        <v>104</v>
      </c>
      <c r="G8" s="3893" t="s">
        <v>105</v>
      </c>
      <c r="H8" s="3893" t="s">
        <v>106</v>
      </c>
      <c r="I8" s="3893" t="s">
        <v>107</v>
      </c>
      <c r="J8" s="3894" t="s">
        <v>108</v>
      </c>
      <c r="K8" s="3893" t="s">
        <v>109</v>
      </c>
      <c r="L8" s="3893" t="s">
        <v>110</v>
      </c>
      <c r="M8" s="3893" t="s">
        <v>111</v>
      </c>
      <c r="N8" s="3893" t="s">
        <v>112</v>
      </c>
      <c r="O8" s="3893" t="s">
        <v>113</v>
      </c>
      <c r="P8" s="3893" t="s">
        <v>114</v>
      </c>
      <c r="Q8" s="3893" t="s">
        <v>115</v>
      </c>
      <c r="R8" s="3893" t="s">
        <v>116</v>
      </c>
      <c r="S8" s="3893" t="s">
        <v>117</v>
      </c>
      <c r="T8" s="3893" t="s">
        <v>118</v>
      </c>
      <c r="U8" s="3893" t="s">
        <v>119</v>
      </c>
      <c r="V8" s="3893" t="s">
        <v>120</v>
      </c>
      <c r="W8" s="3893" t="s">
        <v>121</v>
      </c>
      <c r="X8" s="3893" t="s">
        <v>122</v>
      </c>
      <c r="Y8" s="3893" t="s">
        <v>123</v>
      </c>
      <c r="Z8" s="3895" t="s">
        <v>124</v>
      </c>
      <c r="AA8" s="3895" t="s">
        <v>125</v>
      </c>
      <c r="AB8" s="4499" t="s">
        <v>126</v>
      </c>
      <c r="AC8" s="4500" t="s">
        <v>302</v>
      </c>
    </row>
    <row r="9" spans="1:29" ht="18.75" customHeight="1" x14ac:dyDescent="0.35">
      <c r="D9" s="3896" t="s">
        <v>1581</v>
      </c>
      <c r="E9" s="3897"/>
      <c r="F9" s="3898"/>
      <c r="G9" s="3898"/>
      <c r="H9" s="3897"/>
      <c r="I9" s="3898"/>
      <c r="J9" s="3897"/>
      <c r="K9" s="3898"/>
      <c r="L9" s="3897"/>
      <c r="M9" s="3897"/>
      <c r="N9" s="3897"/>
      <c r="O9" s="3897"/>
      <c r="P9" s="3897"/>
      <c r="Q9" s="3897">
        <v>24657</v>
      </c>
      <c r="R9" s="3897">
        <v>60543</v>
      </c>
      <c r="S9" s="3897">
        <v>44481</v>
      </c>
      <c r="T9" s="3897">
        <v>116097</v>
      </c>
      <c r="U9" s="3897">
        <v>116716</v>
      </c>
      <c r="V9" s="3897">
        <v>77087</v>
      </c>
      <c r="W9" s="3897">
        <v>61049</v>
      </c>
      <c r="X9" s="3899">
        <v>68624</v>
      </c>
      <c r="Y9" s="3897">
        <v>75595</v>
      </c>
      <c r="Z9" s="3900">
        <v>80960</v>
      </c>
      <c r="AA9" s="3900">
        <v>86518</v>
      </c>
      <c r="AB9" s="3901">
        <v>93419</v>
      </c>
      <c r="AC9" s="4501">
        <v>94694</v>
      </c>
    </row>
    <row r="10" spans="1:29" x14ac:dyDescent="0.35">
      <c r="D10" s="3902" t="s">
        <v>1582</v>
      </c>
      <c r="E10" s="3903"/>
      <c r="F10" s="3903"/>
      <c r="G10" s="3903">
        <f t="shared" ref="G10:W10" si="0">SUM(G11:G14)</f>
        <v>13013</v>
      </c>
      <c r="H10" s="3903">
        <f t="shared" si="0"/>
        <v>9076</v>
      </c>
      <c r="I10" s="3903">
        <f t="shared" si="0"/>
        <v>19603</v>
      </c>
      <c r="J10" s="3903">
        <f t="shared" si="0"/>
        <v>22998</v>
      </c>
      <c r="K10" s="3903">
        <f t="shared" si="0"/>
        <v>29114</v>
      </c>
      <c r="L10" s="3903">
        <f t="shared" si="0"/>
        <v>41392</v>
      </c>
      <c r="M10" s="3903">
        <f t="shared" si="0"/>
        <v>40938</v>
      </c>
      <c r="N10" s="3903">
        <f t="shared" si="0"/>
        <v>41546</v>
      </c>
      <c r="O10" s="3903">
        <f t="shared" si="0"/>
        <v>35162</v>
      </c>
      <c r="P10" s="3903">
        <f t="shared" si="0"/>
        <v>44663</v>
      </c>
      <c r="Q10" s="3903">
        <f t="shared" si="0"/>
        <v>43593</v>
      </c>
      <c r="R10" s="3903">
        <f t="shared" si="0"/>
        <v>25238</v>
      </c>
      <c r="S10" s="3903">
        <f t="shared" si="0"/>
        <v>101620</v>
      </c>
      <c r="T10" s="3903">
        <f t="shared" si="0"/>
        <v>34875</v>
      </c>
      <c r="U10" s="3903">
        <f t="shared" si="0"/>
        <v>33807</v>
      </c>
      <c r="V10" s="3903">
        <f t="shared" si="0"/>
        <v>30657</v>
      </c>
      <c r="W10" s="3903">
        <f t="shared" si="0"/>
        <v>29965</v>
      </c>
      <c r="X10" s="3904">
        <v>28033</v>
      </c>
      <c r="Y10" s="3903">
        <v>26499</v>
      </c>
      <c r="Z10" s="3903">
        <v>24171</v>
      </c>
      <c r="AA10" s="3903">
        <v>25573</v>
      </c>
      <c r="AB10" s="3904">
        <v>104227</v>
      </c>
      <c r="AC10" s="4502">
        <f>SUM(AC11:AC14)</f>
        <v>42113</v>
      </c>
    </row>
    <row r="11" spans="1:29" x14ac:dyDescent="0.35">
      <c r="D11" s="3905" t="s">
        <v>1583</v>
      </c>
      <c r="E11" s="3906"/>
      <c r="F11" s="3906"/>
      <c r="G11" s="3906"/>
      <c r="H11" s="3906">
        <v>2273</v>
      </c>
      <c r="I11" s="3907">
        <v>9451</v>
      </c>
      <c r="J11" s="3906">
        <v>10334</v>
      </c>
      <c r="K11" s="3907">
        <v>10220</v>
      </c>
      <c r="L11" s="3906">
        <v>16081</v>
      </c>
      <c r="M11" s="3906">
        <v>19851</v>
      </c>
      <c r="N11" s="3906">
        <v>15004</v>
      </c>
      <c r="O11" s="3906">
        <v>8502</v>
      </c>
      <c r="P11" s="3906">
        <v>16202</v>
      </c>
      <c r="Q11" s="3906">
        <v>17475</v>
      </c>
      <c r="R11" s="3906">
        <v>5930</v>
      </c>
      <c r="S11" s="3906">
        <v>78282</v>
      </c>
      <c r="T11" s="3906">
        <v>8302</v>
      </c>
      <c r="U11" s="3906">
        <v>7579</v>
      </c>
      <c r="V11" s="3906">
        <v>7713</v>
      </c>
      <c r="W11" s="3906">
        <v>6875</v>
      </c>
      <c r="X11" s="3906">
        <v>7825</v>
      </c>
      <c r="Y11" s="3906">
        <v>7407</v>
      </c>
      <c r="Z11" s="3906">
        <v>13430</v>
      </c>
      <c r="AA11" s="3906">
        <v>14577</v>
      </c>
      <c r="AB11" s="3906">
        <v>17345</v>
      </c>
      <c r="AC11" s="4503">
        <v>23851</v>
      </c>
    </row>
    <row r="12" spans="1:29" s="3436" customFormat="1" x14ac:dyDescent="0.35">
      <c r="A12" s="3666"/>
      <c r="B12" s="3425"/>
      <c r="C12" s="3425"/>
      <c r="D12" s="3908" t="s">
        <v>1584</v>
      </c>
      <c r="E12" s="3909"/>
      <c r="F12" s="3909"/>
      <c r="G12" s="3910"/>
      <c r="H12" s="3910"/>
      <c r="I12" s="3910"/>
      <c r="J12" s="3910"/>
      <c r="K12" s="3910">
        <v>2347</v>
      </c>
      <c r="L12" s="3910">
        <v>2312</v>
      </c>
      <c r="M12" s="3910">
        <v>2786</v>
      </c>
      <c r="N12" s="3910">
        <v>2600</v>
      </c>
      <c r="O12" s="3910">
        <v>1509</v>
      </c>
      <c r="P12" s="3910">
        <v>1789</v>
      </c>
      <c r="Q12" s="3910">
        <v>1757</v>
      </c>
      <c r="R12" s="3906">
        <v>1668</v>
      </c>
      <c r="S12" s="3906">
        <v>1789</v>
      </c>
      <c r="T12" s="3906">
        <v>1745</v>
      </c>
      <c r="U12" s="3906">
        <v>1693</v>
      </c>
      <c r="V12" s="3906">
        <v>1515</v>
      </c>
      <c r="W12" s="3906">
        <v>1690</v>
      </c>
      <c r="X12" s="3906">
        <v>1690</v>
      </c>
      <c r="Y12" s="3906">
        <v>1871</v>
      </c>
      <c r="Z12" s="3906">
        <v>1765</v>
      </c>
      <c r="AA12" s="3906">
        <v>1547</v>
      </c>
      <c r="AB12" s="3906">
        <v>1509</v>
      </c>
      <c r="AC12" s="4503">
        <v>1304</v>
      </c>
    </row>
    <row r="13" spans="1:29" ht="18.75" customHeight="1" x14ac:dyDescent="0.35">
      <c r="D13" s="3908" t="s">
        <v>1585</v>
      </c>
      <c r="E13" s="3910"/>
      <c r="F13" s="3910"/>
      <c r="G13" s="3909"/>
      <c r="H13" s="3909"/>
      <c r="I13" s="3909"/>
      <c r="J13" s="3909"/>
      <c r="K13" s="3910">
        <v>2635</v>
      </c>
      <c r="L13" s="3910">
        <v>2895</v>
      </c>
      <c r="M13" s="3910">
        <v>3175</v>
      </c>
      <c r="N13" s="3910">
        <v>3342</v>
      </c>
      <c r="O13" s="3910">
        <v>2759</v>
      </c>
      <c r="P13" s="3910">
        <v>2203</v>
      </c>
      <c r="Q13" s="3910">
        <v>2265</v>
      </c>
      <c r="R13" s="3906">
        <v>2510</v>
      </c>
      <c r="S13" s="3906">
        <v>2960</v>
      </c>
      <c r="T13" s="3906">
        <v>2905</v>
      </c>
      <c r="U13" s="3906">
        <v>2906</v>
      </c>
      <c r="V13" s="3906">
        <v>3110</v>
      </c>
      <c r="W13" s="3906">
        <v>3281</v>
      </c>
      <c r="X13" s="3906">
        <v>3276</v>
      </c>
      <c r="Y13" s="3906">
        <v>3108</v>
      </c>
      <c r="Z13" s="3906">
        <v>3268</v>
      </c>
      <c r="AA13" s="3906">
        <v>3308</v>
      </c>
      <c r="AB13" s="3906">
        <v>3249</v>
      </c>
      <c r="AC13" s="4503">
        <v>3315</v>
      </c>
    </row>
    <row r="14" spans="1:29" x14ac:dyDescent="0.35">
      <c r="D14" s="3911" t="s">
        <v>952</v>
      </c>
      <c r="E14" s="3912"/>
      <c r="F14" s="3912"/>
      <c r="G14" s="3912">
        <v>13013</v>
      </c>
      <c r="H14" s="3912">
        <v>6803</v>
      </c>
      <c r="I14" s="3912">
        <v>10152</v>
      </c>
      <c r="J14" s="3912">
        <v>12664</v>
      </c>
      <c r="K14" s="3912">
        <v>13912</v>
      </c>
      <c r="L14" s="3912">
        <v>20104</v>
      </c>
      <c r="M14" s="3912">
        <v>15126</v>
      </c>
      <c r="N14" s="3912">
        <v>20600</v>
      </c>
      <c r="O14" s="3912">
        <v>22392</v>
      </c>
      <c r="P14" s="3912">
        <v>24469</v>
      </c>
      <c r="Q14" s="3912">
        <v>22096</v>
      </c>
      <c r="R14" s="3912">
        <v>15130</v>
      </c>
      <c r="S14" s="3912">
        <v>18589</v>
      </c>
      <c r="T14" s="3912">
        <v>21923</v>
      </c>
      <c r="U14" s="3912">
        <v>21629</v>
      </c>
      <c r="V14" s="3912">
        <v>18319</v>
      </c>
      <c r="W14" s="3912">
        <v>18119</v>
      </c>
      <c r="X14" s="3912">
        <v>15242</v>
      </c>
      <c r="Y14" s="3912">
        <v>14113</v>
      </c>
      <c r="Z14" s="3912">
        <v>12841</v>
      </c>
      <c r="AA14" s="3912">
        <v>16819</v>
      </c>
      <c r="AB14" s="3912">
        <v>13442</v>
      </c>
      <c r="AC14" s="4504">
        <v>13643</v>
      </c>
    </row>
    <row r="15" spans="1:29" x14ac:dyDescent="0.35">
      <c r="D15" s="3913" t="s">
        <v>1586</v>
      </c>
      <c r="E15" s="3914"/>
      <c r="F15" s="3914"/>
      <c r="G15" s="3914"/>
      <c r="H15" s="3914"/>
      <c r="I15" s="3914"/>
      <c r="J15" s="3914"/>
      <c r="K15" s="3914"/>
      <c r="L15" s="3914"/>
      <c r="M15" s="3914"/>
      <c r="N15" s="3914"/>
      <c r="O15" s="3914"/>
      <c r="P15" s="3914"/>
      <c r="Q15" s="3914">
        <v>157444</v>
      </c>
      <c r="R15" s="3914">
        <v>9073</v>
      </c>
      <c r="S15" s="3915"/>
      <c r="T15" s="3915"/>
      <c r="U15" s="3915"/>
      <c r="V15" s="3915">
        <v>20865</v>
      </c>
      <c r="W15" s="3915">
        <v>21120</v>
      </c>
      <c r="X15" s="3914">
        <v>23565</v>
      </c>
      <c r="Y15" s="3914">
        <v>32523</v>
      </c>
      <c r="Z15" s="3914">
        <v>36014</v>
      </c>
      <c r="AA15" s="3914">
        <v>39407</v>
      </c>
      <c r="AB15" s="3915">
        <v>45331</v>
      </c>
      <c r="AC15" s="4552">
        <v>46737</v>
      </c>
    </row>
    <row r="16" spans="1:29" ht="14.5" customHeight="1" x14ac:dyDescent="0.35">
      <c r="D16" s="3913" t="s">
        <v>1587</v>
      </c>
      <c r="E16" s="3914">
        <v>10010</v>
      </c>
      <c r="F16" s="3914">
        <v>153672</v>
      </c>
      <c r="G16" s="3914">
        <v>106324</v>
      </c>
      <c r="H16" s="3914">
        <v>125164</v>
      </c>
      <c r="I16" s="3914">
        <v>48680</v>
      </c>
      <c r="J16" s="3914">
        <v>23783</v>
      </c>
      <c r="K16" s="3914">
        <v>31122</v>
      </c>
      <c r="L16" s="3914">
        <v>8851</v>
      </c>
      <c r="M16" s="3914">
        <v>103380</v>
      </c>
      <c r="N16" s="3914">
        <v>77858</v>
      </c>
      <c r="O16" s="3914">
        <v>118057</v>
      </c>
      <c r="P16" s="3914">
        <v>86571</v>
      </c>
      <c r="Q16" s="3914">
        <v>13034</v>
      </c>
      <c r="R16" s="3914">
        <v>116115</v>
      </c>
      <c r="S16" s="3915">
        <v>28187</v>
      </c>
      <c r="T16" s="3915">
        <v>134358</v>
      </c>
      <c r="U16" s="3915">
        <v>40469</v>
      </c>
      <c r="V16" s="3915">
        <v>104073</v>
      </c>
      <c r="W16" s="3915">
        <v>152406</v>
      </c>
      <c r="X16" s="3915">
        <v>152707</v>
      </c>
      <c r="Y16" s="3916">
        <v>91013</v>
      </c>
      <c r="Z16" s="3916">
        <v>109690</v>
      </c>
      <c r="AA16" s="3916">
        <v>108960</v>
      </c>
      <c r="AB16" s="3917">
        <v>112611</v>
      </c>
      <c r="AC16" s="4553">
        <v>112611</v>
      </c>
    </row>
    <row r="17" spans="1:29" x14ac:dyDescent="0.35">
      <c r="D17" s="3918" t="s">
        <v>1588</v>
      </c>
      <c r="E17" s="3919">
        <v>64059</v>
      </c>
      <c r="F17" s="3919">
        <v>76275</v>
      </c>
      <c r="G17" s="3919">
        <v>113033</v>
      </c>
      <c r="H17" s="3919">
        <v>121738</v>
      </c>
      <c r="I17" s="3919" t="s">
        <v>314</v>
      </c>
      <c r="J17" s="3919">
        <v>152786</v>
      </c>
      <c r="K17" s="3919">
        <v>124374</v>
      </c>
      <c r="L17" s="3919">
        <v>168009</v>
      </c>
      <c r="M17" s="3919">
        <v>156457</v>
      </c>
      <c r="N17" s="3919">
        <v>161618</v>
      </c>
      <c r="O17" s="3919">
        <v>165615</v>
      </c>
      <c r="P17" s="3919">
        <v>164582</v>
      </c>
      <c r="Q17" s="3919">
        <v>165965</v>
      </c>
      <c r="R17" s="3919">
        <v>168784</v>
      </c>
      <c r="S17" s="3920">
        <v>178776</v>
      </c>
      <c r="T17" s="3920">
        <v>198859</v>
      </c>
      <c r="U17" s="3920">
        <v>83198</v>
      </c>
      <c r="V17" s="3920">
        <v>106478</v>
      </c>
      <c r="W17" s="3920">
        <v>120668</v>
      </c>
      <c r="X17" s="3920">
        <v>133826</v>
      </c>
      <c r="Y17" s="3919">
        <v>134760</v>
      </c>
      <c r="Z17" s="3919">
        <v>132364</v>
      </c>
      <c r="AA17" s="3919">
        <v>143480</v>
      </c>
      <c r="AB17" s="3920">
        <v>159259</v>
      </c>
      <c r="AC17" s="4554">
        <v>159235</v>
      </c>
    </row>
    <row r="18" spans="1:29" s="3926" customFormat="1" x14ac:dyDescent="0.35">
      <c r="A18" s="3423"/>
      <c r="B18" s="3921"/>
      <c r="C18" s="3921"/>
      <c r="D18" s="3922" t="s">
        <v>232</v>
      </c>
      <c r="E18" s="3923">
        <f t="shared" ref="E18:U18" si="1">SUM(E9,E11:E17)</f>
        <v>74069</v>
      </c>
      <c r="F18" s="3923">
        <f t="shared" si="1"/>
        <v>229947</v>
      </c>
      <c r="G18" s="3923">
        <f t="shared" si="1"/>
        <v>232370</v>
      </c>
      <c r="H18" s="3923">
        <f t="shared" si="1"/>
        <v>255978</v>
      </c>
      <c r="I18" s="3923">
        <f t="shared" si="1"/>
        <v>68283</v>
      </c>
      <c r="J18" s="3923">
        <f t="shared" si="1"/>
        <v>199567</v>
      </c>
      <c r="K18" s="3923">
        <f t="shared" si="1"/>
        <v>184610</v>
      </c>
      <c r="L18" s="3923">
        <f t="shared" si="1"/>
        <v>218252</v>
      </c>
      <c r="M18" s="3923">
        <f t="shared" si="1"/>
        <v>300775</v>
      </c>
      <c r="N18" s="3923">
        <f t="shared" si="1"/>
        <v>281022</v>
      </c>
      <c r="O18" s="3923">
        <f t="shared" si="1"/>
        <v>318834</v>
      </c>
      <c r="P18" s="3923">
        <f t="shared" si="1"/>
        <v>295816</v>
      </c>
      <c r="Q18" s="3923">
        <f t="shared" si="1"/>
        <v>404693</v>
      </c>
      <c r="R18" s="3923">
        <f t="shared" si="1"/>
        <v>379753</v>
      </c>
      <c r="S18" s="3923">
        <f t="shared" si="1"/>
        <v>353064</v>
      </c>
      <c r="T18" s="3923">
        <f t="shared" si="1"/>
        <v>484189</v>
      </c>
      <c r="U18" s="3923">
        <f t="shared" si="1"/>
        <v>274190</v>
      </c>
      <c r="V18" s="3923">
        <f t="shared" ref="V18:AA18" si="2">SUM(V15:V17)</f>
        <v>231416</v>
      </c>
      <c r="W18" s="3923">
        <f t="shared" si="2"/>
        <v>294194</v>
      </c>
      <c r="X18" s="3924">
        <f t="shared" si="2"/>
        <v>310098</v>
      </c>
      <c r="Y18" s="3924">
        <f t="shared" si="2"/>
        <v>258296</v>
      </c>
      <c r="Z18" s="3925">
        <f t="shared" si="2"/>
        <v>278068</v>
      </c>
      <c r="AA18" s="3925">
        <f t="shared" si="2"/>
        <v>291847</v>
      </c>
      <c r="AB18" s="3924">
        <v>317201</v>
      </c>
      <c r="AC18" s="4505">
        <f>SUM(AC15:AC17)</f>
        <v>318583</v>
      </c>
    </row>
    <row r="19" spans="1:29" x14ac:dyDescent="0.35">
      <c r="D19" s="3913"/>
      <c r="E19" s="3914"/>
      <c r="F19" s="3914"/>
      <c r="G19" s="3914"/>
      <c r="H19" s="3914"/>
      <c r="I19" s="3914"/>
      <c r="J19" s="3914"/>
      <c r="K19" s="3914"/>
      <c r="L19" s="3914"/>
      <c r="M19" s="3914"/>
      <c r="N19" s="3914"/>
      <c r="O19" s="3914"/>
      <c r="P19" s="3914"/>
      <c r="Q19" s="3914"/>
      <c r="R19" s="3914"/>
      <c r="S19" s="3915"/>
      <c r="T19" s="3915"/>
      <c r="U19" s="3915"/>
      <c r="V19" s="3915"/>
      <c r="W19" s="3915"/>
      <c r="X19" s="3915"/>
      <c r="Y19" s="636"/>
      <c r="Z19" s="3910"/>
      <c r="AA19" s="3910"/>
      <c r="AB19" s="3915"/>
      <c r="AC19" s="3915"/>
    </row>
    <row r="20" spans="1:29" s="3891" customFormat="1" x14ac:dyDescent="0.35">
      <c r="A20" s="3882"/>
      <c r="B20" s="3882"/>
      <c r="C20" s="3882"/>
      <c r="D20" s="3883" t="s">
        <v>85</v>
      </c>
      <c r="E20" s="3884" t="s">
        <v>1589</v>
      </c>
      <c r="F20" s="3885"/>
      <c r="G20" s="3885"/>
      <c r="H20" s="3886"/>
      <c r="I20" s="3886"/>
      <c r="J20" s="3886"/>
      <c r="K20" s="3886"/>
      <c r="L20" s="3887"/>
      <c r="M20" s="3888"/>
      <c r="N20" s="3888"/>
      <c r="O20" s="3888"/>
      <c r="P20" s="3888"/>
      <c r="Q20" s="3889"/>
      <c r="R20" s="3889"/>
      <c r="S20" s="3889"/>
      <c r="T20" s="3889"/>
      <c r="U20" s="3889"/>
      <c r="V20" s="3889"/>
      <c r="W20" s="3889"/>
      <c r="X20" s="3927"/>
      <c r="Y20" s="3928"/>
      <c r="Z20" s="3929"/>
      <c r="AA20" s="3929"/>
      <c r="AB20" s="3929"/>
      <c r="AC20" s="4506"/>
    </row>
    <row r="21" spans="1:29" x14ac:dyDescent="0.35">
      <c r="D21" s="3892"/>
      <c r="E21" s="3893" t="s">
        <v>103</v>
      </c>
      <c r="F21" s="3893" t="s">
        <v>104</v>
      </c>
      <c r="G21" s="3893" t="s">
        <v>105</v>
      </c>
      <c r="H21" s="3893" t="s">
        <v>106</v>
      </c>
      <c r="I21" s="3893" t="s">
        <v>107</v>
      </c>
      <c r="J21" s="3894" t="s">
        <v>108</v>
      </c>
      <c r="K21" s="3893" t="s">
        <v>109</v>
      </c>
      <c r="L21" s="3893" t="s">
        <v>110</v>
      </c>
      <c r="M21" s="3893" t="s">
        <v>111</v>
      </c>
      <c r="N21" s="3893" t="s">
        <v>112</v>
      </c>
      <c r="O21" s="3893" t="s">
        <v>113</v>
      </c>
      <c r="P21" s="3893" t="s">
        <v>114</v>
      </c>
      <c r="Q21" s="3893" t="s">
        <v>115</v>
      </c>
      <c r="R21" s="3893" t="s">
        <v>116</v>
      </c>
      <c r="S21" s="3893" t="s">
        <v>117</v>
      </c>
      <c r="T21" s="3893" t="s">
        <v>118</v>
      </c>
      <c r="U21" s="3893" t="s">
        <v>119</v>
      </c>
      <c r="V21" s="3893" t="s">
        <v>120</v>
      </c>
      <c r="W21" s="3893" t="s">
        <v>121</v>
      </c>
      <c r="X21" s="3930" t="s">
        <v>122</v>
      </c>
      <c r="Y21" s="3931" t="s">
        <v>123</v>
      </c>
      <c r="Z21" s="3932" t="s">
        <v>124</v>
      </c>
      <c r="AA21" s="3932" t="s">
        <v>125</v>
      </c>
      <c r="AB21" s="3932" t="s">
        <v>126</v>
      </c>
      <c r="AC21" s="4507" t="s">
        <v>302</v>
      </c>
    </row>
    <row r="22" spans="1:29" x14ac:dyDescent="0.35">
      <c r="D22" s="3913" t="s">
        <v>1590</v>
      </c>
      <c r="E22" s="3914">
        <v>17433</v>
      </c>
      <c r="F22" s="3914">
        <v>21159</v>
      </c>
      <c r="G22" s="3914">
        <v>22724</v>
      </c>
      <c r="H22" s="3914">
        <v>22280</v>
      </c>
      <c r="I22" s="3914">
        <v>21659</v>
      </c>
      <c r="J22" s="3914">
        <v>24954</v>
      </c>
      <c r="K22" s="3914">
        <v>28030</v>
      </c>
      <c r="L22" s="3914">
        <v>28941</v>
      </c>
      <c r="M22" s="3914">
        <v>31491</v>
      </c>
      <c r="N22" s="3914">
        <v>31562</v>
      </c>
      <c r="O22" s="3914">
        <v>24387</v>
      </c>
      <c r="P22" s="3914">
        <v>25899</v>
      </c>
      <c r="Q22" s="3914">
        <v>30914</v>
      </c>
      <c r="R22" s="3914">
        <v>34299</v>
      </c>
      <c r="S22" s="3915">
        <v>36862</v>
      </c>
      <c r="T22" s="3915">
        <v>42059</v>
      </c>
      <c r="U22" s="3915">
        <v>44218</v>
      </c>
      <c r="V22" s="4551">
        <v>46259</v>
      </c>
      <c r="W22" s="3915">
        <v>49282</v>
      </c>
      <c r="X22" s="3915">
        <v>50855</v>
      </c>
      <c r="Y22" s="3915">
        <v>51937</v>
      </c>
      <c r="Z22" s="3915">
        <v>51785</v>
      </c>
      <c r="AA22" s="3915">
        <v>54225</v>
      </c>
      <c r="AB22" s="3910">
        <v>55030</v>
      </c>
      <c r="AC22" s="4508">
        <f>'Parolees  '!AD10</f>
        <v>53256</v>
      </c>
    </row>
    <row r="23" spans="1:29" x14ac:dyDescent="0.35">
      <c r="D23" s="3918" t="s">
        <v>1591</v>
      </c>
      <c r="E23" s="3919">
        <v>8487</v>
      </c>
      <c r="F23" s="3919">
        <v>10715</v>
      </c>
      <c r="G23" s="3919">
        <v>12054</v>
      </c>
      <c r="H23" s="3919">
        <v>11751</v>
      </c>
      <c r="I23" s="3919">
        <v>12648</v>
      </c>
      <c r="J23" s="3919">
        <v>16509</v>
      </c>
      <c r="K23" s="3919">
        <v>17935</v>
      </c>
      <c r="L23" s="3919">
        <v>19248</v>
      </c>
      <c r="M23" s="3919">
        <v>20656</v>
      </c>
      <c r="N23" s="3919">
        <v>20680</v>
      </c>
      <c r="O23" s="3919">
        <v>15470</v>
      </c>
      <c r="P23" s="3919">
        <v>16044</v>
      </c>
      <c r="Q23" s="3919">
        <v>17708</v>
      </c>
      <c r="R23" s="3919">
        <v>18886</v>
      </c>
      <c r="S23" s="3920">
        <v>18370</v>
      </c>
      <c r="T23" s="3920">
        <v>19627</v>
      </c>
      <c r="U23" s="3920">
        <v>19437</v>
      </c>
      <c r="V23" s="3920">
        <v>15943</v>
      </c>
      <c r="W23" s="3920">
        <v>16744</v>
      </c>
      <c r="X23" s="3920">
        <v>17033</v>
      </c>
      <c r="Y23" s="3920">
        <v>17061</v>
      </c>
      <c r="Z23" s="3915">
        <v>16178</v>
      </c>
      <c r="AA23" s="3915">
        <v>16131</v>
      </c>
      <c r="AB23" s="3910">
        <v>15202</v>
      </c>
      <c r="AC23" s="4508">
        <f>'Parolees  '!AD16</f>
        <v>12605</v>
      </c>
    </row>
    <row r="24" spans="1:29" s="3926" customFormat="1" x14ac:dyDescent="0.35">
      <c r="A24" s="3423"/>
      <c r="B24" s="3921"/>
      <c r="C24" s="3921"/>
      <c r="D24" s="3922" t="s">
        <v>232</v>
      </c>
      <c r="E24" s="3923">
        <f t="shared" ref="E24:U24" si="3">SUM(E22:E23)</f>
        <v>25920</v>
      </c>
      <c r="F24" s="3923">
        <f t="shared" si="3"/>
        <v>31874</v>
      </c>
      <c r="G24" s="3923">
        <f t="shared" si="3"/>
        <v>34778</v>
      </c>
      <c r="H24" s="3923">
        <f t="shared" si="3"/>
        <v>34031</v>
      </c>
      <c r="I24" s="3923">
        <f t="shared" si="3"/>
        <v>34307</v>
      </c>
      <c r="J24" s="3923">
        <f t="shared" si="3"/>
        <v>41463</v>
      </c>
      <c r="K24" s="3923">
        <f t="shared" si="3"/>
        <v>45965</v>
      </c>
      <c r="L24" s="3923">
        <f t="shared" si="3"/>
        <v>48189</v>
      </c>
      <c r="M24" s="3923">
        <f t="shared" si="3"/>
        <v>52147</v>
      </c>
      <c r="N24" s="3923">
        <f t="shared" si="3"/>
        <v>52242</v>
      </c>
      <c r="O24" s="3923">
        <f t="shared" si="3"/>
        <v>39857</v>
      </c>
      <c r="P24" s="3923">
        <f t="shared" si="3"/>
        <v>41943</v>
      </c>
      <c r="Q24" s="3923">
        <f t="shared" si="3"/>
        <v>48622</v>
      </c>
      <c r="R24" s="3923">
        <f t="shared" si="3"/>
        <v>53185</v>
      </c>
      <c r="S24" s="3923">
        <f t="shared" si="3"/>
        <v>55232</v>
      </c>
      <c r="T24" s="3923">
        <f t="shared" si="3"/>
        <v>61686</v>
      </c>
      <c r="U24" s="3923">
        <f t="shared" si="3"/>
        <v>63655</v>
      </c>
      <c r="V24" s="3923">
        <v>62202</v>
      </c>
      <c r="W24" s="3923">
        <v>66025</v>
      </c>
      <c r="X24" s="3924">
        <f>SUM(X22:X23)</f>
        <v>67888</v>
      </c>
      <c r="Y24" s="3924">
        <f>SUM(Y22:Y23)</f>
        <v>68998</v>
      </c>
      <c r="Z24" s="3933">
        <v>69746</v>
      </c>
      <c r="AA24" s="3933">
        <f>SUM(AA22:AA23)</f>
        <v>70356</v>
      </c>
      <c r="AB24" s="4509">
        <f>SUM(AB22:AB23)</f>
        <v>70232</v>
      </c>
      <c r="AC24" s="4510">
        <f>SUM(AC22:AC23)</f>
        <v>65861</v>
      </c>
    </row>
    <row r="25" spans="1:29" s="3926" customFormat="1" x14ac:dyDescent="0.35">
      <c r="A25" s="3423"/>
      <c r="B25" s="3921"/>
      <c r="C25" s="3921"/>
      <c r="D25" s="3934"/>
      <c r="E25" s="3935"/>
      <c r="F25" s="3935"/>
      <c r="G25" s="3935"/>
      <c r="H25" s="3935"/>
      <c r="I25" s="3935"/>
      <c r="J25" s="3935"/>
      <c r="K25" s="3935"/>
      <c r="L25" s="3935"/>
      <c r="M25" s="3935"/>
      <c r="N25" s="3935"/>
      <c r="O25" s="3935"/>
      <c r="P25" s="3935"/>
      <c r="Q25" s="3935"/>
      <c r="R25" s="3935"/>
      <c r="S25" s="3935"/>
      <c r="T25" s="3935"/>
      <c r="U25" s="3935"/>
      <c r="V25" s="3893"/>
      <c r="W25" s="3936"/>
      <c r="AA25" s="3937"/>
      <c r="AB25" s="4511"/>
      <c r="AC25" s="4511"/>
    </row>
    <row r="26" spans="1:29" x14ac:dyDescent="0.35">
      <c r="D26" s="3421"/>
      <c r="E26" s="330"/>
      <c r="F26" s="330"/>
      <c r="G26" s="330"/>
      <c r="H26" s="330"/>
      <c r="I26" s="330"/>
      <c r="J26" s="330"/>
      <c r="K26" s="330"/>
      <c r="L26" s="330"/>
      <c r="M26" s="3938"/>
      <c r="N26" s="330"/>
      <c r="O26" s="330"/>
      <c r="P26" s="330"/>
      <c r="Q26" s="330"/>
      <c r="R26" s="330"/>
      <c r="V26" s="3897"/>
      <c r="AB26" s="874"/>
      <c r="AC26" s="874"/>
    </row>
    <row r="27" spans="1:29" x14ac:dyDescent="0.35">
      <c r="D27" s="3421"/>
      <c r="E27" s="330"/>
      <c r="F27" s="330"/>
      <c r="G27" s="330"/>
      <c r="H27" s="330"/>
      <c r="I27" s="330"/>
      <c r="J27" s="330"/>
      <c r="K27" s="330"/>
      <c r="L27" s="330"/>
      <c r="M27" s="3938"/>
      <c r="N27" s="330"/>
      <c r="O27" s="330"/>
      <c r="P27" s="330"/>
      <c r="Q27" s="330"/>
      <c r="R27" s="330"/>
    </row>
    <row r="28" spans="1:29" x14ac:dyDescent="0.35">
      <c r="D28" s="3421"/>
      <c r="E28" s="330"/>
      <c r="F28" s="330"/>
      <c r="G28" s="330"/>
      <c r="H28" s="330"/>
      <c r="I28" s="330"/>
      <c r="J28" s="330"/>
      <c r="K28" s="330"/>
      <c r="L28" s="330"/>
      <c r="M28" s="3938"/>
      <c r="N28" s="330"/>
      <c r="O28" s="330"/>
      <c r="P28" s="330"/>
      <c r="Q28" s="330"/>
      <c r="R28" s="330"/>
    </row>
    <row r="29" spans="1:29" x14ac:dyDescent="0.35">
      <c r="D29" s="3421"/>
      <c r="E29" s="330"/>
      <c r="F29" s="330"/>
      <c r="G29" s="330"/>
      <c r="H29" s="330"/>
      <c r="I29" s="330"/>
      <c r="J29" s="330"/>
      <c r="K29" s="330"/>
      <c r="L29" s="330"/>
      <c r="M29" s="3938"/>
      <c r="N29" s="330"/>
      <c r="O29" s="330"/>
      <c r="P29" s="330"/>
      <c r="Q29" s="330"/>
      <c r="R29" s="330"/>
    </row>
    <row r="30" spans="1:29" x14ac:dyDescent="0.35">
      <c r="D30" s="3421"/>
      <c r="E30" s="330"/>
      <c r="F30" s="330"/>
      <c r="G30" s="330"/>
      <c r="H30" s="330"/>
      <c r="I30" s="330"/>
      <c r="J30" s="330"/>
      <c r="K30" s="330"/>
      <c r="L30" s="330"/>
      <c r="M30" s="3938"/>
      <c r="N30" s="330"/>
      <c r="O30" s="330"/>
      <c r="P30" s="330"/>
      <c r="Q30" s="330"/>
      <c r="R30" s="330"/>
    </row>
    <row r="31" spans="1:29" x14ac:dyDescent="0.35">
      <c r="D31" s="3421"/>
      <c r="E31" s="330"/>
      <c r="F31" s="330"/>
      <c r="G31" s="330"/>
      <c r="H31" s="330"/>
      <c r="I31" s="330"/>
      <c r="J31" s="330"/>
      <c r="K31" s="330"/>
      <c r="L31" s="330"/>
      <c r="M31" s="3938"/>
      <c r="N31" s="330"/>
      <c r="O31" s="330"/>
      <c r="P31" s="330"/>
      <c r="Q31" s="330"/>
      <c r="R31" s="330"/>
    </row>
    <row r="32" spans="1:29" x14ac:dyDescent="0.35">
      <c r="A32" s="3422"/>
      <c r="B32" s="3422"/>
      <c r="C32" s="3422"/>
      <c r="D32" s="3421"/>
      <c r="E32" s="330"/>
      <c r="F32" s="330"/>
      <c r="G32" s="330"/>
      <c r="H32" s="330"/>
      <c r="I32" s="330"/>
      <c r="J32" s="330"/>
      <c r="K32" s="330"/>
      <c r="L32" s="330"/>
      <c r="M32" s="3938"/>
      <c r="N32" s="330"/>
      <c r="O32" s="330"/>
      <c r="P32" s="330"/>
      <c r="Q32" s="330"/>
      <c r="R32" s="330"/>
    </row>
    <row r="33" spans="1:28" x14ac:dyDescent="0.35">
      <c r="A33" s="3422"/>
      <c r="B33" s="3422"/>
      <c r="C33" s="3422"/>
      <c r="D33" s="3421"/>
      <c r="E33" s="330"/>
      <c r="F33" s="330"/>
      <c r="G33" s="330"/>
      <c r="H33" s="330"/>
      <c r="I33" s="330"/>
      <c r="J33" s="330"/>
      <c r="K33" s="330"/>
      <c r="L33" s="330"/>
      <c r="M33" s="3938"/>
      <c r="N33" s="330"/>
      <c r="O33" s="330"/>
      <c r="P33" s="330"/>
      <c r="Q33" s="330"/>
      <c r="R33" s="330"/>
    </row>
    <row r="34" spans="1:28" x14ac:dyDescent="0.35">
      <c r="A34" s="3422"/>
      <c r="B34" s="3422"/>
      <c r="C34" s="3422"/>
      <c r="D34" s="3421"/>
      <c r="E34" s="330"/>
      <c r="F34" s="330"/>
      <c r="G34" s="330"/>
      <c r="H34" s="330"/>
      <c r="I34" s="330"/>
      <c r="J34" s="330"/>
      <c r="K34" s="330"/>
      <c r="L34" s="330"/>
      <c r="M34" s="3938"/>
      <c r="N34" s="330"/>
      <c r="O34" s="330"/>
      <c r="P34" s="330"/>
      <c r="Q34" s="330"/>
      <c r="R34" s="330"/>
    </row>
    <row r="35" spans="1:28" x14ac:dyDescent="0.35">
      <c r="A35" s="3422"/>
      <c r="B35" s="3422"/>
      <c r="C35" s="3422"/>
      <c r="D35" s="3421"/>
      <c r="E35" s="330"/>
      <c r="F35" s="330"/>
      <c r="G35" s="330"/>
      <c r="H35" s="330"/>
      <c r="I35" s="330"/>
      <c r="J35" s="330"/>
      <c r="K35" s="330"/>
      <c r="L35" s="330"/>
      <c r="M35" s="3938"/>
      <c r="N35" s="330"/>
      <c r="O35" s="330"/>
      <c r="P35" s="330"/>
      <c r="Q35" s="330"/>
      <c r="R35" s="330"/>
    </row>
    <row r="36" spans="1:28" x14ac:dyDescent="0.35">
      <c r="A36" s="3422"/>
      <c r="B36" s="3422"/>
      <c r="C36" s="3422"/>
      <c r="D36" s="3421"/>
      <c r="E36" s="330"/>
      <c r="F36" s="330"/>
      <c r="G36" s="330"/>
      <c r="H36" s="330"/>
      <c r="I36" s="330"/>
      <c r="J36" s="330"/>
      <c r="K36" s="330"/>
      <c r="L36" s="330"/>
      <c r="M36" s="3938"/>
      <c r="N36" s="330"/>
      <c r="O36" s="330"/>
      <c r="P36" s="330"/>
      <c r="Q36" s="330"/>
      <c r="R36" s="330"/>
    </row>
    <row r="37" spans="1:28" x14ac:dyDescent="0.35">
      <c r="A37" s="3422"/>
      <c r="B37" s="3422"/>
      <c r="C37" s="3422"/>
      <c r="D37" s="3939"/>
      <c r="E37" s="3421"/>
      <c r="F37" s="3421"/>
      <c r="G37" s="3421"/>
      <c r="H37" s="3421"/>
      <c r="I37" s="3421"/>
      <c r="J37" s="3421"/>
      <c r="K37" s="3939"/>
      <c r="L37" s="3421"/>
      <c r="M37" s="3938"/>
      <c r="N37" s="3421"/>
      <c r="O37" s="3421"/>
      <c r="P37" s="3421"/>
      <c r="Q37" s="3421"/>
      <c r="R37" s="3421"/>
    </row>
    <row r="38" spans="1:28" x14ac:dyDescent="0.35">
      <c r="A38" s="3422"/>
      <c r="B38" s="3422"/>
      <c r="C38" s="3422"/>
      <c r="D38" s="3421"/>
      <c r="E38" s="3421"/>
      <c r="F38" s="3421"/>
      <c r="G38" s="3421"/>
      <c r="H38" s="3421"/>
      <c r="I38" s="3421"/>
      <c r="J38" s="3421"/>
      <c r="K38" s="3421"/>
      <c r="L38" s="3421"/>
      <c r="M38" s="3421"/>
      <c r="N38" s="3421"/>
      <c r="O38" s="3421"/>
      <c r="P38" s="3421"/>
      <c r="Q38" s="3421"/>
      <c r="R38" s="3421"/>
    </row>
    <row r="39" spans="1:28" x14ac:dyDescent="0.35">
      <c r="A39" s="3422"/>
      <c r="B39" s="3422"/>
      <c r="C39" s="3422"/>
      <c r="D39" s="3421"/>
      <c r="E39" s="3421"/>
      <c r="F39" s="3421"/>
      <c r="G39" s="3421"/>
      <c r="H39" s="3421"/>
      <c r="I39" s="3421"/>
      <c r="J39" s="3421"/>
      <c r="K39" s="3421"/>
      <c r="L39" s="3421"/>
      <c r="M39" s="3421"/>
      <c r="N39" s="3421"/>
      <c r="O39" s="3421"/>
      <c r="P39" s="3421"/>
      <c r="Q39" s="3421"/>
      <c r="R39" s="3421"/>
    </row>
    <row r="40" spans="1:28" x14ac:dyDescent="0.35">
      <c r="A40" s="3422"/>
      <c r="B40" s="3422"/>
      <c r="C40" s="3422"/>
      <c r="D40" s="3421"/>
      <c r="E40" s="3421"/>
      <c r="F40" s="3421"/>
      <c r="G40" s="3421"/>
      <c r="H40" s="3421"/>
      <c r="I40" s="3421"/>
      <c r="J40" s="3421"/>
      <c r="K40" s="3421"/>
      <c r="L40" s="3421"/>
      <c r="M40" s="3421"/>
      <c r="N40" s="3421"/>
      <c r="O40" s="3421"/>
      <c r="P40" s="3421"/>
      <c r="Q40" s="3421"/>
      <c r="R40" s="3421"/>
    </row>
    <row r="41" spans="1:28" x14ac:dyDescent="0.35">
      <c r="A41" s="3422"/>
      <c r="B41" s="3422"/>
      <c r="C41" s="3422"/>
      <c r="D41" s="3421"/>
      <c r="E41" s="3421"/>
      <c r="F41" s="3421"/>
      <c r="G41" s="3421"/>
      <c r="H41" s="3421"/>
      <c r="I41" s="3421"/>
      <c r="J41" s="3421"/>
      <c r="K41" s="3421"/>
      <c r="L41" s="3421"/>
      <c r="M41" s="3421"/>
      <c r="N41" s="3421"/>
      <c r="O41" s="3421"/>
      <c r="P41" s="3421"/>
      <c r="Q41" s="3421"/>
      <c r="R41" s="3421"/>
    </row>
    <row r="42" spans="1:28" x14ac:dyDescent="0.35">
      <c r="A42" s="3422"/>
      <c r="B42" s="3422"/>
      <c r="C42" s="3422"/>
      <c r="D42" s="3421"/>
      <c r="E42" s="3421"/>
      <c r="F42" s="3421"/>
      <c r="G42" s="3421"/>
      <c r="H42" s="3421"/>
      <c r="I42" s="3421"/>
      <c r="J42" s="3421"/>
      <c r="K42" s="3421"/>
      <c r="L42" s="3421"/>
      <c r="M42" s="3421"/>
      <c r="N42" s="3421"/>
      <c r="O42" s="3421"/>
      <c r="P42" s="3421"/>
      <c r="Q42" s="3421"/>
      <c r="R42" s="3421"/>
    </row>
    <row r="43" spans="1:28" x14ac:dyDescent="0.35">
      <c r="A43" s="3422"/>
      <c r="B43" s="3422"/>
      <c r="C43" s="3422"/>
      <c r="D43" s="3421"/>
      <c r="E43" s="3421"/>
      <c r="F43" s="3421"/>
      <c r="G43" s="3421"/>
      <c r="H43" s="3421"/>
      <c r="I43" s="3421"/>
      <c r="J43" s="3421"/>
      <c r="K43" s="3421"/>
      <c r="L43" s="3421"/>
      <c r="M43" s="3421"/>
      <c r="N43" s="3421"/>
      <c r="O43" s="3421"/>
      <c r="P43" s="3421"/>
      <c r="Q43" s="3421"/>
      <c r="R43" s="3421"/>
    </row>
    <row r="44" spans="1:28" x14ac:dyDescent="0.35">
      <c r="A44" s="3422"/>
      <c r="B44" s="3422"/>
      <c r="C44" s="3422"/>
      <c r="D44" s="3421"/>
      <c r="E44" s="3421"/>
      <c r="F44" s="3421"/>
      <c r="G44" s="3421"/>
      <c r="H44" s="3421"/>
      <c r="I44" s="3421"/>
      <c r="J44" s="3421"/>
      <c r="K44" s="3421"/>
      <c r="L44" s="3421"/>
      <c r="M44" s="3421"/>
      <c r="N44" s="3421"/>
      <c r="O44" s="3421"/>
      <c r="P44" s="3421"/>
      <c r="Q44" s="3421"/>
      <c r="R44" s="3421"/>
    </row>
    <row r="45" spans="1:28" x14ac:dyDescent="0.35">
      <c r="A45" s="3422"/>
      <c r="B45" s="3422"/>
      <c r="C45" s="3422"/>
      <c r="D45" s="3421"/>
      <c r="E45" s="3421"/>
      <c r="F45" s="3421"/>
      <c r="G45" s="3421"/>
      <c r="H45" s="3421"/>
      <c r="I45" s="3421"/>
      <c r="J45" s="3421"/>
      <c r="K45" s="3421"/>
      <c r="L45" s="3421"/>
      <c r="M45" s="3421"/>
      <c r="N45" s="3421"/>
      <c r="O45" s="3421"/>
      <c r="P45" s="3421"/>
      <c r="Q45" s="3421"/>
      <c r="R45" s="3421"/>
      <c r="S45" s="326"/>
      <c r="T45" s="326"/>
      <c r="U45" s="326"/>
    </row>
    <row r="46" spans="1:28" x14ac:dyDescent="0.35">
      <c r="A46" s="3423">
        <v>7</v>
      </c>
      <c r="B46" s="3423" t="s">
        <v>58</v>
      </c>
      <c r="C46" s="3423"/>
      <c r="D46" s="4642" t="s">
        <v>1574</v>
      </c>
      <c r="E46" s="4643"/>
      <c r="F46" s="4643"/>
      <c r="G46" s="4643"/>
      <c r="H46" s="4643"/>
      <c r="I46" s="4643"/>
      <c r="J46" s="4643"/>
      <c r="K46" s="4643"/>
      <c r="L46" s="4643"/>
      <c r="M46" s="4643"/>
      <c r="N46" s="4643"/>
      <c r="O46" s="4643"/>
      <c r="P46" s="4643"/>
      <c r="Q46" s="4643"/>
      <c r="R46" s="4643"/>
      <c r="S46" s="4643"/>
      <c r="T46" s="4643"/>
      <c r="U46" s="4643"/>
      <c r="V46" s="4643"/>
      <c r="W46" s="4643"/>
      <c r="X46" s="4643"/>
      <c r="Y46" s="4643"/>
      <c r="Z46" s="4643"/>
      <c r="AA46" s="4643"/>
      <c r="AB46" s="4644"/>
    </row>
    <row r="47" spans="1:28" ht="90.65" customHeight="1" x14ac:dyDescent="0.35">
      <c r="A47" s="3511">
        <v>8</v>
      </c>
      <c r="B47" s="3511" t="s">
        <v>60</v>
      </c>
      <c r="C47" s="3511"/>
      <c r="D47" s="4807" t="s">
        <v>1604</v>
      </c>
      <c r="E47" s="4643"/>
      <c r="F47" s="4643"/>
      <c r="G47" s="4643"/>
      <c r="H47" s="4643"/>
      <c r="I47" s="4643"/>
      <c r="J47" s="4643"/>
      <c r="K47" s="4643"/>
      <c r="L47" s="4643"/>
      <c r="M47" s="4643"/>
      <c r="N47" s="4643"/>
      <c r="O47" s="4643"/>
      <c r="P47" s="4643"/>
      <c r="Q47" s="4643"/>
      <c r="R47" s="4643"/>
      <c r="S47" s="4643"/>
      <c r="T47" s="4643"/>
      <c r="U47" s="4643"/>
      <c r="V47" s="4643"/>
      <c r="W47" s="4643"/>
      <c r="X47" s="4643"/>
      <c r="Y47" s="4643"/>
      <c r="Z47" s="4643"/>
      <c r="AA47" s="4643"/>
      <c r="AB47" s="4644"/>
    </row>
    <row r="48" spans="1:28" ht="15" customHeight="1" x14ac:dyDescent="0.35">
      <c r="A48" s="3423">
        <v>9</v>
      </c>
      <c r="B48" s="3423" t="s">
        <v>62</v>
      </c>
      <c r="C48" s="3423"/>
      <c r="D48" s="4642" t="s">
        <v>1576</v>
      </c>
      <c r="E48" s="4643"/>
      <c r="F48" s="4643"/>
      <c r="G48" s="4643"/>
      <c r="H48" s="4643"/>
      <c r="I48" s="4643"/>
      <c r="J48" s="4643"/>
      <c r="K48" s="4643"/>
      <c r="L48" s="4643"/>
      <c r="M48" s="4643"/>
      <c r="N48" s="4643"/>
      <c r="O48" s="4643"/>
      <c r="P48" s="4643"/>
      <c r="Q48" s="4643"/>
      <c r="R48" s="4643"/>
      <c r="S48" s="4643"/>
      <c r="T48" s="4643"/>
      <c r="U48" s="4643"/>
      <c r="V48" s="4643"/>
      <c r="W48" s="4643"/>
      <c r="X48" s="4643"/>
      <c r="Y48" s="4643"/>
      <c r="Z48" s="4643"/>
      <c r="AA48" s="4643"/>
      <c r="AB48" s="4644"/>
    </row>
    <row r="50" spans="1:4" x14ac:dyDescent="0.35">
      <c r="A50" s="3422"/>
      <c r="B50" s="3422"/>
      <c r="C50" s="3422"/>
      <c r="D50" s="3940"/>
    </row>
  </sheetData>
  <mergeCells count="6">
    <mergeCell ref="D48:AB48"/>
    <mergeCell ref="D2:AB2"/>
    <mergeCell ref="D3:AB3"/>
    <mergeCell ref="D4:AB4"/>
    <mergeCell ref="D46:AB46"/>
    <mergeCell ref="D47:AB47"/>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tint="-0.249977111117893"/>
    <pageSetUpPr fitToPage="1"/>
  </sheetPr>
  <dimension ref="A1:AD40"/>
  <sheetViews>
    <sheetView showGridLines="0" view="pageBreakPreview" zoomScaleNormal="100" zoomScaleSheetLayoutView="100" workbookViewId="0">
      <selection activeCell="Y27" sqref="Y27"/>
    </sheetView>
  </sheetViews>
  <sheetFormatPr defaultColWidth="9.1796875" defaultRowHeight="14" x14ac:dyDescent="0.3"/>
  <cols>
    <col min="1" max="1" width="3.81640625" style="3423" customWidth="1"/>
    <col min="2" max="2" width="10" style="3749" customWidth="1"/>
    <col min="3" max="3" width="6.1796875" style="3749" customWidth="1"/>
    <col min="4" max="4" width="17.81640625" style="3751" customWidth="1"/>
    <col min="5" max="5" width="9.1796875" style="3751" customWidth="1"/>
    <col min="6" max="11" width="7.453125" style="3751" customWidth="1"/>
    <col min="12" max="14" width="7.453125" style="3751" hidden="1" customWidth="1"/>
    <col min="15" max="19" width="7.453125" style="3751" customWidth="1"/>
    <col min="20" max="23" width="6.81640625" style="3751" customWidth="1"/>
    <col min="24" max="24" width="9.1796875" style="3751"/>
    <col min="25" max="25" width="8.1796875" style="3751" customWidth="1"/>
    <col min="26" max="26" width="8" style="3751" customWidth="1"/>
    <col min="27" max="27" width="7.453125" style="3751" customWidth="1"/>
    <col min="28" max="28" width="8.1796875" style="3751" customWidth="1"/>
    <col min="29" max="30" width="7.453125" style="3751" customWidth="1"/>
    <col min="31" max="16384" width="9.1796875" style="3751"/>
  </cols>
  <sheetData>
    <row r="1" spans="1:30" x14ac:dyDescent="0.3">
      <c r="D1" s="3750"/>
      <c r="E1" s="3750"/>
      <c r="F1" s="3750"/>
      <c r="G1" s="3750"/>
      <c r="H1" s="3750"/>
      <c r="I1" s="3750"/>
      <c r="J1" s="3750"/>
      <c r="K1" s="3750"/>
      <c r="L1" s="3750"/>
      <c r="M1" s="3750"/>
      <c r="N1" s="3750"/>
      <c r="O1" s="3750"/>
      <c r="P1" s="3750"/>
      <c r="Q1" s="3750"/>
      <c r="R1" s="3750"/>
    </row>
    <row r="2" spans="1:30" ht="14.15" customHeight="1" x14ac:dyDescent="0.3">
      <c r="A2" s="3423">
        <v>1</v>
      </c>
      <c r="B2" s="3423" t="s">
        <v>0</v>
      </c>
      <c r="C2" s="3423">
        <v>72</v>
      </c>
      <c r="D2" s="4642" t="s">
        <v>1592</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4"/>
    </row>
    <row r="3" spans="1:30" ht="14.25" customHeight="1" x14ac:dyDescent="0.3">
      <c r="A3" s="3423">
        <v>2</v>
      </c>
      <c r="B3" s="3423" t="s">
        <v>2</v>
      </c>
      <c r="C3" s="3423"/>
      <c r="D3" s="4642" t="s">
        <v>1593</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4"/>
    </row>
    <row r="4" spans="1:30" ht="14.15" customHeight="1" x14ac:dyDescent="0.3">
      <c r="A4" s="3423">
        <v>3</v>
      </c>
      <c r="B4" s="3423" t="s">
        <v>4</v>
      </c>
      <c r="C4" s="3423"/>
      <c r="D4" s="4642" t="s">
        <v>1594</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4"/>
    </row>
    <row r="5" spans="1:30" ht="14.15" customHeight="1" x14ac:dyDescent="0.3">
      <c r="B5" s="3423"/>
      <c r="C5" s="3423"/>
      <c r="D5" s="949"/>
      <c r="E5" s="949"/>
      <c r="F5" s="949"/>
      <c r="G5" s="949"/>
      <c r="H5" s="949"/>
      <c r="I5" s="949"/>
      <c r="J5" s="949"/>
      <c r="K5" s="949"/>
      <c r="L5" s="949"/>
      <c r="M5" s="949"/>
      <c r="N5" s="949"/>
      <c r="O5" s="949"/>
      <c r="P5" s="949"/>
      <c r="Q5" s="949"/>
      <c r="R5" s="949"/>
      <c r="S5" s="949"/>
      <c r="T5" s="949"/>
      <c r="U5" s="949"/>
      <c r="V5" s="949"/>
      <c r="W5" s="949"/>
      <c r="X5" s="949"/>
      <c r="Y5" s="949"/>
      <c r="Z5" s="949"/>
      <c r="AA5" s="949"/>
      <c r="AB5" s="949"/>
      <c r="AC5" s="949"/>
    </row>
    <row r="6" spans="1:30" x14ac:dyDescent="0.3">
      <c r="A6" s="3423">
        <v>4</v>
      </c>
      <c r="B6" s="1326" t="s">
        <v>6</v>
      </c>
      <c r="C6" s="1326"/>
      <c r="Q6" s="326"/>
      <c r="R6" s="326"/>
      <c r="Z6" s="1912"/>
      <c r="AA6" s="1912"/>
      <c r="AB6" s="1912"/>
      <c r="AC6" s="1912"/>
      <c r="AD6" s="1912"/>
    </row>
    <row r="7" spans="1:30" s="3944" customFormat="1" x14ac:dyDescent="0.3">
      <c r="A7" s="3941"/>
      <c r="B7" s="3941"/>
      <c r="C7" s="3941"/>
      <c r="D7" s="3942" t="s">
        <v>7</v>
      </c>
      <c r="E7" s="3943" t="s">
        <v>1590</v>
      </c>
      <c r="G7" s="3945"/>
      <c r="H7" s="3945"/>
      <c r="I7" s="3946"/>
      <c r="J7" s="3946"/>
      <c r="K7" s="3946"/>
      <c r="L7" s="3946"/>
      <c r="M7" s="3945"/>
      <c r="N7" s="3946"/>
      <c r="O7" s="3946"/>
      <c r="P7" s="3946"/>
      <c r="Q7" s="3946"/>
      <c r="R7" s="3946"/>
      <c r="S7" s="3946"/>
      <c r="T7" s="3946"/>
      <c r="U7" s="3946"/>
      <c r="V7" s="3946"/>
      <c r="W7" s="3946"/>
      <c r="X7" s="3947"/>
      <c r="Z7" s="4512"/>
      <c r="AA7" s="4512"/>
      <c r="AB7" s="4512"/>
      <c r="AC7" s="4512"/>
      <c r="AD7" s="4512"/>
    </row>
    <row r="8" spans="1:30" s="3797" customFormat="1" x14ac:dyDescent="0.3">
      <c r="A8" s="3789"/>
      <c r="B8" s="3948"/>
      <c r="C8" s="3948"/>
      <c r="D8" s="3949"/>
      <c r="E8" s="3950" t="s">
        <v>102</v>
      </c>
      <c r="F8" s="3950" t="s">
        <v>103</v>
      </c>
      <c r="G8" s="3950" t="s">
        <v>104</v>
      </c>
      <c r="H8" s="3950" t="s">
        <v>105</v>
      </c>
      <c r="I8" s="3950" t="s">
        <v>106</v>
      </c>
      <c r="J8" s="3950" t="s">
        <v>107</v>
      </c>
      <c r="K8" s="3951" t="s">
        <v>108</v>
      </c>
      <c r="L8" s="3950" t="s">
        <v>109</v>
      </c>
      <c r="M8" s="3950" t="s">
        <v>110</v>
      </c>
      <c r="N8" s="3950" t="s">
        <v>111</v>
      </c>
      <c r="O8" s="3950" t="s">
        <v>112</v>
      </c>
      <c r="P8" s="3950" t="s">
        <v>113</v>
      </c>
      <c r="Q8" s="3950" t="s">
        <v>114</v>
      </c>
      <c r="R8" s="3950" t="s">
        <v>115</v>
      </c>
      <c r="S8" s="3950" t="s">
        <v>116</v>
      </c>
      <c r="T8" s="3950" t="s">
        <v>117</v>
      </c>
      <c r="U8" s="3950" t="s">
        <v>118</v>
      </c>
      <c r="V8" s="3951" t="s">
        <v>119</v>
      </c>
      <c r="W8" s="3951" t="s">
        <v>120</v>
      </c>
      <c r="X8" s="3952" t="s">
        <v>121</v>
      </c>
      <c r="Y8" s="3952" t="s">
        <v>122</v>
      </c>
      <c r="Z8" s="3964" t="s">
        <v>123</v>
      </c>
      <c r="AA8" s="3964" t="s">
        <v>124</v>
      </c>
      <c r="AB8" s="3964" t="s">
        <v>125</v>
      </c>
      <c r="AC8" s="3964" t="s">
        <v>126</v>
      </c>
      <c r="AD8" s="4513" t="s">
        <v>302</v>
      </c>
    </row>
    <row r="9" spans="1:30" s="3797" customFormat="1" x14ac:dyDescent="0.3">
      <c r="A9" s="3789"/>
      <c r="B9" s="3948"/>
      <c r="C9" s="3948"/>
      <c r="D9" s="3791" t="s">
        <v>1595</v>
      </c>
      <c r="E9" s="3953"/>
      <c r="F9" s="3954">
        <v>17433</v>
      </c>
      <c r="G9" s="3954">
        <v>21159</v>
      </c>
      <c r="H9" s="3954">
        <v>22724</v>
      </c>
      <c r="I9" s="3954">
        <v>22280</v>
      </c>
      <c r="J9" s="3954">
        <v>21659</v>
      </c>
      <c r="K9" s="3954">
        <v>24954</v>
      </c>
      <c r="L9" s="3954">
        <v>28030</v>
      </c>
      <c r="M9" s="3954">
        <v>28941</v>
      </c>
      <c r="N9" s="3954">
        <v>31491</v>
      </c>
      <c r="O9" s="3954">
        <v>31562</v>
      </c>
      <c r="P9" s="3954">
        <v>24387</v>
      </c>
      <c r="Q9" s="3954">
        <v>25899</v>
      </c>
      <c r="R9" s="3954">
        <v>30914</v>
      </c>
      <c r="S9" s="3954">
        <v>34299</v>
      </c>
      <c r="T9" s="3954">
        <v>36862</v>
      </c>
      <c r="U9" s="3954">
        <v>42059</v>
      </c>
      <c r="V9" s="3954">
        <v>47095</v>
      </c>
      <c r="W9" s="3954">
        <v>46259</v>
      </c>
      <c r="X9" s="3955">
        <v>48703</v>
      </c>
      <c r="Y9" s="3955">
        <v>50855</v>
      </c>
      <c r="Z9" s="3955">
        <v>51937</v>
      </c>
      <c r="AA9" s="3955">
        <f>'Rehabilitation  '!Z22</f>
        <v>51785</v>
      </c>
      <c r="AB9" s="3955">
        <f>'Rehabilitation  '!AA22</f>
        <v>54225</v>
      </c>
      <c r="AC9" s="3955">
        <f>'Rehabilitation  '!AB22</f>
        <v>55030</v>
      </c>
      <c r="AD9" s="4514">
        <v>52745</v>
      </c>
    </row>
    <row r="10" spans="1:30" s="3795" customFormat="1" ht="24" customHeight="1" x14ac:dyDescent="0.3">
      <c r="A10" s="3789"/>
      <c r="B10" s="3789"/>
      <c r="C10" s="3790"/>
      <c r="D10" s="3791" t="s">
        <v>1596</v>
      </c>
      <c r="E10" s="3953"/>
      <c r="F10" s="3954">
        <v>5563.4944444444445</v>
      </c>
      <c r="G10" s="3954">
        <v>8364.9544770031989</v>
      </c>
      <c r="H10" s="3954">
        <v>10483.174880671688</v>
      </c>
      <c r="I10" s="3954">
        <v>10822.799212482736</v>
      </c>
      <c r="J10" s="3954">
        <v>10149.243128224562</v>
      </c>
      <c r="K10" s="3954">
        <v>11879.074162506331</v>
      </c>
      <c r="L10" s="3954">
        <v>15092.232568258456</v>
      </c>
      <c r="M10" s="3954">
        <v>15724.796177550894</v>
      </c>
      <c r="N10" s="3954">
        <v>19354.038755824877</v>
      </c>
      <c r="O10" s="3954">
        <v>21471.488074729099</v>
      </c>
      <c r="P10" s="3954">
        <v>17046.486689916452</v>
      </c>
      <c r="Q10" s="3954">
        <v>17411.108003719331</v>
      </c>
      <c r="R10" s="3954">
        <v>21238.989963391057</v>
      </c>
      <c r="S10" s="3954">
        <v>23309.261182664286</v>
      </c>
      <c r="T10" s="3954">
        <v>25721.7098783314</v>
      </c>
      <c r="U10" s="3954">
        <v>28106.833916934149</v>
      </c>
      <c r="V10" s="3954">
        <v>35819</v>
      </c>
      <c r="W10" s="3954">
        <v>39269</v>
      </c>
      <c r="X10" s="3955">
        <v>38768</v>
      </c>
      <c r="Y10" s="3955">
        <v>49928</v>
      </c>
      <c r="Z10" s="3955">
        <v>51307</v>
      </c>
      <c r="AA10" s="3955">
        <v>51161</v>
      </c>
      <c r="AB10" s="3955">
        <v>53615</v>
      </c>
      <c r="AC10" s="3955">
        <v>54487</v>
      </c>
      <c r="AD10" s="4514">
        <v>53256</v>
      </c>
    </row>
    <row r="11" spans="1:30" s="3795" customFormat="1" ht="24.65" customHeight="1" x14ac:dyDescent="0.3">
      <c r="A11" s="3789"/>
      <c r="B11" s="3790"/>
      <c r="C11" s="3790"/>
      <c r="D11" s="3956" t="s">
        <v>1597</v>
      </c>
      <c r="E11" s="3957"/>
      <c r="F11" s="3958">
        <f t="shared" ref="F11:X11" si="0">F10/F9</f>
        <v>0.31913580246913581</v>
      </c>
      <c r="G11" s="3958">
        <f t="shared" si="0"/>
        <v>0.39533789295350436</v>
      </c>
      <c r="H11" s="3958">
        <f t="shared" si="0"/>
        <v>0.46132612571165676</v>
      </c>
      <c r="I11" s="3958">
        <f t="shared" si="0"/>
        <v>0.48576298081161295</v>
      </c>
      <c r="J11" s="3958">
        <f t="shared" si="0"/>
        <v>0.46859241554201769</v>
      </c>
      <c r="K11" s="3958">
        <f t="shared" si="0"/>
        <v>0.47603887803583916</v>
      </c>
      <c r="L11" s="3958">
        <f t="shared" si="0"/>
        <v>0.53843141520722282</v>
      </c>
      <c r="M11" s="3958">
        <f t="shared" si="0"/>
        <v>0.54333976633671588</v>
      </c>
      <c r="N11" s="3958">
        <f t="shared" si="0"/>
        <v>0.6145895257637064</v>
      </c>
      <c r="O11" s="3958">
        <f t="shared" si="0"/>
        <v>0.68029554764365685</v>
      </c>
      <c r="P11" s="3958">
        <f t="shared" si="0"/>
        <v>0.69899892114308659</v>
      </c>
      <c r="Q11" s="3958">
        <f t="shared" si="0"/>
        <v>0.67226950861883983</v>
      </c>
      <c r="R11" s="3958">
        <f t="shared" si="0"/>
        <v>0.68703467566122334</v>
      </c>
      <c r="S11" s="3958">
        <f t="shared" si="0"/>
        <v>0.67959010999341918</v>
      </c>
      <c r="T11" s="3958">
        <f t="shared" si="0"/>
        <v>0.69778389339513314</v>
      </c>
      <c r="U11" s="3958">
        <f t="shared" si="0"/>
        <v>0.66827156891352979</v>
      </c>
      <c r="V11" s="3958">
        <f t="shared" si="0"/>
        <v>0.76056906253317758</v>
      </c>
      <c r="W11" s="3958">
        <f t="shared" si="0"/>
        <v>0.84889426922328626</v>
      </c>
      <c r="X11" s="3959">
        <f t="shared" si="0"/>
        <v>0.79600845943781695</v>
      </c>
      <c r="Y11" s="3959">
        <v>0.98177716999999998</v>
      </c>
      <c r="Z11" s="3959">
        <v>0.98780000000000001</v>
      </c>
      <c r="AA11" s="3959">
        <v>0.99</v>
      </c>
      <c r="AB11" s="3959">
        <v>0.99</v>
      </c>
      <c r="AC11" s="3959">
        <v>0.99</v>
      </c>
      <c r="AD11" s="4515">
        <f>AD9/AD10</f>
        <v>0.99040483701366977</v>
      </c>
    </row>
    <row r="12" spans="1:30" s="3795" customFormat="1" x14ac:dyDescent="0.3">
      <c r="A12" s="3789"/>
      <c r="B12" s="3790"/>
      <c r="C12" s="3790"/>
      <c r="D12" s="3791"/>
      <c r="E12" s="3953"/>
      <c r="F12" s="3792"/>
      <c r="G12" s="3792"/>
      <c r="H12" s="3792"/>
      <c r="I12" s="3792"/>
      <c r="J12" s="3792"/>
      <c r="K12" s="3792"/>
      <c r="L12" s="3792"/>
      <c r="M12" s="3792"/>
      <c r="N12" s="3792"/>
      <c r="O12" s="3792"/>
      <c r="P12" s="3792"/>
      <c r="Q12" s="3792"/>
      <c r="R12" s="3792"/>
      <c r="S12" s="3792"/>
      <c r="T12" s="3792"/>
      <c r="U12" s="3792"/>
      <c r="V12" s="3792"/>
      <c r="W12" s="3792"/>
      <c r="X12" s="3960"/>
      <c r="Y12" s="3960"/>
      <c r="Z12" s="1914"/>
      <c r="AA12" s="1914"/>
      <c r="AB12" s="1914"/>
      <c r="AC12" s="1914"/>
      <c r="AD12" s="1914"/>
    </row>
    <row r="13" spans="1:30" s="3795" customFormat="1" x14ac:dyDescent="0.3">
      <c r="A13" s="3789"/>
      <c r="B13" s="3790"/>
      <c r="C13" s="3790"/>
      <c r="D13" s="3961" t="s">
        <v>35</v>
      </c>
      <c r="E13" s="3962" t="s">
        <v>1598</v>
      </c>
      <c r="F13" s="3792"/>
      <c r="G13" s="3792"/>
      <c r="H13" s="3792"/>
      <c r="I13" s="3792"/>
      <c r="J13" s="3792"/>
      <c r="K13" s="3792"/>
      <c r="L13" s="3792"/>
      <c r="M13" s="3792"/>
      <c r="N13" s="3792"/>
      <c r="O13" s="3792"/>
      <c r="P13" s="3792"/>
      <c r="Q13" s="3792"/>
      <c r="R13" s="3792"/>
      <c r="S13" s="3792"/>
      <c r="T13" s="3792"/>
      <c r="U13" s="3792"/>
      <c r="V13" s="3792"/>
      <c r="W13" s="3792"/>
      <c r="X13" s="3960"/>
      <c r="Y13" s="3960"/>
      <c r="Z13" s="1914"/>
      <c r="AA13" s="1914"/>
      <c r="AB13" s="1914"/>
      <c r="AC13" s="1914"/>
      <c r="AD13" s="1914"/>
    </row>
    <row r="14" spans="1:30" s="3795" customFormat="1" x14ac:dyDescent="0.3">
      <c r="A14" s="3789"/>
      <c r="B14" s="3790"/>
      <c r="C14" s="3790"/>
      <c r="D14" s="3963"/>
      <c r="E14" s="3950" t="s">
        <v>102</v>
      </c>
      <c r="F14" s="3950" t="s">
        <v>103</v>
      </c>
      <c r="G14" s="3950" t="s">
        <v>104</v>
      </c>
      <c r="H14" s="3950" t="s">
        <v>105</v>
      </c>
      <c r="I14" s="3950" t="s">
        <v>106</v>
      </c>
      <c r="J14" s="3950" t="s">
        <v>107</v>
      </c>
      <c r="K14" s="3951" t="s">
        <v>108</v>
      </c>
      <c r="L14" s="3950" t="s">
        <v>109</v>
      </c>
      <c r="M14" s="3950" t="s">
        <v>110</v>
      </c>
      <c r="N14" s="3950" t="s">
        <v>111</v>
      </c>
      <c r="O14" s="3950" t="s">
        <v>112</v>
      </c>
      <c r="P14" s="3950" t="s">
        <v>113</v>
      </c>
      <c r="Q14" s="3950" t="s">
        <v>114</v>
      </c>
      <c r="R14" s="3950" t="s">
        <v>115</v>
      </c>
      <c r="S14" s="3950" t="s">
        <v>116</v>
      </c>
      <c r="T14" s="3950" t="s">
        <v>117</v>
      </c>
      <c r="U14" s="3950" t="s">
        <v>118</v>
      </c>
      <c r="V14" s="3951" t="s">
        <v>119</v>
      </c>
      <c r="W14" s="3951" t="s">
        <v>120</v>
      </c>
      <c r="X14" s="3964" t="s">
        <v>121</v>
      </c>
      <c r="Y14" s="3964" t="s">
        <v>122</v>
      </c>
      <c r="Z14" s="3964" t="s">
        <v>123</v>
      </c>
      <c r="AA14" s="3964" t="s">
        <v>124</v>
      </c>
      <c r="AB14" s="3964" t="s">
        <v>125</v>
      </c>
      <c r="AC14" s="3964" t="s">
        <v>126</v>
      </c>
      <c r="AD14" s="4513" t="s">
        <v>302</v>
      </c>
    </row>
    <row r="15" spans="1:30" s="3795" customFormat="1" x14ac:dyDescent="0.3">
      <c r="A15" s="3789"/>
      <c r="B15" s="3790"/>
      <c r="C15" s="3790"/>
      <c r="D15" s="3791" t="s">
        <v>1599</v>
      </c>
      <c r="E15" s="3953"/>
      <c r="F15" s="3954">
        <v>8487</v>
      </c>
      <c r="G15" s="3954">
        <v>10715</v>
      </c>
      <c r="H15" s="3954">
        <v>12054</v>
      </c>
      <c r="I15" s="3954">
        <v>11751</v>
      </c>
      <c r="J15" s="3954">
        <v>12648</v>
      </c>
      <c r="K15" s="3954">
        <v>16509</v>
      </c>
      <c r="L15" s="3954">
        <v>17935</v>
      </c>
      <c r="M15" s="3954">
        <v>19248</v>
      </c>
      <c r="N15" s="3954">
        <v>20656</v>
      </c>
      <c r="O15" s="3954">
        <v>20680</v>
      </c>
      <c r="P15" s="3954">
        <v>15470</v>
      </c>
      <c r="Q15" s="3954">
        <v>16044</v>
      </c>
      <c r="R15" s="3954">
        <v>17708</v>
      </c>
      <c r="S15" s="3954">
        <v>18886</v>
      </c>
      <c r="T15" s="3954">
        <v>18370</v>
      </c>
      <c r="U15" s="3954">
        <v>19627</v>
      </c>
      <c r="V15" s="3954">
        <v>19437</v>
      </c>
      <c r="W15" s="3965">
        <v>15943</v>
      </c>
      <c r="X15" s="3966">
        <v>16950</v>
      </c>
      <c r="Y15" s="3966">
        <v>17033</v>
      </c>
      <c r="Z15" s="3966">
        <v>17061</v>
      </c>
      <c r="AA15" s="3966">
        <f>'Rehabilitation  '!Z23</f>
        <v>16178</v>
      </c>
      <c r="AB15" s="3966">
        <v>16311</v>
      </c>
      <c r="AC15" s="3966">
        <v>15251</v>
      </c>
      <c r="AD15" s="4516">
        <v>12471</v>
      </c>
    </row>
    <row r="16" spans="1:30" s="3795" customFormat="1" ht="20" x14ac:dyDescent="0.3">
      <c r="A16" s="3789"/>
      <c r="B16" s="3790"/>
      <c r="C16" s="3790"/>
      <c r="D16" s="3791" t="s">
        <v>1600</v>
      </c>
      <c r="E16" s="3953"/>
      <c r="F16" s="3954">
        <v>5123.3059027777781</v>
      </c>
      <c r="G16" s="3954">
        <v>7094.8131706092736</v>
      </c>
      <c r="H16" s="3954">
        <v>8346.4366553568361</v>
      </c>
      <c r="I16" s="3954">
        <v>8012.7517557521078</v>
      </c>
      <c r="J16" s="3954">
        <v>8721.2839362229279</v>
      </c>
      <c r="K16" s="3954">
        <v>11412.523623471528</v>
      </c>
      <c r="L16" s="3954">
        <v>12981.170782116827</v>
      </c>
      <c r="M16" s="3954">
        <v>13955.588868828985</v>
      </c>
      <c r="N16" s="3954">
        <v>15757.691449172531</v>
      </c>
      <c r="O16" s="3954">
        <v>16584.535048428468</v>
      </c>
      <c r="P16" s="3954">
        <v>12652.897358055046</v>
      </c>
      <c r="Q16" s="3954">
        <v>13188.112152206566</v>
      </c>
      <c r="R16" s="3954">
        <v>14673.508288429106</v>
      </c>
      <c r="S16" s="3954">
        <v>15548.413951302058</v>
      </c>
      <c r="T16" s="3954">
        <v>15304.120437427579</v>
      </c>
      <c r="U16" s="3954">
        <v>16443.013536296727</v>
      </c>
      <c r="V16" s="3954">
        <v>16636.337616840781</v>
      </c>
      <c r="W16" s="3954">
        <v>14029</v>
      </c>
      <c r="X16" s="3955">
        <v>13560</v>
      </c>
      <c r="Y16" s="3955">
        <v>16913</v>
      </c>
      <c r="Z16" s="3955">
        <v>16416</v>
      </c>
      <c r="AA16" s="3955">
        <v>16016</v>
      </c>
      <c r="AB16" s="3955">
        <v>15914</v>
      </c>
      <c r="AC16" s="3955">
        <v>15334</v>
      </c>
      <c r="AD16" s="4514">
        <v>12605</v>
      </c>
    </row>
    <row r="17" spans="1:30" s="3795" customFormat="1" ht="33.5" customHeight="1" x14ac:dyDescent="0.3">
      <c r="A17" s="3789"/>
      <c r="B17" s="3790"/>
      <c r="C17" s="3790"/>
      <c r="D17" s="3956" t="s">
        <v>1601</v>
      </c>
      <c r="E17" s="3967"/>
      <c r="F17" s="3958">
        <f t="shared" ref="F17:Z17" si="1">F16/F15</f>
        <v>0.60366512345679013</v>
      </c>
      <c r="G17" s="3958">
        <f t="shared" si="1"/>
        <v>0.66213842002886358</v>
      </c>
      <c r="H17" s="3958">
        <f t="shared" si="1"/>
        <v>0.69242049571568243</v>
      </c>
      <c r="I17" s="3958">
        <f t="shared" si="1"/>
        <v>0.68187828744380119</v>
      </c>
      <c r="J17" s="3958">
        <f t="shared" si="1"/>
        <v>0.68953857813274255</v>
      </c>
      <c r="K17" s="3958">
        <f t="shared" si="1"/>
        <v>0.69129103055736441</v>
      </c>
      <c r="L17" s="3958">
        <f t="shared" si="1"/>
        <v>0.723789840095725</v>
      </c>
      <c r="M17" s="3958">
        <f t="shared" si="1"/>
        <v>0.72504098445703369</v>
      </c>
      <c r="N17" s="3958">
        <f t="shared" si="1"/>
        <v>0.76286267666404584</v>
      </c>
      <c r="O17" s="3958">
        <f t="shared" si="1"/>
        <v>0.80196010872478085</v>
      </c>
      <c r="P17" s="3958">
        <f t="shared" si="1"/>
        <v>0.8178989888852648</v>
      </c>
      <c r="Q17" s="3958">
        <f t="shared" si="1"/>
        <v>0.82199651908542548</v>
      </c>
      <c r="R17" s="3958">
        <f t="shared" si="1"/>
        <v>0.82863724240055936</v>
      </c>
      <c r="S17" s="3958">
        <f t="shared" si="1"/>
        <v>0.8232772398232584</v>
      </c>
      <c r="T17" s="3958">
        <f t="shared" si="1"/>
        <v>0.83310399768250287</v>
      </c>
      <c r="U17" s="3958">
        <f t="shared" si="1"/>
        <v>0.83777518399636863</v>
      </c>
      <c r="V17" s="3958">
        <f t="shared" si="1"/>
        <v>0.85591076898908169</v>
      </c>
      <c r="W17" s="3958">
        <f t="shared" si="1"/>
        <v>0.87994731230006895</v>
      </c>
      <c r="X17" s="3968">
        <f t="shared" si="1"/>
        <v>0.8</v>
      </c>
      <c r="Y17" s="3968">
        <f t="shared" si="1"/>
        <v>0.99295485234544711</v>
      </c>
      <c r="Z17" s="3959">
        <f t="shared" si="1"/>
        <v>0.96219447863548446</v>
      </c>
      <c r="AA17" s="3959">
        <v>0.99</v>
      </c>
      <c r="AB17" s="3959">
        <v>0.99</v>
      </c>
      <c r="AC17" s="3959">
        <v>0.99</v>
      </c>
      <c r="AD17" s="4515">
        <f>AD15/AD16</f>
        <v>0.98936929789765971</v>
      </c>
    </row>
    <row r="18" spans="1:30" s="3795" customFormat="1" ht="37.5" customHeight="1" x14ac:dyDescent="0.3">
      <c r="A18" s="3423">
        <v>5</v>
      </c>
      <c r="B18" s="3423" t="s">
        <v>56</v>
      </c>
      <c r="C18" s="3790"/>
    </row>
    <row r="19" spans="1:30" x14ac:dyDescent="0.3">
      <c r="D19" s="3750"/>
      <c r="E19" s="3750"/>
      <c r="F19" s="330"/>
      <c r="G19" s="330"/>
      <c r="H19" s="330"/>
      <c r="I19" s="330"/>
      <c r="J19" s="330"/>
      <c r="K19" s="330"/>
      <c r="L19" s="330"/>
      <c r="M19" s="330"/>
      <c r="N19" s="3938"/>
      <c r="O19" s="330"/>
      <c r="P19" s="330"/>
      <c r="Q19" s="330"/>
      <c r="R19" s="330"/>
      <c r="S19" s="330"/>
    </row>
    <row r="20" spans="1:30" x14ac:dyDescent="0.3">
      <c r="D20" s="3750"/>
      <c r="E20" s="330"/>
      <c r="F20" s="330"/>
      <c r="G20" s="330"/>
      <c r="H20" s="330"/>
      <c r="I20" s="330"/>
      <c r="J20" s="330"/>
      <c r="K20" s="330"/>
      <c r="L20" s="330"/>
      <c r="M20" s="3938"/>
      <c r="N20" s="330"/>
      <c r="O20" s="330"/>
      <c r="P20" s="330"/>
      <c r="Q20" s="330"/>
      <c r="R20" s="330"/>
    </row>
    <row r="21" spans="1:30" x14ac:dyDescent="0.3">
      <c r="D21" s="3750"/>
      <c r="E21" s="330"/>
      <c r="F21" s="330"/>
      <c r="G21" s="330"/>
      <c r="H21" s="330"/>
      <c r="I21" s="330"/>
      <c r="J21" s="330"/>
      <c r="K21" s="330"/>
      <c r="L21" s="330"/>
      <c r="M21" s="3938"/>
      <c r="N21" s="330"/>
      <c r="O21" s="330"/>
      <c r="P21" s="330"/>
      <c r="Q21" s="330"/>
      <c r="R21" s="330"/>
    </row>
    <row r="22" spans="1:30" x14ac:dyDescent="0.3">
      <c r="A22" s="3751"/>
      <c r="B22" s="3751"/>
      <c r="C22" s="3751"/>
      <c r="D22" s="3750"/>
      <c r="E22" s="330"/>
      <c r="F22" s="330"/>
      <c r="G22" s="330"/>
      <c r="H22" s="330"/>
      <c r="I22" s="330"/>
      <c r="J22" s="330"/>
      <c r="K22" s="330"/>
      <c r="L22" s="330"/>
      <c r="M22" s="3938"/>
      <c r="N22" s="330"/>
      <c r="O22" s="330"/>
      <c r="P22" s="330"/>
      <c r="Q22" s="330"/>
      <c r="R22" s="330"/>
    </row>
    <row r="23" spans="1:30" x14ac:dyDescent="0.3">
      <c r="A23" s="3751"/>
      <c r="B23" s="3751"/>
      <c r="C23" s="3751"/>
      <c r="D23" s="3750"/>
      <c r="E23" s="330"/>
      <c r="F23" s="330"/>
      <c r="G23" s="330"/>
      <c r="H23" s="330"/>
      <c r="I23" s="330"/>
      <c r="J23" s="330"/>
      <c r="K23" s="330"/>
      <c r="L23" s="330"/>
      <c r="M23" s="3938"/>
      <c r="N23" s="330"/>
      <c r="O23" s="330"/>
      <c r="P23" s="330"/>
      <c r="Q23" s="330"/>
      <c r="R23" s="330"/>
    </row>
    <row r="24" spans="1:30" x14ac:dyDescent="0.3">
      <c r="A24" s="3751"/>
      <c r="B24" s="3751"/>
      <c r="C24" s="3751"/>
      <c r="D24" s="3750"/>
      <c r="E24" s="330"/>
      <c r="F24" s="330"/>
      <c r="G24" s="330"/>
      <c r="H24" s="330"/>
      <c r="I24" s="330"/>
      <c r="J24" s="330"/>
      <c r="K24" s="330"/>
      <c r="L24" s="330"/>
      <c r="M24" s="3938"/>
      <c r="N24" s="330"/>
      <c r="O24" s="330"/>
      <c r="P24" s="330"/>
      <c r="Q24" s="330"/>
      <c r="R24" s="330"/>
    </row>
    <row r="25" spans="1:30" x14ac:dyDescent="0.3">
      <c r="A25" s="3751"/>
      <c r="B25" s="3751"/>
      <c r="C25" s="3751"/>
      <c r="D25" s="3750"/>
      <c r="E25" s="330"/>
      <c r="F25" s="330"/>
      <c r="G25" s="330"/>
      <c r="H25" s="330"/>
      <c r="I25" s="330"/>
      <c r="J25" s="330"/>
      <c r="K25" s="330"/>
      <c r="L25" s="330"/>
      <c r="M25" s="3938"/>
      <c r="N25" s="330"/>
      <c r="O25" s="330"/>
      <c r="P25" s="330"/>
      <c r="Q25" s="330"/>
      <c r="R25" s="330"/>
    </row>
    <row r="26" spans="1:30" x14ac:dyDescent="0.3">
      <c r="A26" s="3751"/>
      <c r="B26" s="3751"/>
      <c r="C26" s="3751"/>
      <c r="D26" s="3750"/>
      <c r="E26" s="330"/>
      <c r="F26" s="330"/>
      <c r="G26" s="330"/>
      <c r="H26" s="330"/>
      <c r="I26" s="330"/>
      <c r="J26" s="330"/>
      <c r="K26" s="330"/>
      <c r="L26" s="330"/>
      <c r="M26" s="3938"/>
      <c r="N26" s="330"/>
      <c r="O26" s="330"/>
      <c r="P26" s="330"/>
      <c r="Q26" s="330"/>
      <c r="R26" s="330"/>
    </row>
    <row r="27" spans="1:30" x14ac:dyDescent="0.3">
      <c r="A27" s="3751"/>
      <c r="B27" s="3751"/>
      <c r="C27" s="3751"/>
      <c r="D27" s="3969"/>
      <c r="E27" s="3750"/>
      <c r="F27" s="3750"/>
      <c r="G27" s="3750"/>
      <c r="H27" s="3750"/>
      <c r="I27" s="3750"/>
      <c r="J27" s="3750"/>
      <c r="K27" s="3969"/>
      <c r="L27" s="3750"/>
      <c r="M27" s="3938"/>
      <c r="N27" s="3750"/>
      <c r="O27" s="3750"/>
      <c r="P27" s="3750"/>
      <c r="Q27" s="3750"/>
      <c r="R27" s="3750"/>
      <c r="V27" s="3751" t="s">
        <v>294</v>
      </c>
    </row>
    <row r="28" spans="1:30" x14ac:dyDescent="0.3">
      <c r="A28" s="3751"/>
      <c r="B28" s="3751"/>
      <c r="C28" s="3751"/>
      <c r="D28" s="3750"/>
      <c r="E28" s="3750"/>
      <c r="F28" s="3750"/>
      <c r="G28" s="3750"/>
      <c r="H28" s="3750"/>
      <c r="I28" s="3750"/>
      <c r="J28" s="3750"/>
      <c r="K28" s="3750"/>
      <c r="L28" s="3750"/>
      <c r="M28" s="3750"/>
      <c r="N28" s="3750"/>
      <c r="O28" s="3750"/>
      <c r="P28" s="3750"/>
      <c r="Q28" s="3750"/>
      <c r="R28" s="3750"/>
    </row>
    <row r="29" spans="1:30" x14ac:dyDescent="0.3">
      <c r="A29" s="3751"/>
      <c r="B29" s="3751"/>
      <c r="C29" s="3751"/>
      <c r="D29" s="3750"/>
      <c r="E29" s="3750"/>
      <c r="F29" s="3750"/>
      <c r="G29" s="3750"/>
      <c r="H29" s="3750"/>
      <c r="I29" s="3750"/>
      <c r="J29" s="3750"/>
      <c r="K29" s="3750"/>
      <c r="L29" s="3750"/>
      <c r="M29" s="3750"/>
      <c r="N29" s="3750"/>
      <c r="O29" s="3750"/>
      <c r="P29" s="3750"/>
      <c r="Q29" s="3750"/>
      <c r="R29" s="3750"/>
    </row>
    <row r="30" spans="1:30" x14ac:dyDescent="0.3">
      <c r="A30" s="3751"/>
      <c r="B30" s="3751"/>
      <c r="C30" s="3751"/>
      <c r="D30" s="3750"/>
      <c r="E30" s="3750"/>
      <c r="F30" s="3750"/>
      <c r="G30" s="3750"/>
      <c r="H30" s="3750"/>
      <c r="I30" s="3750"/>
      <c r="J30" s="3750"/>
      <c r="K30" s="3750"/>
      <c r="L30" s="3750"/>
      <c r="M30" s="3750"/>
      <c r="N30" s="3750"/>
      <c r="O30" s="3750"/>
      <c r="P30" s="3750"/>
      <c r="Q30" s="3750"/>
      <c r="R30" s="3750"/>
    </row>
    <row r="31" spans="1:30" x14ac:dyDescent="0.3">
      <c r="A31" s="3751"/>
      <c r="B31" s="3751"/>
      <c r="C31" s="3751"/>
      <c r="D31" s="3750"/>
      <c r="E31" s="3750"/>
      <c r="F31" s="3750"/>
      <c r="G31" s="3750"/>
      <c r="H31" s="3750"/>
      <c r="I31" s="3750"/>
      <c r="J31" s="3750"/>
      <c r="K31" s="3750"/>
      <c r="L31" s="3750"/>
      <c r="M31" s="3750"/>
      <c r="N31" s="3750"/>
      <c r="O31" s="3750"/>
      <c r="P31" s="3750"/>
      <c r="Q31" s="3750"/>
      <c r="R31" s="3750"/>
    </row>
    <row r="32" spans="1:30" x14ac:dyDescent="0.3">
      <c r="A32" s="3751"/>
      <c r="B32" s="3751"/>
      <c r="C32" s="3751"/>
      <c r="D32" s="3750"/>
      <c r="E32" s="3750"/>
      <c r="F32" s="3750"/>
      <c r="G32" s="3750"/>
      <c r="H32" s="3750"/>
      <c r="I32" s="3750"/>
      <c r="J32" s="3750"/>
      <c r="K32" s="3750"/>
      <c r="L32" s="3750"/>
      <c r="M32" s="3750"/>
      <c r="N32" s="3750"/>
      <c r="O32" s="3750"/>
      <c r="P32" s="3750"/>
      <c r="Q32" s="3750"/>
      <c r="R32" s="3750"/>
    </row>
    <row r="33" spans="1:29" x14ac:dyDescent="0.3">
      <c r="A33" s="3751"/>
      <c r="B33" s="3751"/>
      <c r="C33" s="3751"/>
      <c r="D33" s="3750"/>
      <c r="E33" s="3750"/>
      <c r="F33" s="3750"/>
      <c r="G33" s="3750"/>
      <c r="H33" s="3750"/>
      <c r="I33" s="3750"/>
      <c r="J33" s="3750"/>
      <c r="K33" s="3750"/>
      <c r="L33" s="3750"/>
      <c r="M33" s="3750"/>
      <c r="N33" s="3750"/>
      <c r="O33" s="3750"/>
      <c r="P33" s="3750"/>
      <c r="Q33" s="3750"/>
      <c r="R33" s="3750"/>
    </row>
    <row r="34" spans="1:29" x14ac:dyDescent="0.3">
      <c r="A34" s="3751"/>
      <c r="B34" s="3751"/>
      <c r="C34" s="3751"/>
      <c r="D34" s="3750"/>
      <c r="E34" s="3750"/>
      <c r="F34" s="3750"/>
      <c r="G34" s="3750"/>
      <c r="H34" s="3750"/>
      <c r="I34" s="3750"/>
      <c r="J34" s="3750"/>
      <c r="K34" s="3750"/>
      <c r="L34" s="3750"/>
      <c r="M34" s="3750"/>
      <c r="N34" s="3750"/>
      <c r="O34" s="3750"/>
      <c r="P34" s="3750"/>
      <c r="Q34" s="3750"/>
      <c r="R34" s="3750"/>
    </row>
    <row r="35" spans="1:29" ht="14.25" customHeight="1" x14ac:dyDescent="0.3">
      <c r="A35" s="3423">
        <v>6</v>
      </c>
      <c r="B35" s="3423" t="s">
        <v>58</v>
      </c>
      <c r="C35" s="3603"/>
      <c r="D35" s="4642" t="s">
        <v>1602</v>
      </c>
      <c r="E35" s="4643"/>
      <c r="F35" s="4643"/>
      <c r="G35" s="4643"/>
      <c r="H35" s="4643"/>
      <c r="I35" s="4643"/>
      <c r="J35" s="4643"/>
      <c r="K35" s="4643"/>
      <c r="L35" s="4643"/>
      <c r="M35" s="4643"/>
      <c r="N35" s="4643"/>
      <c r="O35" s="4643"/>
      <c r="P35" s="4643"/>
      <c r="Q35" s="4643"/>
      <c r="R35" s="4643"/>
      <c r="S35" s="4643"/>
      <c r="T35" s="4643"/>
      <c r="U35" s="4643"/>
      <c r="V35" s="4643"/>
      <c r="W35" s="4643"/>
      <c r="X35" s="4643"/>
      <c r="Y35" s="4643"/>
      <c r="Z35" s="4643"/>
      <c r="AA35" s="4643"/>
      <c r="AB35" s="4643"/>
      <c r="AC35" s="4644"/>
    </row>
    <row r="36" spans="1:29" ht="82.5" customHeight="1" x14ac:dyDescent="0.3">
      <c r="A36" s="3423">
        <v>7</v>
      </c>
      <c r="B36" s="3423" t="s">
        <v>1603</v>
      </c>
      <c r="C36" s="3603"/>
      <c r="D36" s="5065" t="s">
        <v>1604</v>
      </c>
      <c r="E36" s="5066"/>
      <c r="F36" s="5066"/>
      <c r="G36" s="5066"/>
      <c r="H36" s="5066"/>
      <c r="I36" s="5066"/>
      <c r="J36" s="5066"/>
      <c r="K36" s="5066"/>
      <c r="L36" s="5066"/>
      <c r="M36" s="5066"/>
      <c r="N36" s="5066"/>
      <c r="O36" s="5066"/>
      <c r="P36" s="5066"/>
      <c r="Q36" s="5066"/>
      <c r="R36" s="5066"/>
      <c r="S36" s="5066"/>
      <c r="T36" s="5066"/>
      <c r="U36" s="5066"/>
      <c r="V36" s="5066"/>
      <c r="W36" s="5066"/>
      <c r="X36" s="5066"/>
      <c r="Y36" s="5066"/>
      <c r="Z36" s="5066"/>
      <c r="AA36" s="5066"/>
      <c r="AB36" s="5066"/>
      <c r="AC36" s="5067"/>
    </row>
    <row r="37" spans="1:29" ht="14.25" customHeight="1" x14ac:dyDescent="0.3">
      <c r="A37" s="3423">
        <v>8</v>
      </c>
      <c r="B37" s="3423" t="s">
        <v>62</v>
      </c>
      <c r="C37" s="3603"/>
      <c r="D37" s="4642" t="s">
        <v>1576</v>
      </c>
      <c r="E37" s="4643"/>
      <c r="F37" s="4643"/>
      <c r="G37" s="4643"/>
      <c r="H37" s="4643"/>
      <c r="I37" s="4643"/>
      <c r="J37" s="4643"/>
      <c r="K37" s="4643"/>
      <c r="L37" s="4643"/>
      <c r="M37" s="4643"/>
      <c r="N37" s="4643"/>
      <c r="O37" s="4643"/>
      <c r="P37" s="4643"/>
      <c r="Q37" s="4643"/>
      <c r="R37" s="4643"/>
      <c r="S37" s="4643"/>
      <c r="T37" s="4643"/>
      <c r="U37" s="4643"/>
      <c r="V37" s="4643"/>
      <c r="W37" s="4643"/>
      <c r="X37" s="4643"/>
      <c r="Y37" s="4643"/>
      <c r="Z37" s="4643"/>
      <c r="AA37" s="4643"/>
      <c r="AB37" s="4643"/>
      <c r="AC37" s="4644"/>
    </row>
    <row r="38" spans="1:29" ht="14.15" customHeight="1" x14ac:dyDescent="0.3">
      <c r="B38" s="3423"/>
      <c r="C38" s="3423"/>
      <c r="D38" s="5064"/>
      <c r="E38" s="5064"/>
      <c r="F38" s="5064"/>
      <c r="G38" s="5064"/>
      <c r="H38" s="5064"/>
      <c r="I38" s="5064"/>
      <c r="J38" s="5064"/>
      <c r="K38" s="5064"/>
      <c r="L38" s="5064"/>
      <c r="M38" s="5064"/>
      <c r="N38" s="5064"/>
      <c r="O38" s="5064"/>
      <c r="P38" s="5064"/>
      <c r="Q38" s="5064"/>
      <c r="R38" s="5064"/>
      <c r="S38" s="5064"/>
      <c r="T38" s="5064"/>
      <c r="U38" s="5064"/>
      <c r="V38" s="5064"/>
      <c r="W38" s="5064"/>
      <c r="X38" s="5064"/>
      <c r="Y38" s="5064"/>
      <c r="Z38" s="5064"/>
      <c r="AA38" s="5064"/>
      <c r="AB38" s="5064"/>
      <c r="AC38" s="5064"/>
    </row>
    <row r="40" spans="1:29" x14ac:dyDescent="0.3">
      <c r="A40" s="3751"/>
      <c r="B40" s="3751"/>
      <c r="C40" s="3751"/>
      <c r="D40" s="3798"/>
    </row>
  </sheetData>
  <mergeCells count="7">
    <mergeCell ref="D38:AC38"/>
    <mergeCell ref="D2:AC2"/>
    <mergeCell ref="D3:AC3"/>
    <mergeCell ref="D4:AC4"/>
    <mergeCell ref="D35:AC35"/>
    <mergeCell ref="D36:AC36"/>
    <mergeCell ref="D37:AC37"/>
  </mergeCells>
  <pageMargins left="0.74803149606299213" right="0.74803149606299213" top="0.98425196850393704" bottom="0.98425196850393704" header="0.51181102362204722" footer="0.51181102362204722"/>
  <pageSetup paperSize="8" scale="86"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249977111117893"/>
    <pageSetUpPr fitToPage="1"/>
  </sheetPr>
  <dimension ref="A1:AD35"/>
  <sheetViews>
    <sheetView showGridLines="0" view="pageBreakPreview" zoomScaleNormal="100" zoomScaleSheetLayoutView="100" workbookViewId="0">
      <selection activeCell="Y27" sqref="Y27"/>
    </sheetView>
  </sheetViews>
  <sheetFormatPr defaultColWidth="9.1796875" defaultRowHeight="10.5" x14ac:dyDescent="0.2"/>
  <cols>
    <col min="1" max="1" width="3.81640625" style="3720" customWidth="1"/>
    <col min="2" max="2" width="11" style="2023" customWidth="1"/>
    <col min="3" max="3" width="3.81640625" style="2023" customWidth="1"/>
    <col min="4" max="4" width="28.453125" style="326" customWidth="1"/>
    <col min="5" max="5" width="9.54296875" style="326" customWidth="1"/>
    <col min="6" max="6" width="8.36328125" style="326" customWidth="1"/>
    <col min="7" max="7" width="8" style="326" customWidth="1"/>
    <col min="8" max="8" width="8.54296875" style="326" customWidth="1"/>
    <col min="9" max="9" width="8.7265625" style="326" customWidth="1"/>
    <col min="10" max="10" width="8.81640625" style="326" hidden="1" customWidth="1"/>
    <col min="11" max="11" width="8.7265625" style="326" hidden="1" customWidth="1"/>
    <col min="12" max="12" width="8.90625" style="326" hidden="1" customWidth="1"/>
    <col min="13" max="13" width="8.453125" style="326" hidden="1" customWidth="1"/>
    <col min="14" max="14" width="8.7265625" style="326" hidden="1" customWidth="1"/>
    <col min="15" max="15" width="9" style="326" hidden="1" customWidth="1"/>
    <col min="16" max="16" width="8.26953125" style="326" hidden="1" customWidth="1"/>
    <col min="17" max="17" width="8.36328125" style="326" hidden="1" customWidth="1"/>
    <col min="18" max="18" width="8.453125" style="326" hidden="1" customWidth="1"/>
    <col min="19" max="19" width="8.453125" style="326" customWidth="1"/>
    <col min="20" max="20" width="8.54296875" style="326" customWidth="1"/>
    <col min="21" max="21" width="8.1796875" style="326" customWidth="1"/>
    <col min="22" max="22" width="8.36328125" style="326" customWidth="1"/>
    <col min="23" max="23" width="8.08984375" style="326" customWidth="1"/>
    <col min="24" max="24" width="8" style="326" customWidth="1"/>
    <col min="25" max="25" width="8.90625" style="326" customWidth="1"/>
    <col min="26" max="26" width="9.1796875" style="326" customWidth="1"/>
    <col min="27" max="27" width="8.81640625" style="326" customWidth="1"/>
    <col min="28" max="28" width="9.90625" style="326" customWidth="1"/>
    <col min="29" max="29" width="9" style="326" customWidth="1"/>
    <col min="30" max="30" width="9.1796875" style="326" customWidth="1"/>
    <col min="31" max="31" width="7.81640625" style="326" customWidth="1"/>
    <col min="32" max="255" width="9.1796875" style="326"/>
    <col min="256" max="256" width="3.81640625" style="326" customWidth="1"/>
    <col min="257" max="257" width="14.453125" style="326" customWidth="1"/>
    <col min="258" max="258" width="3.81640625" style="326" customWidth="1"/>
    <col min="259" max="259" width="39.1796875" style="326" customWidth="1"/>
    <col min="260" max="276" width="9.453125" style="326" customWidth="1"/>
    <col min="277" max="511" width="9.1796875" style="326"/>
    <col min="512" max="512" width="3.81640625" style="326" customWidth="1"/>
    <col min="513" max="513" width="14.453125" style="326" customWidth="1"/>
    <col min="514" max="514" width="3.81640625" style="326" customWidth="1"/>
    <col min="515" max="515" width="39.1796875" style="326" customWidth="1"/>
    <col min="516" max="532" width="9.453125" style="326" customWidth="1"/>
    <col min="533" max="767" width="9.1796875" style="326"/>
    <col min="768" max="768" width="3.81640625" style="326" customWidth="1"/>
    <col min="769" max="769" width="14.453125" style="326" customWidth="1"/>
    <col min="770" max="770" width="3.81640625" style="326" customWidth="1"/>
    <col min="771" max="771" width="39.1796875" style="326" customWidth="1"/>
    <col min="772" max="788" width="9.453125" style="326" customWidth="1"/>
    <col min="789" max="1023" width="9.1796875" style="326"/>
    <col min="1024" max="1024" width="3.81640625" style="326" customWidth="1"/>
    <col min="1025" max="1025" width="14.453125" style="326" customWidth="1"/>
    <col min="1026" max="1026" width="3.81640625" style="326" customWidth="1"/>
    <col min="1027" max="1027" width="39.1796875" style="326" customWidth="1"/>
    <col min="1028" max="1044" width="9.453125" style="326" customWidth="1"/>
    <col min="1045" max="1279" width="9.1796875" style="326"/>
    <col min="1280" max="1280" width="3.81640625" style="326" customWidth="1"/>
    <col min="1281" max="1281" width="14.453125" style="326" customWidth="1"/>
    <col min="1282" max="1282" width="3.81640625" style="326" customWidth="1"/>
    <col min="1283" max="1283" width="39.1796875" style="326" customWidth="1"/>
    <col min="1284" max="1300" width="9.453125" style="326" customWidth="1"/>
    <col min="1301" max="1535" width="9.1796875" style="326"/>
    <col min="1536" max="1536" width="3.81640625" style="326" customWidth="1"/>
    <col min="1537" max="1537" width="14.453125" style="326" customWidth="1"/>
    <col min="1538" max="1538" width="3.81640625" style="326" customWidth="1"/>
    <col min="1539" max="1539" width="39.1796875" style="326" customWidth="1"/>
    <col min="1540" max="1556" width="9.453125" style="326" customWidth="1"/>
    <col min="1557" max="1791" width="9.1796875" style="326"/>
    <col min="1792" max="1792" width="3.81640625" style="326" customWidth="1"/>
    <col min="1793" max="1793" width="14.453125" style="326" customWidth="1"/>
    <col min="1794" max="1794" width="3.81640625" style="326" customWidth="1"/>
    <col min="1795" max="1795" width="39.1796875" style="326" customWidth="1"/>
    <col min="1796" max="1812" width="9.453125" style="326" customWidth="1"/>
    <col min="1813" max="2047" width="9.1796875" style="326"/>
    <col min="2048" max="2048" width="3.81640625" style="326" customWidth="1"/>
    <col min="2049" max="2049" width="14.453125" style="326" customWidth="1"/>
    <col min="2050" max="2050" width="3.81640625" style="326" customWidth="1"/>
    <col min="2051" max="2051" width="39.1796875" style="326" customWidth="1"/>
    <col min="2052" max="2068" width="9.453125" style="326" customWidth="1"/>
    <col min="2069" max="2303" width="9.1796875" style="326"/>
    <col min="2304" max="2304" width="3.81640625" style="326" customWidth="1"/>
    <col min="2305" max="2305" width="14.453125" style="326" customWidth="1"/>
    <col min="2306" max="2306" width="3.81640625" style="326" customWidth="1"/>
    <col min="2307" max="2307" width="39.1796875" style="326" customWidth="1"/>
    <col min="2308" max="2324" width="9.453125" style="326" customWidth="1"/>
    <col min="2325" max="2559" width="9.1796875" style="326"/>
    <col min="2560" max="2560" width="3.81640625" style="326" customWidth="1"/>
    <col min="2561" max="2561" width="14.453125" style="326" customWidth="1"/>
    <col min="2562" max="2562" width="3.81640625" style="326" customWidth="1"/>
    <col min="2563" max="2563" width="39.1796875" style="326" customWidth="1"/>
    <col min="2564" max="2580" width="9.453125" style="326" customWidth="1"/>
    <col min="2581" max="2815" width="9.1796875" style="326"/>
    <col min="2816" max="2816" width="3.81640625" style="326" customWidth="1"/>
    <col min="2817" max="2817" width="14.453125" style="326" customWidth="1"/>
    <col min="2818" max="2818" width="3.81640625" style="326" customWidth="1"/>
    <col min="2819" max="2819" width="39.1796875" style="326" customWidth="1"/>
    <col min="2820" max="2836" width="9.453125" style="326" customWidth="1"/>
    <col min="2837" max="3071" width="9.1796875" style="326"/>
    <col min="3072" max="3072" width="3.81640625" style="326" customWidth="1"/>
    <col min="3073" max="3073" width="14.453125" style="326" customWidth="1"/>
    <col min="3074" max="3074" width="3.81640625" style="326" customWidth="1"/>
    <col min="3075" max="3075" width="39.1796875" style="326" customWidth="1"/>
    <col min="3076" max="3092" width="9.453125" style="326" customWidth="1"/>
    <col min="3093" max="3327" width="9.1796875" style="326"/>
    <col min="3328" max="3328" width="3.81640625" style="326" customWidth="1"/>
    <col min="3329" max="3329" width="14.453125" style="326" customWidth="1"/>
    <col min="3330" max="3330" width="3.81640625" style="326" customWidth="1"/>
    <col min="3331" max="3331" width="39.1796875" style="326" customWidth="1"/>
    <col min="3332" max="3348" width="9.453125" style="326" customWidth="1"/>
    <col min="3349" max="3583" width="9.1796875" style="326"/>
    <col min="3584" max="3584" width="3.81640625" style="326" customWidth="1"/>
    <col min="3585" max="3585" width="14.453125" style="326" customWidth="1"/>
    <col min="3586" max="3586" width="3.81640625" style="326" customWidth="1"/>
    <col min="3587" max="3587" width="39.1796875" style="326" customWidth="1"/>
    <col min="3588" max="3604" width="9.453125" style="326" customWidth="1"/>
    <col min="3605" max="3839" width="9.1796875" style="326"/>
    <col min="3840" max="3840" width="3.81640625" style="326" customWidth="1"/>
    <col min="3841" max="3841" width="14.453125" style="326" customWidth="1"/>
    <col min="3842" max="3842" width="3.81640625" style="326" customWidth="1"/>
    <col min="3843" max="3843" width="39.1796875" style="326" customWidth="1"/>
    <col min="3844" max="3860" width="9.453125" style="326" customWidth="1"/>
    <col min="3861" max="4095" width="9.1796875" style="326"/>
    <col min="4096" max="4096" width="3.81640625" style="326" customWidth="1"/>
    <col min="4097" max="4097" width="14.453125" style="326" customWidth="1"/>
    <col min="4098" max="4098" width="3.81640625" style="326" customWidth="1"/>
    <col min="4099" max="4099" width="39.1796875" style="326" customWidth="1"/>
    <col min="4100" max="4116" width="9.453125" style="326" customWidth="1"/>
    <col min="4117" max="4351" width="9.1796875" style="326"/>
    <col min="4352" max="4352" width="3.81640625" style="326" customWidth="1"/>
    <col min="4353" max="4353" width="14.453125" style="326" customWidth="1"/>
    <col min="4354" max="4354" width="3.81640625" style="326" customWidth="1"/>
    <col min="4355" max="4355" width="39.1796875" style="326" customWidth="1"/>
    <col min="4356" max="4372" width="9.453125" style="326" customWidth="1"/>
    <col min="4373" max="4607" width="9.1796875" style="326"/>
    <col min="4608" max="4608" width="3.81640625" style="326" customWidth="1"/>
    <col min="4609" max="4609" width="14.453125" style="326" customWidth="1"/>
    <col min="4610" max="4610" width="3.81640625" style="326" customWidth="1"/>
    <col min="4611" max="4611" width="39.1796875" style="326" customWidth="1"/>
    <col min="4612" max="4628" width="9.453125" style="326" customWidth="1"/>
    <col min="4629" max="4863" width="9.1796875" style="326"/>
    <col min="4864" max="4864" width="3.81640625" style="326" customWidth="1"/>
    <col min="4865" max="4865" width="14.453125" style="326" customWidth="1"/>
    <col min="4866" max="4866" width="3.81640625" style="326" customWidth="1"/>
    <col min="4867" max="4867" width="39.1796875" style="326" customWidth="1"/>
    <col min="4868" max="4884" width="9.453125" style="326" customWidth="1"/>
    <col min="4885" max="5119" width="9.1796875" style="326"/>
    <col min="5120" max="5120" width="3.81640625" style="326" customWidth="1"/>
    <col min="5121" max="5121" width="14.453125" style="326" customWidth="1"/>
    <col min="5122" max="5122" width="3.81640625" style="326" customWidth="1"/>
    <col min="5123" max="5123" width="39.1796875" style="326" customWidth="1"/>
    <col min="5124" max="5140" width="9.453125" style="326" customWidth="1"/>
    <col min="5141" max="5375" width="9.1796875" style="326"/>
    <col min="5376" max="5376" width="3.81640625" style="326" customWidth="1"/>
    <col min="5377" max="5377" width="14.453125" style="326" customWidth="1"/>
    <col min="5378" max="5378" width="3.81640625" style="326" customWidth="1"/>
    <col min="5379" max="5379" width="39.1796875" style="326" customWidth="1"/>
    <col min="5380" max="5396" width="9.453125" style="326" customWidth="1"/>
    <col min="5397" max="5631" width="9.1796875" style="326"/>
    <col min="5632" max="5632" width="3.81640625" style="326" customWidth="1"/>
    <col min="5633" max="5633" width="14.453125" style="326" customWidth="1"/>
    <col min="5634" max="5634" width="3.81640625" style="326" customWidth="1"/>
    <col min="5635" max="5635" width="39.1796875" style="326" customWidth="1"/>
    <col min="5636" max="5652" width="9.453125" style="326" customWidth="1"/>
    <col min="5653" max="5887" width="9.1796875" style="326"/>
    <col min="5888" max="5888" width="3.81640625" style="326" customWidth="1"/>
    <col min="5889" max="5889" width="14.453125" style="326" customWidth="1"/>
    <col min="5890" max="5890" width="3.81640625" style="326" customWidth="1"/>
    <col min="5891" max="5891" width="39.1796875" style="326" customWidth="1"/>
    <col min="5892" max="5908" width="9.453125" style="326" customWidth="1"/>
    <col min="5909" max="6143" width="9.1796875" style="326"/>
    <col min="6144" max="6144" width="3.81640625" style="326" customWidth="1"/>
    <col min="6145" max="6145" width="14.453125" style="326" customWidth="1"/>
    <col min="6146" max="6146" width="3.81640625" style="326" customWidth="1"/>
    <col min="6147" max="6147" width="39.1796875" style="326" customWidth="1"/>
    <col min="6148" max="6164" width="9.453125" style="326" customWidth="1"/>
    <col min="6165" max="6399" width="9.1796875" style="326"/>
    <col min="6400" max="6400" width="3.81640625" style="326" customWidth="1"/>
    <col min="6401" max="6401" width="14.453125" style="326" customWidth="1"/>
    <col min="6402" max="6402" width="3.81640625" style="326" customWidth="1"/>
    <col min="6403" max="6403" width="39.1796875" style="326" customWidth="1"/>
    <col min="6404" max="6420" width="9.453125" style="326" customWidth="1"/>
    <col min="6421" max="6655" width="9.1796875" style="326"/>
    <col min="6656" max="6656" width="3.81640625" style="326" customWidth="1"/>
    <col min="6657" max="6657" width="14.453125" style="326" customWidth="1"/>
    <col min="6658" max="6658" width="3.81640625" style="326" customWidth="1"/>
    <col min="6659" max="6659" width="39.1796875" style="326" customWidth="1"/>
    <col min="6660" max="6676" width="9.453125" style="326" customWidth="1"/>
    <col min="6677" max="6911" width="9.1796875" style="326"/>
    <col min="6912" max="6912" width="3.81640625" style="326" customWidth="1"/>
    <col min="6913" max="6913" width="14.453125" style="326" customWidth="1"/>
    <col min="6914" max="6914" width="3.81640625" style="326" customWidth="1"/>
    <col min="6915" max="6915" width="39.1796875" style="326" customWidth="1"/>
    <col min="6916" max="6932" width="9.453125" style="326" customWidth="1"/>
    <col min="6933" max="7167" width="9.1796875" style="326"/>
    <col min="7168" max="7168" width="3.81640625" style="326" customWidth="1"/>
    <col min="7169" max="7169" width="14.453125" style="326" customWidth="1"/>
    <col min="7170" max="7170" width="3.81640625" style="326" customWidth="1"/>
    <col min="7171" max="7171" width="39.1796875" style="326" customWidth="1"/>
    <col min="7172" max="7188" width="9.453125" style="326" customWidth="1"/>
    <col min="7189" max="7423" width="9.1796875" style="326"/>
    <col min="7424" max="7424" width="3.81640625" style="326" customWidth="1"/>
    <col min="7425" max="7425" width="14.453125" style="326" customWidth="1"/>
    <col min="7426" max="7426" width="3.81640625" style="326" customWidth="1"/>
    <col min="7427" max="7427" width="39.1796875" style="326" customWidth="1"/>
    <col min="7428" max="7444" width="9.453125" style="326" customWidth="1"/>
    <col min="7445" max="7679" width="9.1796875" style="326"/>
    <col min="7680" max="7680" width="3.81640625" style="326" customWidth="1"/>
    <col min="7681" max="7681" width="14.453125" style="326" customWidth="1"/>
    <col min="7682" max="7682" width="3.81640625" style="326" customWidth="1"/>
    <col min="7683" max="7683" width="39.1796875" style="326" customWidth="1"/>
    <col min="7684" max="7700" width="9.453125" style="326" customWidth="1"/>
    <col min="7701" max="7935" width="9.1796875" style="326"/>
    <col min="7936" max="7936" width="3.81640625" style="326" customWidth="1"/>
    <col min="7937" max="7937" width="14.453125" style="326" customWidth="1"/>
    <col min="7938" max="7938" width="3.81640625" style="326" customWidth="1"/>
    <col min="7939" max="7939" width="39.1796875" style="326" customWidth="1"/>
    <col min="7940" max="7956" width="9.453125" style="326" customWidth="1"/>
    <col min="7957" max="8191" width="9.1796875" style="326"/>
    <col min="8192" max="8192" width="3.81640625" style="326" customWidth="1"/>
    <col min="8193" max="8193" width="14.453125" style="326" customWidth="1"/>
    <col min="8194" max="8194" width="3.81640625" style="326" customWidth="1"/>
    <col min="8195" max="8195" width="39.1796875" style="326" customWidth="1"/>
    <col min="8196" max="8212" width="9.453125" style="326" customWidth="1"/>
    <col min="8213" max="8447" width="9.1796875" style="326"/>
    <col min="8448" max="8448" width="3.81640625" style="326" customWidth="1"/>
    <col min="8449" max="8449" width="14.453125" style="326" customWidth="1"/>
    <col min="8450" max="8450" width="3.81640625" style="326" customWidth="1"/>
    <col min="8451" max="8451" width="39.1796875" style="326" customWidth="1"/>
    <col min="8452" max="8468" width="9.453125" style="326" customWidth="1"/>
    <col min="8469" max="8703" width="9.1796875" style="326"/>
    <col min="8704" max="8704" width="3.81640625" style="326" customWidth="1"/>
    <col min="8705" max="8705" width="14.453125" style="326" customWidth="1"/>
    <col min="8706" max="8706" width="3.81640625" style="326" customWidth="1"/>
    <col min="8707" max="8707" width="39.1796875" style="326" customWidth="1"/>
    <col min="8708" max="8724" width="9.453125" style="326" customWidth="1"/>
    <col min="8725" max="8959" width="9.1796875" style="326"/>
    <col min="8960" max="8960" width="3.81640625" style="326" customWidth="1"/>
    <col min="8961" max="8961" width="14.453125" style="326" customWidth="1"/>
    <col min="8962" max="8962" width="3.81640625" style="326" customWidth="1"/>
    <col min="8963" max="8963" width="39.1796875" style="326" customWidth="1"/>
    <col min="8964" max="8980" width="9.453125" style="326" customWidth="1"/>
    <col min="8981" max="9215" width="9.1796875" style="326"/>
    <col min="9216" max="9216" width="3.81640625" style="326" customWidth="1"/>
    <col min="9217" max="9217" width="14.453125" style="326" customWidth="1"/>
    <col min="9218" max="9218" width="3.81640625" style="326" customWidth="1"/>
    <col min="9219" max="9219" width="39.1796875" style="326" customWidth="1"/>
    <col min="9220" max="9236" width="9.453125" style="326" customWidth="1"/>
    <col min="9237" max="9471" width="9.1796875" style="326"/>
    <col min="9472" max="9472" width="3.81640625" style="326" customWidth="1"/>
    <col min="9473" max="9473" width="14.453125" style="326" customWidth="1"/>
    <col min="9474" max="9474" width="3.81640625" style="326" customWidth="1"/>
    <col min="9475" max="9475" width="39.1796875" style="326" customWidth="1"/>
    <col min="9476" max="9492" width="9.453125" style="326" customWidth="1"/>
    <col min="9493" max="9727" width="9.1796875" style="326"/>
    <col min="9728" max="9728" width="3.81640625" style="326" customWidth="1"/>
    <col min="9729" max="9729" width="14.453125" style="326" customWidth="1"/>
    <col min="9730" max="9730" width="3.81640625" style="326" customWidth="1"/>
    <col min="9731" max="9731" width="39.1796875" style="326" customWidth="1"/>
    <col min="9732" max="9748" width="9.453125" style="326" customWidth="1"/>
    <col min="9749" max="9983" width="9.1796875" style="326"/>
    <col min="9984" max="9984" width="3.81640625" style="326" customWidth="1"/>
    <col min="9985" max="9985" width="14.453125" style="326" customWidth="1"/>
    <col min="9986" max="9986" width="3.81640625" style="326" customWidth="1"/>
    <col min="9987" max="9987" width="39.1796875" style="326" customWidth="1"/>
    <col min="9988" max="10004" width="9.453125" style="326" customWidth="1"/>
    <col min="10005" max="10239" width="9.1796875" style="326"/>
    <col min="10240" max="10240" width="3.81640625" style="326" customWidth="1"/>
    <col min="10241" max="10241" width="14.453125" style="326" customWidth="1"/>
    <col min="10242" max="10242" width="3.81640625" style="326" customWidth="1"/>
    <col min="10243" max="10243" width="39.1796875" style="326" customWidth="1"/>
    <col min="10244" max="10260" width="9.453125" style="326" customWidth="1"/>
    <col min="10261" max="10495" width="9.1796875" style="326"/>
    <col min="10496" max="10496" width="3.81640625" style="326" customWidth="1"/>
    <col min="10497" max="10497" width="14.453125" style="326" customWidth="1"/>
    <col min="10498" max="10498" width="3.81640625" style="326" customWidth="1"/>
    <col min="10499" max="10499" width="39.1796875" style="326" customWidth="1"/>
    <col min="10500" max="10516" width="9.453125" style="326" customWidth="1"/>
    <col min="10517" max="10751" width="9.1796875" style="326"/>
    <col min="10752" max="10752" width="3.81640625" style="326" customWidth="1"/>
    <col min="10753" max="10753" width="14.453125" style="326" customWidth="1"/>
    <col min="10754" max="10754" width="3.81640625" style="326" customWidth="1"/>
    <col min="10755" max="10755" width="39.1796875" style="326" customWidth="1"/>
    <col min="10756" max="10772" width="9.453125" style="326" customWidth="1"/>
    <col min="10773" max="11007" width="9.1796875" style="326"/>
    <col min="11008" max="11008" width="3.81640625" style="326" customWidth="1"/>
    <col min="11009" max="11009" width="14.453125" style="326" customWidth="1"/>
    <col min="11010" max="11010" width="3.81640625" style="326" customWidth="1"/>
    <col min="11011" max="11011" width="39.1796875" style="326" customWidth="1"/>
    <col min="11012" max="11028" width="9.453125" style="326" customWidth="1"/>
    <col min="11029" max="11263" width="9.1796875" style="326"/>
    <col min="11264" max="11264" width="3.81640625" style="326" customWidth="1"/>
    <col min="11265" max="11265" width="14.453125" style="326" customWidth="1"/>
    <col min="11266" max="11266" width="3.81640625" style="326" customWidth="1"/>
    <col min="11267" max="11267" width="39.1796875" style="326" customWidth="1"/>
    <col min="11268" max="11284" width="9.453125" style="326" customWidth="1"/>
    <col min="11285" max="11519" width="9.1796875" style="326"/>
    <col min="11520" max="11520" width="3.81640625" style="326" customWidth="1"/>
    <col min="11521" max="11521" width="14.453125" style="326" customWidth="1"/>
    <col min="11522" max="11522" width="3.81640625" style="326" customWidth="1"/>
    <col min="11523" max="11523" width="39.1796875" style="326" customWidth="1"/>
    <col min="11524" max="11540" width="9.453125" style="326" customWidth="1"/>
    <col min="11541" max="11775" width="9.1796875" style="326"/>
    <col min="11776" max="11776" width="3.81640625" style="326" customWidth="1"/>
    <col min="11777" max="11777" width="14.453125" style="326" customWidth="1"/>
    <col min="11778" max="11778" width="3.81640625" style="326" customWidth="1"/>
    <col min="11779" max="11779" width="39.1796875" style="326" customWidth="1"/>
    <col min="11780" max="11796" width="9.453125" style="326" customWidth="1"/>
    <col min="11797" max="12031" width="9.1796875" style="326"/>
    <col min="12032" max="12032" width="3.81640625" style="326" customWidth="1"/>
    <col min="12033" max="12033" width="14.453125" style="326" customWidth="1"/>
    <col min="12034" max="12034" width="3.81640625" style="326" customWidth="1"/>
    <col min="12035" max="12035" width="39.1796875" style="326" customWidth="1"/>
    <col min="12036" max="12052" width="9.453125" style="326" customWidth="1"/>
    <col min="12053" max="12287" width="9.1796875" style="326"/>
    <col min="12288" max="12288" width="3.81640625" style="326" customWidth="1"/>
    <col min="12289" max="12289" width="14.453125" style="326" customWidth="1"/>
    <col min="12290" max="12290" width="3.81640625" style="326" customWidth="1"/>
    <col min="12291" max="12291" width="39.1796875" style="326" customWidth="1"/>
    <col min="12292" max="12308" width="9.453125" style="326" customWidth="1"/>
    <col min="12309" max="12543" width="9.1796875" style="326"/>
    <col min="12544" max="12544" width="3.81640625" style="326" customWidth="1"/>
    <col min="12545" max="12545" width="14.453125" style="326" customWidth="1"/>
    <col min="12546" max="12546" width="3.81640625" style="326" customWidth="1"/>
    <col min="12547" max="12547" width="39.1796875" style="326" customWidth="1"/>
    <col min="12548" max="12564" width="9.453125" style="326" customWidth="1"/>
    <col min="12565" max="12799" width="9.1796875" style="326"/>
    <col min="12800" max="12800" width="3.81640625" style="326" customWidth="1"/>
    <col min="12801" max="12801" width="14.453125" style="326" customWidth="1"/>
    <col min="12802" max="12802" width="3.81640625" style="326" customWidth="1"/>
    <col min="12803" max="12803" width="39.1796875" style="326" customWidth="1"/>
    <col min="12804" max="12820" width="9.453125" style="326" customWidth="1"/>
    <col min="12821" max="13055" width="9.1796875" style="326"/>
    <col min="13056" max="13056" width="3.81640625" style="326" customWidth="1"/>
    <col min="13057" max="13057" width="14.453125" style="326" customWidth="1"/>
    <col min="13058" max="13058" width="3.81640625" style="326" customWidth="1"/>
    <col min="13059" max="13059" width="39.1796875" style="326" customWidth="1"/>
    <col min="13060" max="13076" width="9.453125" style="326" customWidth="1"/>
    <col min="13077" max="13311" width="9.1796875" style="326"/>
    <col min="13312" max="13312" width="3.81640625" style="326" customWidth="1"/>
    <col min="13313" max="13313" width="14.453125" style="326" customWidth="1"/>
    <col min="13314" max="13314" width="3.81640625" style="326" customWidth="1"/>
    <col min="13315" max="13315" width="39.1796875" style="326" customWidth="1"/>
    <col min="13316" max="13332" width="9.453125" style="326" customWidth="1"/>
    <col min="13333" max="13567" width="9.1796875" style="326"/>
    <col min="13568" max="13568" width="3.81640625" style="326" customWidth="1"/>
    <col min="13569" max="13569" width="14.453125" style="326" customWidth="1"/>
    <col min="13570" max="13570" width="3.81640625" style="326" customWidth="1"/>
    <col min="13571" max="13571" width="39.1796875" style="326" customWidth="1"/>
    <col min="13572" max="13588" width="9.453125" style="326" customWidth="1"/>
    <col min="13589" max="13823" width="9.1796875" style="326"/>
    <col min="13824" max="13824" width="3.81640625" style="326" customWidth="1"/>
    <col min="13825" max="13825" width="14.453125" style="326" customWidth="1"/>
    <col min="13826" max="13826" width="3.81640625" style="326" customWidth="1"/>
    <col min="13827" max="13827" width="39.1796875" style="326" customWidth="1"/>
    <col min="13828" max="13844" width="9.453125" style="326" customWidth="1"/>
    <col min="13845" max="14079" width="9.1796875" style="326"/>
    <col min="14080" max="14080" width="3.81640625" style="326" customWidth="1"/>
    <col min="14081" max="14081" width="14.453125" style="326" customWidth="1"/>
    <col min="14082" max="14082" width="3.81640625" style="326" customWidth="1"/>
    <col min="14083" max="14083" width="39.1796875" style="326" customWidth="1"/>
    <col min="14084" max="14100" width="9.453125" style="326" customWidth="1"/>
    <col min="14101" max="14335" width="9.1796875" style="326"/>
    <col min="14336" max="14336" width="3.81640625" style="326" customWidth="1"/>
    <col min="14337" max="14337" width="14.453125" style="326" customWidth="1"/>
    <col min="14338" max="14338" width="3.81640625" style="326" customWidth="1"/>
    <col min="14339" max="14339" width="39.1796875" style="326" customWidth="1"/>
    <col min="14340" max="14356" width="9.453125" style="326" customWidth="1"/>
    <col min="14357" max="14591" width="9.1796875" style="326"/>
    <col min="14592" max="14592" width="3.81640625" style="326" customWidth="1"/>
    <col min="14593" max="14593" width="14.453125" style="326" customWidth="1"/>
    <col min="14594" max="14594" width="3.81640625" style="326" customWidth="1"/>
    <col min="14595" max="14595" width="39.1796875" style="326" customWidth="1"/>
    <col min="14596" max="14612" width="9.453125" style="326" customWidth="1"/>
    <col min="14613" max="14847" width="9.1796875" style="326"/>
    <col min="14848" max="14848" width="3.81640625" style="326" customWidth="1"/>
    <col min="14849" max="14849" width="14.453125" style="326" customWidth="1"/>
    <col min="14850" max="14850" width="3.81640625" style="326" customWidth="1"/>
    <col min="14851" max="14851" width="39.1796875" style="326" customWidth="1"/>
    <col min="14852" max="14868" width="9.453125" style="326" customWidth="1"/>
    <col min="14869" max="15103" width="9.1796875" style="326"/>
    <col min="15104" max="15104" width="3.81640625" style="326" customWidth="1"/>
    <col min="15105" max="15105" width="14.453125" style="326" customWidth="1"/>
    <col min="15106" max="15106" width="3.81640625" style="326" customWidth="1"/>
    <col min="15107" max="15107" width="39.1796875" style="326" customWidth="1"/>
    <col min="15108" max="15124" width="9.453125" style="326" customWidth="1"/>
    <col min="15125" max="15359" width="9.1796875" style="326"/>
    <col min="15360" max="15360" width="3.81640625" style="326" customWidth="1"/>
    <col min="15361" max="15361" width="14.453125" style="326" customWidth="1"/>
    <col min="15362" max="15362" width="3.81640625" style="326" customWidth="1"/>
    <col min="15363" max="15363" width="39.1796875" style="326" customWidth="1"/>
    <col min="15364" max="15380" width="9.453125" style="326" customWidth="1"/>
    <col min="15381" max="15615" width="9.1796875" style="326"/>
    <col min="15616" max="15616" width="3.81640625" style="326" customWidth="1"/>
    <col min="15617" max="15617" width="14.453125" style="326" customWidth="1"/>
    <col min="15618" max="15618" width="3.81640625" style="326" customWidth="1"/>
    <col min="15619" max="15619" width="39.1796875" style="326" customWidth="1"/>
    <col min="15620" max="15636" width="9.453125" style="326" customWidth="1"/>
    <col min="15637" max="15871" width="9.1796875" style="326"/>
    <col min="15872" max="15872" width="3.81640625" style="326" customWidth="1"/>
    <col min="15873" max="15873" width="14.453125" style="326" customWidth="1"/>
    <col min="15874" max="15874" width="3.81640625" style="326" customWidth="1"/>
    <col min="15875" max="15875" width="39.1796875" style="326" customWidth="1"/>
    <col min="15876" max="15892" width="9.453125" style="326" customWidth="1"/>
    <col min="15893" max="16127" width="9.1796875" style="326"/>
    <col min="16128" max="16128" width="3.81640625" style="326" customWidth="1"/>
    <col min="16129" max="16129" width="14.453125" style="326" customWidth="1"/>
    <col min="16130" max="16130" width="3.81640625" style="326" customWidth="1"/>
    <col min="16131" max="16131" width="39.1796875" style="326" customWidth="1"/>
    <col min="16132" max="16148" width="9.453125" style="326" customWidth="1"/>
    <col min="16149" max="16384" width="9.1796875" style="326"/>
  </cols>
  <sheetData>
    <row r="1" spans="1:30" x14ac:dyDescent="0.2">
      <c r="D1" s="330"/>
      <c r="E1" s="330"/>
      <c r="F1" s="330"/>
      <c r="G1" s="330"/>
      <c r="H1" s="330"/>
      <c r="I1" s="330"/>
      <c r="J1" s="330"/>
      <c r="K1" s="330"/>
      <c r="L1" s="330"/>
      <c r="M1" s="330"/>
      <c r="N1" s="330"/>
      <c r="O1" s="330"/>
      <c r="P1" s="330"/>
      <c r="Q1" s="330"/>
      <c r="R1" s="330"/>
      <c r="S1" s="330"/>
    </row>
    <row r="2" spans="1:30" ht="15" customHeight="1" x14ac:dyDescent="0.2">
      <c r="A2" s="3423">
        <v>1</v>
      </c>
      <c r="B2" s="3423" t="s">
        <v>0</v>
      </c>
      <c r="C2" s="3423">
        <v>73</v>
      </c>
      <c r="D2" s="4642" t="s">
        <v>1605</v>
      </c>
      <c r="E2" s="4643"/>
      <c r="F2" s="4643"/>
      <c r="G2" s="4643"/>
      <c r="H2" s="4643"/>
      <c r="I2" s="4643"/>
      <c r="J2" s="4643"/>
      <c r="K2" s="4643"/>
      <c r="L2" s="4643"/>
      <c r="M2" s="4643"/>
      <c r="N2" s="4643"/>
      <c r="O2" s="4643"/>
      <c r="P2" s="4643"/>
      <c r="Q2" s="4643"/>
      <c r="R2" s="4643"/>
      <c r="S2" s="4643"/>
      <c r="T2" s="4643"/>
      <c r="U2" s="4643"/>
      <c r="V2" s="4643"/>
      <c r="W2" s="4643"/>
      <c r="X2" s="4643"/>
      <c r="Y2" s="4643"/>
      <c r="Z2" s="4643"/>
      <c r="AA2" s="4643"/>
      <c r="AB2" s="4643"/>
      <c r="AC2" s="4644"/>
    </row>
    <row r="3" spans="1:30" ht="13" x14ac:dyDescent="0.2">
      <c r="A3" s="3423">
        <v>2</v>
      </c>
      <c r="B3" s="3423" t="s">
        <v>2</v>
      </c>
      <c r="C3" s="3423"/>
      <c r="D3" s="4642" t="s">
        <v>1391</v>
      </c>
      <c r="E3" s="4643"/>
      <c r="F3" s="4643"/>
      <c r="G3" s="4643"/>
      <c r="H3" s="4643"/>
      <c r="I3" s="4643"/>
      <c r="J3" s="4643"/>
      <c r="K3" s="4643"/>
      <c r="L3" s="4643"/>
      <c r="M3" s="4643"/>
      <c r="N3" s="4643"/>
      <c r="O3" s="4643"/>
      <c r="P3" s="4643"/>
      <c r="Q3" s="4643"/>
      <c r="R3" s="4643"/>
      <c r="S3" s="4643"/>
      <c r="T3" s="4643"/>
      <c r="U3" s="4643"/>
      <c r="V3" s="4643"/>
      <c r="W3" s="4643"/>
      <c r="X3" s="4643"/>
      <c r="Y3" s="4643"/>
      <c r="Z3" s="4643"/>
      <c r="AA3" s="4643"/>
      <c r="AB3" s="4643"/>
      <c r="AC3" s="4644"/>
    </row>
    <row r="4" spans="1:30" ht="12.75" customHeight="1" x14ac:dyDescent="0.2">
      <c r="A4" s="3423">
        <v>3</v>
      </c>
      <c r="B4" s="3423" t="s">
        <v>4</v>
      </c>
      <c r="C4" s="3423"/>
      <c r="D4" s="4642" t="s">
        <v>1606</v>
      </c>
      <c r="E4" s="4643"/>
      <c r="F4" s="4643"/>
      <c r="G4" s="4643"/>
      <c r="H4" s="4643"/>
      <c r="I4" s="4643"/>
      <c r="J4" s="4643"/>
      <c r="K4" s="4643"/>
      <c r="L4" s="4643"/>
      <c r="M4" s="4643"/>
      <c r="N4" s="4643"/>
      <c r="O4" s="4643"/>
      <c r="P4" s="4643"/>
      <c r="Q4" s="4643"/>
      <c r="R4" s="4643"/>
      <c r="S4" s="4643"/>
      <c r="T4" s="4643"/>
      <c r="U4" s="4643"/>
      <c r="V4" s="4643"/>
      <c r="W4" s="4643"/>
      <c r="X4" s="4643"/>
      <c r="Y4" s="4643"/>
      <c r="Z4" s="4643"/>
      <c r="AA4" s="4643"/>
      <c r="AB4" s="4643"/>
      <c r="AC4" s="4644"/>
    </row>
    <row r="5" spans="1:30" ht="14" x14ac:dyDescent="0.3">
      <c r="C5" s="1326"/>
      <c r="D5" s="1912"/>
      <c r="E5" s="1912"/>
      <c r="F5" s="1912"/>
      <c r="G5" s="1912"/>
      <c r="H5" s="1912"/>
      <c r="I5" s="1912"/>
      <c r="J5" s="1912"/>
      <c r="K5" s="1912"/>
      <c r="L5" s="1912"/>
      <c r="M5" s="1912"/>
      <c r="N5" s="1912"/>
      <c r="O5" s="1912"/>
      <c r="P5" s="1912"/>
    </row>
    <row r="6" spans="1:30" ht="13" x14ac:dyDescent="0.25">
      <c r="A6" s="3423">
        <v>4</v>
      </c>
      <c r="B6" s="1192" t="s">
        <v>6</v>
      </c>
      <c r="D6" s="312" t="s">
        <v>85</v>
      </c>
      <c r="E6" s="90" t="s">
        <v>1607</v>
      </c>
      <c r="F6" s="90"/>
      <c r="G6" s="90"/>
      <c r="H6" s="90"/>
      <c r="I6" s="90"/>
      <c r="J6" s="90"/>
      <c r="K6" s="90"/>
      <c r="L6" s="90"/>
      <c r="M6" s="120"/>
      <c r="N6" s="120"/>
      <c r="O6" s="120"/>
      <c r="P6" s="120"/>
      <c r="Q6" s="108"/>
      <c r="R6" s="330"/>
      <c r="S6" s="330"/>
    </row>
    <row r="7" spans="1:30" ht="13" x14ac:dyDescent="0.25">
      <c r="A7" s="3423"/>
      <c r="D7" s="3970"/>
      <c r="E7" s="2771">
        <v>1994</v>
      </c>
      <c r="F7" s="2771">
        <v>1995</v>
      </c>
      <c r="G7" s="2771">
        <v>1996</v>
      </c>
      <c r="H7" s="2771">
        <v>1997</v>
      </c>
      <c r="I7" s="2771">
        <v>1998</v>
      </c>
      <c r="J7" s="2771">
        <v>1999</v>
      </c>
      <c r="K7" s="2771">
        <v>2000</v>
      </c>
      <c r="L7" s="2771">
        <v>2001</v>
      </c>
      <c r="M7" s="2771">
        <v>2002</v>
      </c>
      <c r="N7" s="2771">
        <v>2003</v>
      </c>
      <c r="O7" s="2771">
        <v>2004</v>
      </c>
      <c r="P7" s="2771">
        <v>2005</v>
      </c>
      <c r="Q7" s="2771">
        <v>2006</v>
      </c>
      <c r="R7" s="2771">
        <v>2007</v>
      </c>
      <c r="S7" s="2771">
        <v>2008</v>
      </c>
      <c r="T7" s="2771">
        <v>2009</v>
      </c>
      <c r="U7" s="2771">
        <v>2010</v>
      </c>
      <c r="V7" s="2771">
        <v>2011</v>
      </c>
      <c r="W7" s="2771">
        <v>2012</v>
      </c>
      <c r="X7" s="2771">
        <v>2013</v>
      </c>
      <c r="Y7" s="2771">
        <v>2014</v>
      </c>
      <c r="Z7" s="2771">
        <v>2015</v>
      </c>
      <c r="AA7" s="2771">
        <v>2016</v>
      </c>
      <c r="AB7" s="2771">
        <v>2017</v>
      </c>
      <c r="AC7" s="2771">
        <v>2018</v>
      </c>
      <c r="AD7" s="2771">
        <v>2019</v>
      </c>
    </row>
    <row r="8" spans="1:30" ht="16.5" customHeight="1" x14ac:dyDescent="0.2">
      <c r="A8" s="3423"/>
      <c r="D8" s="381" t="s">
        <v>1608</v>
      </c>
      <c r="E8" s="1523">
        <v>4904223.2199425697</v>
      </c>
      <c r="F8" s="1523">
        <v>5733497.3496370073</v>
      </c>
      <c r="G8" s="1523">
        <v>5776424.1447586864</v>
      </c>
      <c r="H8" s="1523">
        <v>5819350.9398803646</v>
      </c>
      <c r="I8" s="1523">
        <v>5850566</v>
      </c>
      <c r="J8" s="1523">
        <v>5992057</v>
      </c>
      <c r="K8" s="1523">
        <v>6074201</v>
      </c>
      <c r="L8" s="1523">
        <v>6159679</v>
      </c>
      <c r="M8" s="1523">
        <v>6245392</v>
      </c>
      <c r="N8" s="1523">
        <v>6417484</v>
      </c>
      <c r="O8" s="1523">
        <v>6677239</v>
      </c>
      <c r="P8" s="1523">
        <v>7128791</v>
      </c>
      <c r="Q8" s="1523">
        <v>7653044</v>
      </c>
      <c r="R8" s="1523">
        <v>8133723</v>
      </c>
      <c r="S8" s="1523">
        <v>8357564</v>
      </c>
      <c r="T8" s="1523">
        <v>8600031</v>
      </c>
      <c r="U8" s="1523">
        <v>8816366</v>
      </c>
      <c r="V8" s="1523">
        <v>9150805</v>
      </c>
      <c r="W8" s="1523">
        <v>9539615</v>
      </c>
      <c r="X8" s="1523">
        <v>9909923</v>
      </c>
      <c r="Y8" s="1523">
        <v>10249504</v>
      </c>
      <c r="Z8" s="1523">
        <v>10565967</v>
      </c>
      <c r="AA8" s="1523">
        <v>10801558</v>
      </c>
      <c r="AB8" s="1523">
        <v>11012345</v>
      </c>
      <c r="AC8" s="1523">
        <v>11267812</v>
      </c>
      <c r="AD8" s="1523">
        <v>11490827</v>
      </c>
    </row>
    <row r="9" spans="1:30" s="1881" customFormat="1" ht="21.75" customHeight="1" x14ac:dyDescent="0.2">
      <c r="A9" s="3423"/>
      <c r="B9" s="3608"/>
      <c r="C9" s="3608"/>
      <c r="D9" s="381" t="s">
        <v>1609</v>
      </c>
      <c r="E9" s="2561">
        <f>E12/(E8/10000)</f>
        <v>16.597939439011348</v>
      </c>
      <c r="F9" s="2561">
        <f t="shared" ref="F9:AD9" si="0">F12/(F8/10000)</f>
        <v>14.537374819799465</v>
      </c>
      <c r="G9" s="2561">
        <f t="shared" si="0"/>
        <v>13.589722297526921</v>
      </c>
      <c r="H9" s="2561">
        <f t="shared" si="0"/>
        <v>13.38637260491485</v>
      </c>
      <c r="I9" s="2561">
        <f t="shared" si="0"/>
        <v>12.409055807591949</v>
      </c>
      <c r="J9" s="2561">
        <f t="shared" si="0"/>
        <v>12.252887447499248</v>
      </c>
      <c r="K9" s="2561">
        <f t="shared" si="0"/>
        <v>10.995684864560786</v>
      </c>
      <c r="L9" s="2561">
        <f t="shared" si="0"/>
        <v>14.289705681091499</v>
      </c>
      <c r="M9" s="2561">
        <f t="shared" si="0"/>
        <v>15.968573309729797</v>
      </c>
      <c r="N9" s="2561">
        <f t="shared" si="0"/>
        <v>15.889404632718993</v>
      </c>
      <c r="O9" s="2561">
        <f t="shared" si="0"/>
        <v>15.885308283858045</v>
      </c>
      <c r="P9" s="2561">
        <f t="shared" si="0"/>
        <v>16.462819572070497</v>
      </c>
      <c r="Q9" s="2561">
        <f t="shared" si="0"/>
        <v>16.275876631573006</v>
      </c>
      <c r="R9" s="2561">
        <f t="shared" si="0"/>
        <v>14.766915470320296</v>
      </c>
      <c r="S9" s="2561">
        <f t="shared" si="0"/>
        <v>12.928408325679587</v>
      </c>
      <c r="T9" s="2561">
        <f t="shared" si="0"/>
        <v>12.624373098189995</v>
      </c>
      <c r="U9" s="2561">
        <f t="shared" si="0"/>
        <v>12.29191256352107</v>
      </c>
      <c r="V9" s="2561">
        <f t="shared" si="0"/>
        <v>12.269958763190779</v>
      </c>
      <c r="W9" s="2561">
        <f t="shared" si="0"/>
        <v>11.506753679262738</v>
      </c>
      <c r="X9" s="2561">
        <f t="shared" si="0"/>
        <v>10.262440989702947</v>
      </c>
      <c r="Y9" s="2561">
        <f t="shared" si="0"/>
        <v>10.114635791156333</v>
      </c>
      <c r="Z9" s="2561">
        <f t="shared" si="0"/>
        <v>10.044513673003143</v>
      </c>
      <c r="AA9" s="2561">
        <f t="shared" si="0"/>
        <v>10.809551733185158</v>
      </c>
      <c r="AB9" s="2561">
        <f t="shared" si="0"/>
        <v>10.385617232297026</v>
      </c>
      <c r="AC9" s="2561">
        <f t="shared" si="0"/>
        <v>9.3753782899466209</v>
      </c>
      <c r="AD9" s="2561">
        <f t="shared" si="0"/>
        <v>9.0341626412093756</v>
      </c>
    </row>
    <row r="10" spans="1:30" ht="22.5" customHeight="1" x14ac:dyDescent="0.2">
      <c r="A10" s="3423"/>
      <c r="D10" s="381" t="s">
        <v>1610</v>
      </c>
      <c r="E10" s="2561">
        <f>E13/(E8/10000)</f>
        <v>20.351846872330746</v>
      </c>
      <c r="F10" s="2561">
        <f t="shared" ref="F10:AD10" si="1">F13/(F8/10000)</f>
        <v>17.887860366150367</v>
      </c>
      <c r="G10" s="2561">
        <f t="shared" si="1"/>
        <v>17.048609577840143</v>
      </c>
      <c r="H10" s="2561">
        <f t="shared" si="1"/>
        <v>16.653059937641824</v>
      </c>
      <c r="I10" s="2561">
        <f t="shared" si="1"/>
        <v>15.499355105129998</v>
      </c>
      <c r="J10" s="2561">
        <f t="shared" si="1"/>
        <v>17.561581940892751</v>
      </c>
      <c r="K10" s="2561">
        <f t="shared" si="1"/>
        <v>13.983732181401306</v>
      </c>
      <c r="L10" s="2561">
        <f t="shared" si="1"/>
        <v>18.184763681779685</v>
      </c>
      <c r="M10" s="2561">
        <f t="shared" si="1"/>
        <v>19.531238319358113</v>
      </c>
      <c r="N10" s="2561">
        <f t="shared" si="1"/>
        <v>19.248240734045694</v>
      </c>
      <c r="O10" s="2561">
        <f t="shared" si="1"/>
        <v>19.128414934176053</v>
      </c>
      <c r="P10" s="2561">
        <f t="shared" si="1"/>
        <v>19.827468489089963</v>
      </c>
      <c r="Q10" s="2561">
        <f t="shared" si="1"/>
        <v>20.147823821020651</v>
      </c>
      <c r="R10" s="2561">
        <f t="shared" si="1"/>
        <v>18.343602731166282</v>
      </c>
      <c r="S10" s="2561">
        <f t="shared" si="1"/>
        <v>16.473699752703062</v>
      </c>
      <c r="T10" s="2561">
        <f t="shared" si="1"/>
        <v>16.009244617839169</v>
      </c>
      <c r="U10" s="2561">
        <f t="shared" si="1"/>
        <v>15.842128151213322</v>
      </c>
      <c r="V10" s="2561">
        <f t="shared" si="1"/>
        <v>15.248931651368377</v>
      </c>
      <c r="W10" s="2561">
        <v>14.43</v>
      </c>
      <c r="X10" s="2561">
        <v>12.17</v>
      </c>
      <c r="Y10" s="2561">
        <f t="shared" si="1"/>
        <v>12.39279481231482</v>
      </c>
      <c r="Z10" s="2561">
        <f t="shared" si="1"/>
        <v>12.25065344232099</v>
      </c>
      <c r="AA10" s="2561">
        <f t="shared" si="1"/>
        <v>13.026824463656077</v>
      </c>
      <c r="AB10" s="2561">
        <f t="shared" si="1"/>
        <v>12.758408858422071</v>
      </c>
      <c r="AC10" s="2561">
        <f t="shared" si="1"/>
        <v>11.46717747864448</v>
      </c>
      <c r="AD10" s="2561">
        <f t="shared" si="1"/>
        <v>10.880853049132147</v>
      </c>
    </row>
    <row r="11" spans="1:30" ht="20" x14ac:dyDescent="0.2">
      <c r="A11" s="3423"/>
      <c r="D11" s="3971" t="s">
        <v>1611</v>
      </c>
      <c r="E11" s="2532">
        <f>E12/E8*100</f>
        <v>0.16597939439011347</v>
      </c>
      <c r="F11" s="2532">
        <f t="shared" ref="F11:Z11" si="2">F12/F8*100</f>
        <v>0.14537374819799465</v>
      </c>
      <c r="G11" s="2532">
        <f t="shared" si="2"/>
        <v>0.13589722297526921</v>
      </c>
      <c r="H11" s="2532">
        <f t="shared" si="2"/>
        <v>0.13386372604914851</v>
      </c>
      <c r="I11" s="2532">
        <f t="shared" si="2"/>
        <v>0.1240905580759195</v>
      </c>
      <c r="J11" s="2532">
        <f t="shared" si="2"/>
        <v>0.12252887447499249</v>
      </c>
      <c r="K11" s="2532">
        <f t="shared" si="2"/>
        <v>0.10995684864560787</v>
      </c>
      <c r="L11" s="2532">
        <f t="shared" si="2"/>
        <v>0.142897056810915</v>
      </c>
      <c r="M11" s="2532">
        <f t="shared" si="2"/>
        <v>0.15968573309729797</v>
      </c>
      <c r="N11" s="2532">
        <f t="shared" si="2"/>
        <v>0.1588940463271899</v>
      </c>
      <c r="O11" s="2532">
        <f t="shared" si="2"/>
        <v>0.15885308283858043</v>
      </c>
      <c r="P11" s="2532">
        <f t="shared" si="2"/>
        <v>0.16462819572070497</v>
      </c>
      <c r="Q11" s="2532">
        <f t="shared" si="2"/>
        <v>0.16275876631573005</v>
      </c>
      <c r="R11" s="2532">
        <f t="shared" si="2"/>
        <v>0.14766915470320296</v>
      </c>
      <c r="S11" s="2532">
        <f t="shared" si="2"/>
        <v>0.12928408325679588</v>
      </c>
      <c r="T11" s="2532">
        <f t="shared" si="2"/>
        <v>0.12624373098189995</v>
      </c>
      <c r="U11" s="2532">
        <f t="shared" si="2"/>
        <v>0.12291912563521069</v>
      </c>
      <c r="V11" s="2532">
        <f t="shared" si="2"/>
        <v>0.12269958763190779</v>
      </c>
      <c r="W11" s="2532">
        <f t="shared" si="2"/>
        <v>0.11506753679262738</v>
      </c>
      <c r="X11" s="2532">
        <f t="shared" si="2"/>
        <v>0.10262440989702948</v>
      </c>
      <c r="Y11" s="2532">
        <f t="shared" si="2"/>
        <v>0.10114635791156333</v>
      </c>
      <c r="Z11" s="2532">
        <f t="shared" si="2"/>
        <v>0.10044513673003143</v>
      </c>
      <c r="AA11" s="2532">
        <f>AA12/AA8*100</f>
        <v>0.10809551733185158</v>
      </c>
      <c r="AB11" s="2532">
        <f>AB12/AB8*100</f>
        <v>0.10385617232297026</v>
      </c>
      <c r="AC11" s="2532">
        <f>AC12/AC8*100</f>
        <v>9.3753782899466204E-2</v>
      </c>
      <c r="AD11" s="2532">
        <f>AD12/AD8*100</f>
        <v>9.0341626412093756E-2</v>
      </c>
    </row>
    <row r="12" spans="1:30" ht="14" x14ac:dyDescent="0.2">
      <c r="A12" s="3423"/>
      <c r="C12" s="1879"/>
      <c r="D12" s="108" t="s">
        <v>1612</v>
      </c>
      <c r="E12" s="3972">
        <v>8140</v>
      </c>
      <c r="F12" s="3972">
        <v>8335</v>
      </c>
      <c r="G12" s="3972">
        <v>7850</v>
      </c>
      <c r="H12" s="3972">
        <v>7790</v>
      </c>
      <c r="I12" s="3972">
        <v>7260</v>
      </c>
      <c r="J12" s="3972">
        <v>7342</v>
      </c>
      <c r="K12" s="3972">
        <v>6679</v>
      </c>
      <c r="L12" s="3972">
        <v>8802</v>
      </c>
      <c r="M12" s="3972">
        <v>9973</v>
      </c>
      <c r="N12" s="3972">
        <v>10197</v>
      </c>
      <c r="O12" s="3972">
        <v>10607</v>
      </c>
      <c r="P12" s="3972">
        <v>11736</v>
      </c>
      <c r="Q12" s="3972">
        <v>12456</v>
      </c>
      <c r="R12" s="3972">
        <v>12011</v>
      </c>
      <c r="S12" s="3972">
        <v>10805</v>
      </c>
      <c r="T12" s="3972">
        <v>10857</v>
      </c>
      <c r="U12" s="3972">
        <v>10837</v>
      </c>
      <c r="V12" s="3972">
        <v>11228</v>
      </c>
      <c r="W12" s="3972">
        <v>10977</v>
      </c>
      <c r="X12" s="3972">
        <v>10170</v>
      </c>
      <c r="Y12" s="3972">
        <v>10367</v>
      </c>
      <c r="Z12" s="3972">
        <v>10613</v>
      </c>
      <c r="AA12" s="3972">
        <v>11676</v>
      </c>
      <c r="AB12" s="3972">
        <v>11437</v>
      </c>
      <c r="AC12" s="1523">
        <v>10564</v>
      </c>
      <c r="AD12" s="1523">
        <v>10381</v>
      </c>
    </row>
    <row r="13" spans="1:30" ht="14" x14ac:dyDescent="0.2">
      <c r="A13" s="3423"/>
      <c r="B13" s="1983"/>
      <c r="C13" s="1983"/>
      <c r="D13" s="120" t="s">
        <v>1613</v>
      </c>
      <c r="E13" s="3973">
        <v>9981</v>
      </c>
      <c r="F13" s="3973">
        <v>10256</v>
      </c>
      <c r="G13" s="3973">
        <v>9848</v>
      </c>
      <c r="H13" s="3973">
        <v>9691</v>
      </c>
      <c r="I13" s="3973">
        <v>9068</v>
      </c>
      <c r="J13" s="3973">
        <v>10523</v>
      </c>
      <c r="K13" s="3973">
        <v>8494</v>
      </c>
      <c r="L13" s="3973">
        <v>11201.230697062101</v>
      </c>
      <c r="M13" s="3973">
        <v>12198.023954981261</v>
      </c>
      <c r="N13" s="3973">
        <v>12352.527693888649</v>
      </c>
      <c r="O13" s="3973">
        <v>12772.499820666277</v>
      </c>
      <c r="P13" s="3973">
        <v>14134.587891780813</v>
      </c>
      <c r="Q13" s="3973">
        <v>15419.218220651916</v>
      </c>
      <c r="R13" s="3973">
        <v>14920.178343735</v>
      </c>
      <c r="S13" s="3973">
        <v>13768</v>
      </c>
      <c r="T13" s="3973">
        <v>13768</v>
      </c>
      <c r="U13" s="3973">
        <v>13967</v>
      </c>
      <c r="V13" s="3973">
        <v>13954</v>
      </c>
      <c r="W13" s="3973">
        <v>13528</v>
      </c>
      <c r="X13" s="3973">
        <v>11844</v>
      </c>
      <c r="Y13" s="3973">
        <v>12702</v>
      </c>
      <c r="Z13" s="3973">
        <v>12944</v>
      </c>
      <c r="AA13" s="3973">
        <v>14071</v>
      </c>
      <c r="AB13" s="3973">
        <v>14050</v>
      </c>
      <c r="AC13" s="1542">
        <v>12921</v>
      </c>
      <c r="AD13" s="1542">
        <v>12503</v>
      </c>
    </row>
    <row r="14" spans="1:30" ht="14" x14ac:dyDescent="0.3">
      <c r="A14" s="3423"/>
      <c r="C14" s="1983"/>
      <c r="D14" s="1869"/>
      <c r="E14" s="3974"/>
      <c r="F14" s="3974"/>
      <c r="G14" s="3974"/>
      <c r="H14" s="3974"/>
      <c r="I14" s="3974"/>
      <c r="J14" s="3974"/>
      <c r="K14" s="3974"/>
      <c r="L14" s="3974"/>
      <c r="M14" s="3974"/>
      <c r="N14" s="3974"/>
      <c r="O14" s="3974"/>
      <c r="P14" s="3974"/>
      <c r="Q14" s="4517"/>
      <c r="R14" s="4517"/>
      <c r="S14" s="4517"/>
      <c r="T14" s="33"/>
      <c r="U14" s="33"/>
      <c r="V14" s="33"/>
      <c r="W14" s="33"/>
      <c r="X14" s="33"/>
      <c r="Y14" s="33"/>
      <c r="Z14" s="33"/>
      <c r="AA14" s="33"/>
      <c r="AB14" s="33"/>
      <c r="AC14" s="33"/>
      <c r="AD14" s="33"/>
    </row>
    <row r="15" spans="1:30" ht="14" x14ac:dyDescent="0.3">
      <c r="A15" s="3423">
        <v>5</v>
      </c>
      <c r="B15" s="3423" t="s">
        <v>56</v>
      </c>
      <c r="C15" s="1983"/>
      <c r="D15" s="1869"/>
      <c r="E15" s="1869"/>
      <c r="F15" s="1869"/>
      <c r="G15" s="1869"/>
      <c r="H15" s="1869"/>
      <c r="I15" s="3975"/>
      <c r="J15" s="1869"/>
      <c r="K15" s="1869"/>
      <c r="L15" s="1869"/>
      <c r="M15" s="1869"/>
      <c r="N15" s="1869"/>
      <c r="O15" s="1869"/>
      <c r="P15" s="1869"/>
      <c r="Q15" s="330"/>
      <c r="R15" s="675"/>
      <c r="S15" s="330"/>
    </row>
    <row r="16" spans="1:30" ht="14" x14ac:dyDescent="0.3">
      <c r="A16" s="3423"/>
      <c r="B16" s="1983"/>
      <c r="C16" s="1983"/>
      <c r="D16" s="1869"/>
      <c r="E16" s="1869"/>
      <c r="F16" s="1869"/>
      <c r="G16" s="1869"/>
      <c r="H16" s="1869"/>
      <c r="I16" s="3975"/>
      <c r="J16" s="1869"/>
      <c r="K16" s="1869"/>
      <c r="L16" s="1869"/>
      <c r="M16" s="3976"/>
      <c r="N16" s="1869"/>
      <c r="O16" s="1869"/>
      <c r="P16" s="1869"/>
      <c r="Q16" s="330"/>
      <c r="R16" s="675"/>
      <c r="S16" s="330"/>
    </row>
    <row r="17" spans="1:29" ht="14" x14ac:dyDescent="0.3">
      <c r="A17" s="3423"/>
      <c r="B17" s="1983"/>
      <c r="C17" s="1983"/>
      <c r="D17" s="1869"/>
      <c r="E17" s="1869"/>
      <c r="F17" s="1869"/>
      <c r="G17" s="1869"/>
      <c r="H17" s="1869"/>
      <c r="I17" s="3975"/>
      <c r="J17" s="1869"/>
      <c r="K17" s="1869"/>
      <c r="L17" s="1869"/>
      <c r="M17" s="3976"/>
      <c r="N17" s="1869"/>
      <c r="O17" s="1869"/>
      <c r="P17" s="1869"/>
      <c r="Q17" s="330"/>
      <c r="R17" s="675"/>
      <c r="S17" s="330"/>
    </row>
    <row r="18" spans="1:29" ht="14" x14ac:dyDescent="0.3">
      <c r="A18" s="3423"/>
      <c r="B18" s="1983"/>
      <c r="C18" s="1983"/>
      <c r="D18" s="1869"/>
      <c r="E18" s="1869"/>
      <c r="F18" s="1869"/>
      <c r="G18" s="1869"/>
      <c r="H18" s="1869"/>
      <c r="I18" s="3975"/>
      <c r="J18" s="1869"/>
      <c r="K18" s="1869"/>
      <c r="L18" s="1869"/>
      <c r="M18" s="3976"/>
      <c r="N18" s="1869"/>
      <c r="O18" s="1869"/>
      <c r="P18" s="1869"/>
      <c r="Q18" s="330"/>
      <c r="R18" s="675"/>
      <c r="S18" s="330"/>
    </row>
    <row r="19" spans="1:29" ht="14" x14ac:dyDescent="0.3">
      <c r="A19" s="3423"/>
      <c r="B19" s="1983"/>
      <c r="C19" s="1983"/>
      <c r="D19" s="3975"/>
      <c r="E19" s="1869"/>
      <c r="F19" s="1869"/>
      <c r="G19" s="1869"/>
      <c r="H19" s="1869"/>
      <c r="I19" s="3975"/>
      <c r="J19" s="1869"/>
      <c r="K19" s="1869"/>
      <c r="L19" s="1869"/>
      <c r="M19" s="3976"/>
      <c r="N19" s="1869"/>
      <c r="O19" s="1869"/>
      <c r="P19" s="1869"/>
      <c r="Q19" s="330"/>
      <c r="R19" s="675"/>
      <c r="S19" s="330"/>
    </row>
    <row r="20" spans="1:29" ht="14" x14ac:dyDescent="0.3">
      <c r="A20" s="3423"/>
      <c r="B20" s="1983"/>
      <c r="C20" s="1983"/>
      <c r="D20" s="1869"/>
      <c r="E20" s="1869"/>
      <c r="F20" s="1869"/>
      <c r="G20" s="1869"/>
      <c r="H20" s="1869"/>
      <c r="I20" s="3975"/>
      <c r="J20" s="1869"/>
      <c r="K20" s="1869"/>
      <c r="L20" s="1869"/>
      <c r="M20" s="3976"/>
      <c r="N20" s="1869"/>
      <c r="O20" s="1869"/>
      <c r="P20" s="1869"/>
      <c r="Q20" s="330"/>
      <c r="R20" s="3977"/>
      <c r="S20" s="3977"/>
    </row>
    <row r="21" spans="1:29" ht="14" x14ac:dyDescent="0.3">
      <c r="A21" s="3423"/>
      <c r="B21" s="1983"/>
      <c r="C21" s="1983"/>
      <c r="D21" s="1869"/>
      <c r="E21" s="1869"/>
      <c r="F21" s="1869"/>
      <c r="G21" s="1869"/>
      <c r="H21" s="1869"/>
      <c r="I21" s="3975"/>
      <c r="J21" s="1869"/>
      <c r="K21" s="1869"/>
      <c r="L21" s="1869"/>
      <c r="M21" s="3976"/>
      <c r="N21" s="1869"/>
      <c r="O21" s="1869"/>
      <c r="P21" s="1869"/>
      <c r="Q21" s="330"/>
      <c r="R21" s="330"/>
      <c r="S21" s="330"/>
    </row>
    <row r="22" spans="1:29" ht="14" x14ac:dyDescent="0.3">
      <c r="A22" s="3423"/>
      <c r="B22" s="3978"/>
      <c r="C22" s="3978"/>
      <c r="D22" s="1869"/>
      <c r="E22" s="1869"/>
      <c r="F22" s="1869"/>
      <c r="G22" s="1869"/>
      <c r="H22" s="1869"/>
      <c r="I22" s="1869"/>
      <c r="J22" s="3979"/>
      <c r="K22" s="1869"/>
      <c r="L22" s="1869"/>
      <c r="M22" s="3976"/>
      <c r="N22" s="1869"/>
      <c r="O22" s="1869"/>
      <c r="P22" s="1869"/>
      <c r="Q22" s="330"/>
      <c r="R22" s="330"/>
      <c r="S22" s="330"/>
    </row>
    <row r="23" spans="1:29" ht="14" x14ac:dyDescent="0.3">
      <c r="A23" s="3423"/>
      <c r="B23" s="1983"/>
      <c r="C23" s="1983"/>
      <c r="D23" s="1869"/>
      <c r="E23" s="1869"/>
      <c r="F23" s="1869"/>
      <c r="G23" s="1869"/>
      <c r="H23" s="1869"/>
      <c r="I23" s="1869"/>
      <c r="J23" s="1869"/>
      <c r="K23" s="1869"/>
      <c r="L23" s="1869"/>
      <c r="M23" s="1869"/>
      <c r="N23" s="1869"/>
      <c r="O23" s="1869"/>
      <c r="P23" s="1869"/>
      <c r="Q23" s="330"/>
      <c r="R23" s="330"/>
      <c r="S23" s="330"/>
    </row>
    <row r="24" spans="1:29" ht="14" x14ac:dyDescent="0.3">
      <c r="A24" s="3423"/>
      <c r="B24" s="1983"/>
      <c r="C24" s="1983"/>
      <c r="D24" s="1869"/>
      <c r="E24" s="1869"/>
      <c r="F24" s="1869"/>
      <c r="G24" s="1869"/>
      <c r="H24" s="1869"/>
      <c r="I24" s="1869"/>
      <c r="J24" s="1869"/>
      <c r="K24" s="1869"/>
      <c r="L24" s="1869"/>
      <c r="M24" s="1869"/>
      <c r="N24" s="1869"/>
      <c r="O24" s="1869"/>
      <c r="P24" s="1869"/>
      <c r="Q24" s="330"/>
      <c r="R24" s="330"/>
      <c r="S24" s="330"/>
    </row>
    <row r="25" spans="1:29" ht="14" x14ac:dyDescent="0.3">
      <c r="A25" s="3423"/>
      <c r="B25" s="1983"/>
      <c r="C25" s="1983"/>
      <c r="D25" s="1869"/>
      <c r="E25" s="1869"/>
      <c r="F25" s="1869"/>
      <c r="G25" s="1869"/>
      <c r="H25" s="1869"/>
      <c r="I25" s="1869"/>
      <c r="J25" s="1869"/>
      <c r="K25" s="1869"/>
      <c r="L25" s="1869"/>
      <c r="M25" s="1869"/>
      <c r="N25" s="1869"/>
      <c r="O25" s="1869"/>
      <c r="P25" s="1869"/>
      <c r="Q25" s="330"/>
      <c r="R25" s="330"/>
      <c r="S25" s="330"/>
    </row>
    <row r="26" spans="1:29" ht="14" x14ac:dyDescent="0.3">
      <c r="A26" s="3423"/>
      <c r="B26" s="1983"/>
      <c r="C26" s="1983"/>
      <c r="D26" s="1869"/>
      <c r="E26" s="1869"/>
      <c r="F26" s="1869"/>
      <c r="G26" s="1869"/>
      <c r="H26" s="1869"/>
      <c r="I26" s="1869"/>
      <c r="J26" s="1869"/>
      <c r="K26" s="1869"/>
      <c r="L26" s="1869"/>
      <c r="M26" s="1869"/>
      <c r="N26" s="1869"/>
      <c r="O26" s="1869"/>
      <c r="P26" s="1869"/>
      <c r="Q26" s="330"/>
      <c r="R26" s="330"/>
      <c r="S26" s="330"/>
    </row>
    <row r="27" spans="1:29" ht="14" x14ac:dyDescent="0.3">
      <c r="A27" s="3423"/>
      <c r="B27" s="1983"/>
      <c r="C27" s="1983"/>
      <c r="D27" s="1869"/>
      <c r="E27" s="1869"/>
      <c r="F27" s="1869"/>
      <c r="G27" s="1869"/>
      <c r="H27" s="1869"/>
      <c r="I27" s="1869"/>
      <c r="J27" s="1869"/>
      <c r="K27" s="1869"/>
      <c r="L27" s="1869"/>
      <c r="M27" s="1869"/>
      <c r="N27" s="1869"/>
      <c r="O27" s="1869"/>
      <c r="P27" s="1869"/>
      <c r="Q27" s="330"/>
      <c r="R27" s="330"/>
      <c r="S27" s="330"/>
    </row>
    <row r="28" spans="1:29" ht="14" x14ac:dyDescent="0.3">
      <c r="A28" s="3423"/>
      <c r="B28" s="1983"/>
      <c r="C28" s="1983"/>
      <c r="D28" s="1869"/>
      <c r="E28" s="1869"/>
      <c r="F28" s="1869"/>
      <c r="G28" s="1869"/>
      <c r="H28" s="1869"/>
      <c r="I28" s="1869"/>
      <c r="J28" s="1869"/>
      <c r="K28" s="1869"/>
      <c r="L28" s="1869"/>
      <c r="M28" s="1869"/>
      <c r="N28" s="1869"/>
      <c r="O28" s="1869"/>
      <c r="P28" s="1869"/>
      <c r="Q28" s="330"/>
      <c r="R28" s="330"/>
      <c r="S28" s="330"/>
    </row>
    <row r="29" spans="1:29" ht="14" x14ac:dyDescent="0.3">
      <c r="A29" s="3423"/>
      <c r="B29" s="1983"/>
      <c r="C29" s="1983"/>
      <c r="D29" s="1869"/>
      <c r="E29" s="1869"/>
      <c r="F29" s="1869"/>
      <c r="G29" s="1869"/>
      <c r="H29" s="1869"/>
      <c r="I29" s="1869"/>
      <c r="J29" s="1869"/>
      <c r="K29" s="1869"/>
      <c r="L29" s="1869"/>
      <c r="M29" s="1869"/>
      <c r="N29" s="1869"/>
      <c r="O29" s="1869"/>
      <c r="P29" s="1869"/>
      <c r="Q29" s="330"/>
      <c r="R29" s="330"/>
      <c r="S29" s="330"/>
    </row>
    <row r="30" spans="1:29" ht="14" x14ac:dyDescent="0.3">
      <c r="A30" s="3423"/>
      <c r="B30" s="1983"/>
      <c r="C30" s="1983"/>
      <c r="D30" s="1869"/>
      <c r="E30" s="1869"/>
      <c r="F30" s="1869"/>
      <c r="G30" s="1869"/>
      <c r="H30" s="1869"/>
      <c r="I30" s="1869"/>
      <c r="J30" s="1869"/>
      <c r="K30" s="1869"/>
      <c r="L30" s="1869"/>
      <c r="M30" s="1869"/>
      <c r="N30" s="1869"/>
      <c r="O30" s="1869"/>
      <c r="P30" s="1869"/>
      <c r="Q30" s="330"/>
      <c r="R30" s="330"/>
      <c r="S30" s="330"/>
    </row>
    <row r="31" spans="1:29" ht="14" x14ac:dyDescent="0.3">
      <c r="A31" s="3423"/>
      <c r="B31" s="1983"/>
      <c r="C31" s="1983"/>
      <c r="D31" s="1869"/>
      <c r="E31" s="1869"/>
      <c r="F31" s="1869"/>
      <c r="G31" s="1869"/>
      <c r="H31" s="1869"/>
      <c r="I31" s="1869"/>
      <c r="J31" s="1869"/>
      <c r="K31" s="1869"/>
      <c r="L31" s="1869"/>
      <c r="M31" s="1869"/>
      <c r="N31" s="1869"/>
      <c r="O31" s="1869"/>
      <c r="P31" s="1869"/>
      <c r="Q31" s="330"/>
      <c r="R31" s="330"/>
      <c r="S31" s="330"/>
    </row>
    <row r="32" spans="1:29" ht="13" x14ac:dyDescent="0.2">
      <c r="A32" s="3423">
        <v>6</v>
      </c>
      <c r="B32" s="3423" t="s">
        <v>58</v>
      </c>
      <c r="C32" s="3603"/>
      <c r="D32" s="4642" t="s">
        <v>1602</v>
      </c>
      <c r="E32" s="4643"/>
      <c r="F32" s="4643"/>
      <c r="G32" s="4643"/>
      <c r="H32" s="4643"/>
      <c r="I32" s="4643"/>
      <c r="J32" s="4643"/>
      <c r="K32" s="4643"/>
      <c r="L32" s="4643"/>
      <c r="M32" s="4643"/>
      <c r="N32" s="4643"/>
      <c r="O32" s="4643"/>
      <c r="P32" s="4643"/>
      <c r="Q32" s="4643"/>
      <c r="R32" s="4643"/>
      <c r="S32" s="4643"/>
      <c r="T32" s="4643"/>
      <c r="U32" s="4643"/>
      <c r="V32" s="4643"/>
      <c r="W32" s="4643"/>
      <c r="X32" s="4643"/>
      <c r="Y32" s="4643"/>
      <c r="Z32" s="4643"/>
      <c r="AA32" s="4643"/>
      <c r="AB32" s="4643"/>
      <c r="AC32" s="4644"/>
    </row>
    <row r="33" spans="1:29" ht="12.75" customHeight="1" x14ac:dyDescent="0.2">
      <c r="A33" s="3423">
        <v>7</v>
      </c>
      <c r="B33" s="3423" t="s">
        <v>1603</v>
      </c>
      <c r="C33" s="3603"/>
      <c r="D33" s="4642" t="s">
        <v>1614</v>
      </c>
      <c r="E33" s="4643"/>
      <c r="F33" s="4643"/>
      <c r="G33" s="4643"/>
      <c r="H33" s="4643"/>
      <c r="I33" s="4643"/>
      <c r="J33" s="4643"/>
      <c r="K33" s="4643"/>
      <c r="L33" s="4643"/>
      <c r="M33" s="4643"/>
      <c r="N33" s="4643"/>
      <c r="O33" s="4643"/>
      <c r="P33" s="4643"/>
      <c r="Q33" s="4643"/>
      <c r="R33" s="4643"/>
      <c r="S33" s="4643"/>
      <c r="T33" s="4643"/>
      <c r="U33" s="4643"/>
      <c r="V33" s="4643"/>
      <c r="W33" s="4643"/>
      <c r="X33" s="4643"/>
      <c r="Y33" s="4643"/>
      <c r="Z33" s="4643"/>
      <c r="AA33" s="4643"/>
      <c r="AB33" s="4643"/>
      <c r="AC33" s="4644"/>
    </row>
    <row r="34" spans="1:29" ht="16.5" customHeight="1" x14ac:dyDescent="0.2">
      <c r="A34" s="3423"/>
      <c r="B34" s="3423"/>
      <c r="C34" s="3603"/>
      <c r="D34" s="4642" t="s">
        <v>1615</v>
      </c>
      <c r="E34" s="4643"/>
      <c r="F34" s="4643"/>
      <c r="G34" s="4643"/>
      <c r="H34" s="4643"/>
      <c r="I34" s="4643"/>
      <c r="J34" s="4643"/>
      <c r="K34" s="4643"/>
      <c r="L34" s="4643"/>
      <c r="M34" s="4643"/>
      <c r="N34" s="4643"/>
      <c r="O34" s="4643"/>
      <c r="P34" s="4643"/>
      <c r="Q34" s="4643"/>
      <c r="R34" s="4643"/>
      <c r="S34" s="4643"/>
      <c r="T34" s="4643"/>
      <c r="U34" s="4643"/>
      <c r="V34" s="4643"/>
      <c r="W34" s="4643"/>
      <c r="X34" s="4643"/>
      <c r="Y34" s="4643"/>
      <c r="Z34" s="4643"/>
      <c r="AA34" s="4643"/>
      <c r="AB34" s="4643"/>
      <c r="AC34" s="4644"/>
    </row>
    <row r="35" spans="1:29" ht="12.75" customHeight="1" x14ac:dyDescent="0.2">
      <c r="A35" s="3423">
        <v>8</v>
      </c>
      <c r="B35" s="3423" t="s">
        <v>62</v>
      </c>
      <c r="C35" s="3603"/>
      <c r="D35" s="4642" t="s">
        <v>1616</v>
      </c>
      <c r="E35" s="4643"/>
      <c r="F35" s="4643"/>
      <c r="G35" s="4643"/>
      <c r="H35" s="4643"/>
      <c r="I35" s="4643"/>
      <c r="J35" s="4643"/>
      <c r="K35" s="4643"/>
      <c r="L35" s="4643"/>
      <c r="M35" s="4643"/>
      <c r="N35" s="4643"/>
      <c r="O35" s="4643"/>
      <c r="P35" s="4643"/>
      <c r="Q35" s="4643"/>
      <c r="R35" s="4643"/>
      <c r="S35" s="4643"/>
      <c r="T35" s="4643"/>
      <c r="U35" s="4643"/>
      <c r="V35" s="4643"/>
      <c r="W35" s="4643"/>
      <c r="X35" s="4643"/>
      <c r="Y35" s="4643"/>
      <c r="Z35" s="4643"/>
      <c r="AA35" s="4643"/>
      <c r="AB35" s="4643"/>
      <c r="AC35" s="4644"/>
    </row>
  </sheetData>
  <mergeCells count="7">
    <mergeCell ref="D35:AC35"/>
    <mergeCell ref="D2:AC2"/>
    <mergeCell ref="D3:AC3"/>
    <mergeCell ref="D4:AC4"/>
    <mergeCell ref="D32:AC32"/>
    <mergeCell ref="D33:AC33"/>
    <mergeCell ref="D34:AC34"/>
  </mergeCells>
  <pageMargins left="0.74803149606299213" right="0.74803149606299213" top="0.98425196850393704" bottom="0.98425196850393704" header="0.51181102362204722" footer="0.51181102362204722"/>
  <pageSetup paperSize="9" scale="64" fitToHeight="0" orientation="landscape" r:id="rId1"/>
  <headerFooter alignWithMargins="0">
    <oddHeader>&amp;C&amp;"-,Bold"DEVELOPMENT INDICATORS 2014</oddHeader>
    <oddFooter>&amp;LDepartment of Planning, Monitoring and Evaluation (DPME). &amp;CPage &amp;P of &amp;N&amp;R&amp;D</oddFooter>
  </headerFooter>
  <colBreaks count="1" manualBreakCount="1">
    <brk id="28" max="3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499984740745262"/>
    <pageSetUpPr fitToPage="1"/>
  </sheetPr>
  <dimension ref="A1:V39"/>
  <sheetViews>
    <sheetView showGridLines="0" view="pageBreakPreview" topLeftCell="C1" zoomScaleNormal="100" zoomScaleSheetLayoutView="100" workbookViewId="0">
      <selection activeCell="E44" sqref="E44"/>
    </sheetView>
  </sheetViews>
  <sheetFormatPr defaultColWidth="9.1796875" defaultRowHeight="10.5" x14ac:dyDescent="0.2"/>
  <cols>
    <col min="1" max="1" width="3.7265625" style="3982" customWidth="1"/>
    <col min="2" max="2" width="14.453125" style="3983" customWidth="1"/>
    <col min="3" max="3" width="6.81640625" style="3983" customWidth="1"/>
    <col min="4" max="4" width="18.26953125" style="3980" customWidth="1"/>
    <col min="5" max="5" width="7.1796875" style="3980" customWidth="1"/>
    <col min="6" max="6" width="8.7265625" style="3980" customWidth="1"/>
    <col min="7" max="8" width="7.7265625" style="3980" customWidth="1"/>
    <col min="9" max="9" width="8.36328125" style="3980" customWidth="1"/>
    <col min="10" max="10" width="7.26953125" style="3980" customWidth="1"/>
    <col min="11" max="11" width="7.54296875" style="3980" customWidth="1"/>
    <col min="12" max="12" width="7" style="3980" customWidth="1"/>
    <col min="13" max="13" width="7.1796875" style="3980" customWidth="1"/>
    <col min="14" max="15" width="6.54296875" style="3980" customWidth="1"/>
    <col min="16" max="16" width="6.1796875" style="3980" customWidth="1"/>
    <col min="17" max="17" width="6.6328125" style="3980" customWidth="1"/>
    <col min="18" max="18" width="6.36328125" style="3980" customWidth="1"/>
    <col min="19" max="19" width="6.1796875" style="3980" customWidth="1"/>
    <col min="20" max="20" width="6.81640625" style="3980" customWidth="1"/>
    <col min="21" max="21" width="6.54296875" style="3980" customWidth="1"/>
    <col min="22" max="22" width="6.453125" style="3980" customWidth="1"/>
    <col min="23" max="257" width="9.1796875" style="3980"/>
    <col min="258" max="258" width="3.7265625" style="3980" customWidth="1"/>
    <col min="259" max="259" width="14.453125" style="3980" customWidth="1"/>
    <col min="260" max="260" width="5.453125" style="3980" customWidth="1"/>
    <col min="261" max="261" width="14.1796875" style="3980" customWidth="1"/>
    <col min="262" max="275" width="6" style="3980" customWidth="1"/>
    <col min="276" max="513" width="9.1796875" style="3980"/>
    <col min="514" max="514" width="3.7265625" style="3980" customWidth="1"/>
    <col min="515" max="515" width="14.453125" style="3980" customWidth="1"/>
    <col min="516" max="516" width="5.453125" style="3980" customWidth="1"/>
    <col min="517" max="517" width="14.1796875" style="3980" customWidth="1"/>
    <col min="518" max="531" width="6" style="3980" customWidth="1"/>
    <col min="532" max="769" width="9.1796875" style="3980"/>
    <col min="770" max="770" width="3.7265625" style="3980" customWidth="1"/>
    <col min="771" max="771" width="14.453125" style="3980" customWidth="1"/>
    <col min="772" max="772" width="5.453125" style="3980" customWidth="1"/>
    <col min="773" max="773" width="14.1796875" style="3980" customWidth="1"/>
    <col min="774" max="787" width="6" style="3980" customWidth="1"/>
    <col min="788" max="1025" width="9.1796875" style="3980"/>
    <col min="1026" max="1026" width="3.7265625" style="3980" customWidth="1"/>
    <col min="1027" max="1027" width="14.453125" style="3980" customWidth="1"/>
    <col min="1028" max="1028" width="5.453125" style="3980" customWidth="1"/>
    <col min="1029" max="1029" width="14.1796875" style="3980" customWidth="1"/>
    <col min="1030" max="1043" width="6" style="3980" customWidth="1"/>
    <col min="1044" max="1281" width="9.1796875" style="3980"/>
    <col min="1282" max="1282" width="3.7265625" style="3980" customWidth="1"/>
    <col min="1283" max="1283" width="14.453125" style="3980" customWidth="1"/>
    <col min="1284" max="1284" width="5.453125" style="3980" customWidth="1"/>
    <col min="1285" max="1285" width="14.1796875" style="3980" customWidth="1"/>
    <col min="1286" max="1299" width="6" style="3980" customWidth="1"/>
    <col min="1300" max="1537" width="9.1796875" style="3980"/>
    <col min="1538" max="1538" width="3.7265625" style="3980" customWidth="1"/>
    <col min="1539" max="1539" width="14.453125" style="3980" customWidth="1"/>
    <col min="1540" max="1540" width="5.453125" style="3980" customWidth="1"/>
    <col min="1541" max="1541" width="14.1796875" style="3980" customWidth="1"/>
    <col min="1542" max="1555" width="6" style="3980" customWidth="1"/>
    <col min="1556" max="1793" width="9.1796875" style="3980"/>
    <col min="1794" max="1794" width="3.7265625" style="3980" customWidth="1"/>
    <col min="1795" max="1795" width="14.453125" style="3980" customWidth="1"/>
    <col min="1796" max="1796" width="5.453125" style="3980" customWidth="1"/>
    <col min="1797" max="1797" width="14.1796875" style="3980" customWidth="1"/>
    <col min="1798" max="1811" width="6" style="3980" customWidth="1"/>
    <col min="1812" max="2049" width="9.1796875" style="3980"/>
    <col min="2050" max="2050" width="3.7265625" style="3980" customWidth="1"/>
    <col min="2051" max="2051" width="14.453125" style="3980" customWidth="1"/>
    <col min="2052" max="2052" width="5.453125" style="3980" customWidth="1"/>
    <col min="2053" max="2053" width="14.1796875" style="3980" customWidth="1"/>
    <col min="2054" max="2067" width="6" style="3980" customWidth="1"/>
    <col min="2068" max="2305" width="9.1796875" style="3980"/>
    <col min="2306" max="2306" width="3.7265625" style="3980" customWidth="1"/>
    <col min="2307" max="2307" width="14.453125" style="3980" customWidth="1"/>
    <col min="2308" max="2308" width="5.453125" style="3980" customWidth="1"/>
    <col min="2309" max="2309" width="14.1796875" style="3980" customWidth="1"/>
    <col min="2310" max="2323" width="6" style="3980" customWidth="1"/>
    <col min="2324" max="2561" width="9.1796875" style="3980"/>
    <col min="2562" max="2562" width="3.7265625" style="3980" customWidth="1"/>
    <col min="2563" max="2563" width="14.453125" style="3980" customWidth="1"/>
    <col min="2564" max="2564" width="5.453125" style="3980" customWidth="1"/>
    <col min="2565" max="2565" width="14.1796875" style="3980" customWidth="1"/>
    <col min="2566" max="2579" width="6" style="3980" customWidth="1"/>
    <col min="2580" max="2817" width="9.1796875" style="3980"/>
    <col min="2818" max="2818" width="3.7265625" style="3980" customWidth="1"/>
    <col min="2819" max="2819" width="14.453125" style="3980" customWidth="1"/>
    <col min="2820" max="2820" width="5.453125" style="3980" customWidth="1"/>
    <col min="2821" max="2821" width="14.1796875" style="3980" customWidth="1"/>
    <col min="2822" max="2835" width="6" style="3980" customWidth="1"/>
    <col min="2836" max="3073" width="9.1796875" style="3980"/>
    <col min="3074" max="3074" width="3.7265625" style="3980" customWidth="1"/>
    <col min="3075" max="3075" width="14.453125" style="3980" customWidth="1"/>
    <col min="3076" max="3076" width="5.453125" style="3980" customWidth="1"/>
    <col min="3077" max="3077" width="14.1796875" style="3980" customWidth="1"/>
    <col min="3078" max="3091" width="6" style="3980" customWidth="1"/>
    <col min="3092" max="3329" width="9.1796875" style="3980"/>
    <col min="3330" max="3330" width="3.7265625" style="3980" customWidth="1"/>
    <col min="3331" max="3331" width="14.453125" style="3980" customWidth="1"/>
    <col min="3332" max="3332" width="5.453125" style="3980" customWidth="1"/>
    <col min="3333" max="3333" width="14.1796875" style="3980" customWidth="1"/>
    <col min="3334" max="3347" width="6" style="3980" customWidth="1"/>
    <col min="3348" max="3585" width="9.1796875" style="3980"/>
    <col min="3586" max="3586" width="3.7265625" style="3980" customWidth="1"/>
    <col min="3587" max="3587" width="14.453125" style="3980" customWidth="1"/>
    <col min="3588" max="3588" width="5.453125" style="3980" customWidth="1"/>
    <col min="3589" max="3589" width="14.1796875" style="3980" customWidth="1"/>
    <col min="3590" max="3603" width="6" style="3980" customWidth="1"/>
    <col min="3604" max="3841" width="9.1796875" style="3980"/>
    <col min="3842" max="3842" width="3.7265625" style="3980" customWidth="1"/>
    <col min="3843" max="3843" width="14.453125" style="3980" customWidth="1"/>
    <col min="3844" max="3844" width="5.453125" style="3980" customWidth="1"/>
    <col min="3845" max="3845" width="14.1796875" style="3980" customWidth="1"/>
    <col min="3846" max="3859" width="6" style="3980" customWidth="1"/>
    <col min="3860" max="4097" width="9.1796875" style="3980"/>
    <col min="4098" max="4098" width="3.7265625" style="3980" customWidth="1"/>
    <col min="4099" max="4099" width="14.453125" style="3980" customWidth="1"/>
    <col min="4100" max="4100" width="5.453125" style="3980" customWidth="1"/>
    <col min="4101" max="4101" width="14.1796875" style="3980" customWidth="1"/>
    <col min="4102" max="4115" width="6" style="3980" customWidth="1"/>
    <col min="4116" max="4353" width="9.1796875" style="3980"/>
    <col min="4354" max="4354" width="3.7265625" style="3980" customWidth="1"/>
    <col min="4355" max="4355" width="14.453125" style="3980" customWidth="1"/>
    <col min="4356" max="4356" width="5.453125" style="3980" customWidth="1"/>
    <col min="4357" max="4357" width="14.1796875" style="3980" customWidth="1"/>
    <col min="4358" max="4371" width="6" style="3980" customWidth="1"/>
    <col min="4372" max="4609" width="9.1796875" style="3980"/>
    <col min="4610" max="4610" width="3.7265625" style="3980" customWidth="1"/>
    <col min="4611" max="4611" width="14.453125" style="3980" customWidth="1"/>
    <col min="4612" max="4612" width="5.453125" style="3980" customWidth="1"/>
    <col min="4613" max="4613" width="14.1796875" style="3980" customWidth="1"/>
    <col min="4614" max="4627" width="6" style="3980" customWidth="1"/>
    <col min="4628" max="4865" width="9.1796875" style="3980"/>
    <col min="4866" max="4866" width="3.7265625" style="3980" customWidth="1"/>
    <col min="4867" max="4867" width="14.453125" style="3980" customWidth="1"/>
    <col min="4868" max="4868" width="5.453125" style="3980" customWidth="1"/>
    <col min="4869" max="4869" width="14.1796875" style="3980" customWidth="1"/>
    <col min="4870" max="4883" width="6" style="3980" customWidth="1"/>
    <col min="4884" max="5121" width="9.1796875" style="3980"/>
    <col min="5122" max="5122" width="3.7265625" style="3980" customWidth="1"/>
    <col min="5123" max="5123" width="14.453125" style="3980" customWidth="1"/>
    <col min="5124" max="5124" width="5.453125" style="3980" customWidth="1"/>
    <col min="5125" max="5125" width="14.1796875" style="3980" customWidth="1"/>
    <col min="5126" max="5139" width="6" style="3980" customWidth="1"/>
    <col min="5140" max="5377" width="9.1796875" style="3980"/>
    <col min="5378" max="5378" width="3.7265625" style="3980" customWidth="1"/>
    <col min="5379" max="5379" width="14.453125" style="3980" customWidth="1"/>
    <col min="5380" max="5380" width="5.453125" style="3980" customWidth="1"/>
    <col min="5381" max="5381" width="14.1796875" style="3980" customWidth="1"/>
    <col min="5382" max="5395" width="6" style="3980" customWidth="1"/>
    <col min="5396" max="5633" width="9.1796875" style="3980"/>
    <col min="5634" max="5634" width="3.7265625" style="3980" customWidth="1"/>
    <col min="5635" max="5635" width="14.453125" style="3980" customWidth="1"/>
    <col min="5636" max="5636" width="5.453125" style="3980" customWidth="1"/>
    <col min="5637" max="5637" width="14.1796875" style="3980" customWidth="1"/>
    <col min="5638" max="5651" width="6" style="3980" customWidth="1"/>
    <col min="5652" max="5889" width="9.1796875" style="3980"/>
    <col min="5890" max="5890" width="3.7265625" style="3980" customWidth="1"/>
    <col min="5891" max="5891" width="14.453125" style="3980" customWidth="1"/>
    <col min="5892" max="5892" width="5.453125" style="3980" customWidth="1"/>
    <col min="5893" max="5893" width="14.1796875" style="3980" customWidth="1"/>
    <col min="5894" max="5907" width="6" style="3980" customWidth="1"/>
    <col min="5908" max="6145" width="9.1796875" style="3980"/>
    <col min="6146" max="6146" width="3.7265625" style="3980" customWidth="1"/>
    <col min="6147" max="6147" width="14.453125" style="3980" customWidth="1"/>
    <col min="6148" max="6148" width="5.453125" style="3980" customWidth="1"/>
    <col min="6149" max="6149" width="14.1796875" style="3980" customWidth="1"/>
    <col min="6150" max="6163" width="6" style="3980" customWidth="1"/>
    <col min="6164" max="6401" width="9.1796875" style="3980"/>
    <col min="6402" max="6402" width="3.7265625" style="3980" customWidth="1"/>
    <col min="6403" max="6403" width="14.453125" style="3980" customWidth="1"/>
    <col min="6404" max="6404" width="5.453125" style="3980" customWidth="1"/>
    <col min="6405" max="6405" width="14.1796875" style="3980" customWidth="1"/>
    <col min="6406" max="6419" width="6" style="3980" customWidth="1"/>
    <col min="6420" max="6657" width="9.1796875" style="3980"/>
    <col min="6658" max="6658" width="3.7265625" style="3980" customWidth="1"/>
    <col min="6659" max="6659" width="14.453125" style="3980" customWidth="1"/>
    <col min="6660" max="6660" width="5.453125" style="3980" customWidth="1"/>
    <col min="6661" max="6661" width="14.1796875" style="3980" customWidth="1"/>
    <col min="6662" max="6675" width="6" style="3980" customWidth="1"/>
    <col min="6676" max="6913" width="9.1796875" style="3980"/>
    <col min="6914" max="6914" width="3.7265625" style="3980" customWidth="1"/>
    <col min="6915" max="6915" width="14.453125" style="3980" customWidth="1"/>
    <col min="6916" max="6916" width="5.453125" style="3980" customWidth="1"/>
    <col min="6917" max="6917" width="14.1796875" style="3980" customWidth="1"/>
    <col min="6918" max="6931" width="6" style="3980" customWidth="1"/>
    <col min="6932" max="7169" width="9.1796875" style="3980"/>
    <col min="7170" max="7170" width="3.7265625" style="3980" customWidth="1"/>
    <col min="7171" max="7171" width="14.453125" style="3980" customWidth="1"/>
    <col min="7172" max="7172" width="5.453125" style="3980" customWidth="1"/>
    <col min="7173" max="7173" width="14.1796875" style="3980" customWidth="1"/>
    <col min="7174" max="7187" width="6" style="3980" customWidth="1"/>
    <col min="7188" max="7425" width="9.1796875" style="3980"/>
    <col min="7426" max="7426" width="3.7265625" style="3980" customWidth="1"/>
    <col min="7427" max="7427" width="14.453125" style="3980" customWidth="1"/>
    <col min="7428" max="7428" width="5.453125" style="3980" customWidth="1"/>
    <col min="7429" max="7429" width="14.1796875" style="3980" customWidth="1"/>
    <col min="7430" max="7443" width="6" style="3980" customWidth="1"/>
    <col min="7444" max="7681" width="9.1796875" style="3980"/>
    <col min="7682" max="7682" width="3.7265625" style="3980" customWidth="1"/>
    <col min="7683" max="7683" width="14.453125" style="3980" customWidth="1"/>
    <col min="7684" max="7684" width="5.453125" style="3980" customWidth="1"/>
    <col min="7685" max="7685" width="14.1796875" style="3980" customWidth="1"/>
    <col min="7686" max="7699" width="6" style="3980" customWidth="1"/>
    <col min="7700" max="7937" width="9.1796875" style="3980"/>
    <col min="7938" max="7938" width="3.7265625" style="3980" customWidth="1"/>
    <col min="7939" max="7939" width="14.453125" style="3980" customWidth="1"/>
    <col min="7940" max="7940" width="5.453125" style="3980" customWidth="1"/>
    <col min="7941" max="7941" width="14.1796875" style="3980" customWidth="1"/>
    <col min="7942" max="7955" width="6" style="3980" customWidth="1"/>
    <col min="7956" max="8193" width="9.1796875" style="3980"/>
    <col min="8194" max="8194" width="3.7265625" style="3980" customWidth="1"/>
    <col min="8195" max="8195" width="14.453125" style="3980" customWidth="1"/>
    <col min="8196" max="8196" width="5.453125" style="3980" customWidth="1"/>
    <col min="8197" max="8197" width="14.1796875" style="3980" customWidth="1"/>
    <col min="8198" max="8211" width="6" style="3980" customWidth="1"/>
    <col min="8212" max="8449" width="9.1796875" style="3980"/>
    <col min="8450" max="8450" width="3.7265625" style="3980" customWidth="1"/>
    <col min="8451" max="8451" width="14.453125" style="3980" customWidth="1"/>
    <col min="8452" max="8452" width="5.453125" style="3980" customWidth="1"/>
    <col min="8453" max="8453" width="14.1796875" style="3980" customWidth="1"/>
    <col min="8454" max="8467" width="6" style="3980" customWidth="1"/>
    <col min="8468" max="8705" width="9.1796875" style="3980"/>
    <col min="8706" max="8706" width="3.7265625" style="3980" customWidth="1"/>
    <col min="8707" max="8707" width="14.453125" style="3980" customWidth="1"/>
    <col min="8708" max="8708" width="5.453125" style="3980" customWidth="1"/>
    <col min="8709" max="8709" width="14.1796875" style="3980" customWidth="1"/>
    <col min="8710" max="8723" width="6" style="3980" customWidth="1"/>
    <col min="8724" max="8961" width="9.1796875" style="3980"/>
    <col min="8962" max="8962" width="3.7265625" style="3980" customWidth="1"/>
    <col min="8963" max="8963" width="14.453125" style="3980" customWidth="1"/>
    <col min="8964" max="8964" width="5.453125" style="3980" customWidth="1"/>
    <col min="8965" max="8965" width="14.1796875" style="3980" customWidth="1"/>
    <col min="8966" max="8979" width="6" style="3980" customWidth="1"/>
    <col min="8980" max="9217" width="9.1796875" style="3980"/>
    <col min="9218" max="9218" width="3.7265625" style="3980" customWidth="1"/>
    <col min="9219" max="9219" width="14.453125" style="3980" customWidth="1"/>
    <col min="9220" max="9220" width="5.453125" style="3980" customWidth="1"/>
    <col min="9221" max="9221" width="14.1796875" style="3980" customWidth="1"/>
    <col min="9222" max="9235" width="6" style="3980" customWidth="1"/>
    <col min="9236" max="9473" width="9.1796875" style="3980"/>
    <col min="9474" max="9474" width="3.7265625" style="3980" customWidth="1"/>
    <col min="9475" max="9475" width="14.453125" style="3980" customWidth="1"/>
    <col min="9476" max="9476" width="5.453125" style="3980" customWidth="1"/>
    <col min="9477" max="9477" width="14.1796875" style="3980" customWidth="1"/>
    <col min="9478" max="9491" width="6" style="3980" customWidth="1"/>
    <col min="9492" max="9729" width="9.1796875" style="3980"/>
    <col min="9730" max="9730" width="3.7265625" style="3980" customWidth="1"/>
    <col min="9731" max="9731" width="14.453125" style="3980" customWidth="1"/>
    <col min="9732" max="9732" width="5.453125" style="3980" customWidth="1"/>
    <col min="9733" max="9733" width="14.1796875" style="3980" customWidth="1"/>
    <col min="9734" max="9747" width="6" style="3980" customWidth="1"/>
    <col min="9748" max="9985" width="9.1796875" style="3980"/>
    <col min="9986" max="9986" width="3.7265625" style="3980" customWidth="1"/>
    <col min="9987" max="9987" width="14.453125" style="3980" customWidth="1"/>
    <col min="9988" max="9988" width="5.453125" style="3980" customWidth="1"/>
    <col min="9989" max="9989" width="14.1796875" style="3980" customWidth="1"/>
    <col min="9990" max="10003" width="6" style="3980" customWidth="1"/>
    <col min="10004" max="10241" width="9.1796875" style="3980"/>
    <col min="10242" max="10242" width="3.7265625" style="3980" customWidth="1"/>
    <col min="10243" max="10243" width="14.453125" style="3980" customWidth="1"/>
    <col min="10244" max="10244" width="5.453125" style="3980" customWidth="1"/>
    <col min="10245" max="10245" width="14.1796875" style="3980" customWidth="1"/>
    <col min="10246" max="10259" width="6" style="3980" customWidth="1"/>
    <col min="10260" max="10497" width="9.1796875" style="3980"/>
    <col min="10498" max="10498" width="3.7265625" style="3980" customWidth="1"/>
    <col min="10499" max="10499" width="14.453125" style="3980" customWidth="1"/>
    <col min="10500" max="10500" width="5.453125" style="3980" customWidth="1"/>
    <col min="10501" max="10501" width="14.1796875" style="3980" customWidth="1"/>
    <col min="10502" max="10515" width="6" style="3980" customWidth="1"/>
    <col min="10516" max="10753" width="9.1796875" style="3980"/>
    <col min="10754" max="10754" width="3.7265625" style="3980" customWidth="1"/>
    <col min="10755" max="10755" width="14.453125" style="3980" customWidth="1"/>
    <col min="10756" max="10756" width="5.453125" style="3980" customWidth="1"/>
    <col min="10757" max="10757" width="14.1796875" style="3980" customWidth="1"/>
    <col min="10758" max="10771" width="6" style="3980" customWidth="1"/>
    <col min="10772" max="11009" width="9.1796875" style="3980"/>
    <col min="11010" max="11010" width="3.7265625" style="3980" customWidth="1"/>
    <col min="11011" max="11011" width="14.453125" style="3980" customWidth="1"/>
    <col min="11012" max="11012" width="5.453125" style="3980" customWidth="1"/>
    <col min="11013" max="11013" width="14.1796875" style="3980" customWidth="1"/>
    <col min="11014" max="11027" width="6" style="3980" customWidth="1"/>
    <col min="11028" max="11265" width="9.1796875" style="3980"/>
    <col min="11266" max="11266" width="3.7265625" style="3980" customWidth="1"/>
    <col min="11267" max="11267" width="14.453125" style="3980" customWidth="1"/>
    <col min="11268" max="11268" width="5.453125" style="3980" customWidth="1"/>
    <col min="11269" max="11269" width="14.1796875" style="3980" customWidth="1"/>
    <col min="11270" max="11283" width="6" style="3980" customWidth="1"/>
    <col min="11284" max="11521" width="9.1796875" style="3980"/>
    <col min="11522" max="11522" width="3.7265625" style="3980" customWidth="1"/>
    <col min="11523" max="11523" width="14.453125" style="3980" customWidth="1"/>
    <col min="11524" max="11524" width="5.453125" style="3980" customWidth="1"/>
    <col min="11525" max="11525" width="14.1796875" style="3980" customWidth="1"/>
    <col min="11526" max="11539" width="6" style="3980" customWidth="1"/>
    <col min="11540" max="11777" width="9.1796875" style="3980"/>
    <col min="11778" max="11778" width="3.7265625" style="3980" customWidth="1"/>
    <col min="11779" max="11779" width="14.453125" style="3980" customWidth="1"/>
    <col min="11780" max="11780" width="5.453125" style="3980" customWidth="1"/>
    <col min="11781" max="11781" width="14.1796875" style="3980" customWidth="1"/>
    <col min="11782" max="11795" width="6" style="3980" customWidth="1"/>
    <col min="11796" max="12033" width="9.1796875" style="3980"/>
    <col min="12034" max="12034" width="3.7265625" style="3980" customWidth="1"/>
    <col min="12035" max="12035" width="14.453125" style="3980" customWidth="1"/>
    <col min="12036" max="12036" width="5.453125" style="3980" customWidth="1"/>
    <col min="12037" max="12037" width="14.1796875" style="3980" customWidth="1"/>
    <col min="12038" max="12051" width="6" style="3980" customWidth="1"/>
    <col min="12052" max="12289" width="9.1796875" style="3980"/>
    <col min="12290" max="12290" width="3.7265625" style="3980" customWidth="1"/>
    <col min="12291" max="12291" width="14.453125" style="3980" customWidth="1"/>
    <col min="12292" max="12292" width="5.453125" style="3980" customWidth="1"/>
    <col min="12293" max="12293" width="14.1796875" style="3980" customWidth="1"/>
    <col min="12294" max="12307" width="6" style="3980" customWidth="1"/>
    <col min="12308" max="12545" width="9.1796875" style="3980"/>
    <col min="12546" max="12546" width="3.7265625" style="3980" customWidth="1"/>
    <col min="12547" max="12547" width="14.453125" style="3980" customWidth="1"/>
    <col min="12548" max="12548" width="5.453125" style="3980" customWidth="1"/>
    <col min="12549" max="12549" width="14.1796875" style="3980" customWidth="1"/>
    <col min="12550" max="12563" width="6" style="3980" customWidth="1"/>
    <col min="12564" max="12801" width="9.1796875" style="3980"/>
    <col min="12802" max="12802" width="3.7265625" style="3980" customWidth="1"/>
    <col min="12803" max="12803" width="14.453125" style="3980" customWidth="1"/>
    <col min="12804" max="12804" width="5.453125" style="3980" customWidth="1"/>
    <col min="12805" max="12805" width="14.1796875" style="3980" customWidth="1"/>
    <col min="12806" max="12819" width="6" style="3980" customWidth="1"/>
    <col min="12820" max="13057" width="9.1796875" style="3980"/>
    <col min="13058" max="13058" width="3.7265625" style="3980" customWidth="1"/>
    <col min="13059" max="13059" width="14.453125" style="3980" customWidth="1"/>
    <col min="13060" max="13060" width="5.453125" style="3980" customWidth="1"/>
    <col min="13061" max="13061" width="14.1796875" style="3980" customWidth="1"/>
    <col min="13062" max="13075" width="6" style="3980" customWidth="1"/>
    <col min="13076" max="13313" width="9.1796875" style="3980"/>
    <col min="13314" max="13314" width="3.7265625" style="3980" customWidth="1"/>
    <col min="13315" max="13315" width="14.453125" style="3980" customWidth="1"/>
    <col min="13316" max="13316" width="5.453125" style="3980" customWidth="1"/>
    <col min="13317" max="13317" width="14.1796875" style="3980" customWidth="1"/>
    <col min="13318" max="13331" width="6" style="3980" customWidth="1"/>
    <col min="13332" max="13569" width="9.1796875" style="3980"/>
    <col min="13570" max="13570" width="3.7265625" style="3980" customWidth="1"/>
    <col min="13571" max="13571" width="14.453125" style="3980" customWidth="1"/>
    <col min="13572" max="13572" width="5.453125" style="3980" customWidth="1"/>
    <col min="13573" max="13573" width="14.1796875" style="3980" customWidth="1"/>
    <col min="13574" max="13587" width="6" style="3980" customWidth="1"/>
    <col min="13588" max="13825" width="9.1796875" style="3980"/>
    <col min="13826" max="13826" width="3.7265625" style="3980" customWidth="1"/>
    <col min="13827" max="13827" width="14.453125" style="3980" customWidth="1"/>
    <col min="13828" max="13828" width="5.453125" style="3980" customWidth="1"/>
    <col min="13829" max="13829" width="14.1796875" style="3980" customWidth="1"/>
    <col min="13830" max="13843" width="6" style="3980" customWidth="1"/>
    <col min="13844" max="14081" width="9.1796875" style="3980"/>
    <col min="14082" max="14082" width="3.7265625" style="3980" customWidth="1"/>
    <col min="14083" max="14083" width="14.453125" style="3980" customWidth="1"/>
    <col min="14084" max="14084" width="5.453125" style="3980" customWidth="1"/>
    <col min="14085" max="14085" width="14.1796875" style="3980" customWidth="1"/>
    <col min="14086" max="14099" width="6" style="3980" customWidth="1"/>
    <col min="14100" max="14337" width="9.1796875" style="3980"/>
    <col min="14338" max="14338" width="3.7265625" style="3980" customWidth="1"/>
    <col min="14339" max="14339" width="14.453125" style="3980" customWidth="1"/>
    <col min="14340" max="14340" width="5.453125" style="3980" customWidth="1"/>
    <col min="14341" max="14341" width="14.1796875" style="3980" customWidth="1"/>
    <col min="14342" max="14355" width="6" style="3980" customWidth="1"/>
    <col min="14356" max="14593" width="9.1796875" style="3980"/>
    <col min="14594" max="14594" width="3.7265625" style="3980" customWidth="1"/>
    <col min="14595" max="14595" width="14.453125" style="3980" customWidth="1"/>
    <col min="14596" max="14596" width="5.453125" style="3980" customWidth="1"/>
    <col min="14597" max="14597" width="14.1796875" style="3980" customWidth="1"/>
    <col min="14598" max="14611" width="6" style="3980" customWidth="1"/>
    <col min="14612" max="14849" width="9.1796875" style="3980"/>
    <col min="14850" max="14850" width="3.7265625" style="3980" customWidth="1"/>
    <col min="14851" max="14851" width="14.453125" style="3980" customWidth="1"/>
    <col min="14852" max="14852" width="5.453125" style="3980" customWidth="1"/>
    <col min="14853" max="14853" width="14.1796875" style="3980" customWidth="1"/>
    <col min="14854" max="14867" width="6" style="3980" customWidth="1"/>
    <col min="14868" max="15105" width="9.1796875" style="3980"/>
    <col min="15106" max="15106" width="3.7265625" style="3980" customWidth="1"/>
    <col min="15107" max="15107" width="14.453125" style="3980" customWidth="1"/>
    <col min="15108" max="15108" width="5.453125" style="3980" customWidth="1"/>
    <col min="15109" max="15109" width="14.1796875" style="3980" customWidth="1"/>
    <col min="15110" max="15123" width="6" style="3980" customWidth="1"/>
    <col min="15124" max="15361" width="9.1796875" style="3980"/>
    <col min="15362" max="15362" width="3.7265625" style="3980" customWidth="1"/>
    <col min="15363" max="15363" width="14.453125" style="3980" customWidth="1"/>
    <col min="15364" max="15364" width="5.453125" style="3980" customWidth="1"/>
    <col min="15365" max="15365" width="14.1796875" style="3980" customWidth="1"/>
    <col min="15366" max="15379" width="6" style="3980" customWidth="1"/>
    <col min="15380" max="15617" width="9.1796875" style="3980"/>
    <col min="15618" max="15618" width="3.7265625" style="3980" customWidth="1"/>
    <col min="15619" max="15619" width="14.453125" style="3980" customWidth="1"/>
    <col min="15620" max="15620" width="5.453125" style="3980" customWidth="1"/>
    <col min="15621" max="15621" width="14.1796875" style="3980" customWidth="1"/>
    <col min="15622" max="15635" width="6" style="3980" customWidth="1"/>
    <col min="15636" max="15873" width="9.1796875" style="3980"/>
    <col min="15874" max="15874" width="3.7265625" style="3980" customWidth="1"/>
    <col min="15875" max="15875" width="14.453125" style="3980" customWidth="1"/>
    <col min="15876" max="15876" width="5.453125" style="3980" customWidth="1"/>
    <col min="15877" max="15877" width="14.1796875" style="3980" customWidth="1"/>
    <col min="15878" max="15891" width="6" style="3980" customWidth="1"/>
    <col min="15892" max="16129" width="9.1796875" style="3980"/>
    <col min="16130" max="16130" width="3.7265625" style="3980" customWidth="1"/>
    <col min="16131" max="16131" width="14.453125" style="3980" customWidth="1"/>
    <col min="16132" max="16132" width="5.453125" style="3980" customWidth="1"/>
    <col min="16133" max="16133" width="14.1796875" style="3980" customWidth="1"/>
    <col min="16134" max="16147" width="6" style="3980" customWidth="1"/>
    <col min="16148" max="16384" width="9.1796875" style="3980"/>
  </cols>
  <sheetData>
    <row r="1" spans="1:22" ht="12.75" customHeight="1" x14ac:dyDescent="0.25">
      <c r="A1" s="723"/>
      <c r="B1" s="2047"/>
      <c r="C1" s="2047"/>
      <c r="D1" s="2051"/>
      <c r="E1" s="2051"/>
      <c r="F1" s="2051"/>
      <c r="G1" s="2051"/>
      <c r="H1" s="2051"/>
      <c r="I1" s="2051"/>
      <c r="J1" s="2051"/>
      <c r="K1" s="2051"/>
      <c r="L1" s="2051"/>
      <c r="M1" s="2051"/>
      <c r="N1" s="2051"/>
      <c r="O1" s="2051"/>
      <c r="P1" s="2051"/>
      <c r="Q1" s="2051"/>
      <c r="R1" s="2051"/>
      <c r="S1" s="2051"/>
      <c r="T1" s="2051"/>
    </row>
    <row r="2" spans="1:22" ht="18" customHeight="1" x14ac:dyDescent="0.2">
      <c r="A2" s="723">
        <v>1</v>
      </c>
      <c r="B2" s="723" t="s">
        <v>70</v>
      </c>
      <c r="C2" s="723">
        <v>74</v>
      </c>
      <c r="D2" s="4733" t="s">
        <v>1617</v>
      </c>
      <c r="E2" s="4734"/>
      <c r="F2" s="4734"/>
      <c r="G2" s="4734"/>
      <c r="H2" s="4734"/>
      <c r="I2" s="4734"/>
      <c r="J2" s="4734"/>
      <c r="K2" s="4734"/>
      <c r="L2" s="4734"/>
      <c r="M2" s="4734"/>
      <c r="N2" s="4734"/>
      <c r="O2" s="4734"/>
      <c r="P2" s="4734"/>
      <c r="Q2" s="4734"/>
      <c r="R2" s="4734"/>
      <c r="S2" s="4734"/>
      <c r="T2" s="4734"/>
      <c r="U2" s="4735"/>
      <c r="V2" s="3981"/>
    </row>
    <row r="3" spans="1:22" ht="18.75" customHeight="1" x14ac:dyDescent="0.2">
      <c r="A3" s="723">
        <v>2</v>
      </c>
      <c r="B3" s="723" t="s">
        <v>72</v>
      </c>
      <c r="C3" s="723"/>
      <c r="D3" s="4733" t="s">
        <v>1618</v>
      </c>
      <c r="E3" s="4734"/>
      <c r="F3" s="4734"/>
      <c r="G3" s="4734"/>
      <c r="H3" s="4734"/>
      <c r="I3" s="4734"/>
      <c r="J3" s="4734"/>
      <c r="K3" s="4734"/>
      <c r="L3" s="4734"/>
      <c r="M3" s="4734"/>
      <c r="N3" s="4734"/>
      <c r="O3" s="4734"/>
      <c r="P3" s="4734"/>
      <c r="Q3" s="4734"/>
      <c r="R3" s="4734"/>
      <c r="S3" s="4734"/>
      <c r="T3" s="4734"/>
      <c r="U3" s="4735"/>
    </row>
    <row r="4" spans="1:22" ht="29.25" customHeight="1" x14ac:dyDescent="0.2">
      <c r="A4" s="723">
        <v>3</v>
      </c>
      <c r="B4" s="723" t="s">
        <v>4</v>
      </c>
      <c r="C4" s="723"/>
      <c r="D4" s="4733" t="s">
        <v>1619</v>
      </c>
      <c r="E4" s="4734"/>
      <c r="F4" s="4734"/>
      <c r="G4" s="4734"/>
      <c r="H4" s="4734"/>
      <c r="I4" s="4734"/>
      <c r="J4" s="4734"/>
      <c r="K4" s="4734"/>
      <c r="L4" s="4734"/>
      <c r="M4" s="4734"/>
      <c r="N4" s="4734"/>
      <c r="O4" s="4734"/>
      <c r="P4" s="4734"/>
      <c r="Q4" s="4734"/>
      <c r="R4" s="4734"/>
      <c r="S4" s="4734"/>
      <c r="T4" s="4734"/>
      <c r="U4" s="4735"/>
    </row>
    <row r="5" spans="1:22" ht="12.75" customHeight="1" x14ac:dyDescent="0.25">
      <c r="C5" s="728"/>
      <c r="D5" s="1257"/>
      <c r="E5" s="1257"/>
      <c r="F5" s="1257"/>
      <c r="G5" s="1257"/>
      <c r="H5" s="1257"/>
      <c r="I5" s="1257"/>
      <c r="J5" s="1257"/>
      <c r="K5" s="1257"/>
      <c r="L5" s="1257"/>
      <c r="M5" s="1257"/>
      <c r="N5" s="1257"/>
      <c r="O5" s="1257"/>
      <c r="P5" s="1257"/>
      <c r="Q5" s="1257"/>
      <c r="R5" s="1257"/>
      <c r="S5" s="2051"/>
      <c r="T5" s="2051"/>
    </row>
    <row r="6" spans="1:22" ht="12.75" customHeight="1" x14ac:dyDescent="0.25">
      <c r="A6" s="723">
        <v>4</v>
      </c>
      <c r="B6" s="728" t="s">
        <v>6</v>
      </c>
      <c r="D6" s="792" t="s">
        <v>85</v>
      </c>
      <c r="E6" s="1770" t="s">
        <v>1620</v>
      </c>
      <c r="F6" s="1770"/>
      <c r="G6" s="1770"/>
      <c r="H6" s="1770"/>
      <c r="I6" s="1770"/>
      <c r="J6" s="1770"/>
      <c r="K6" s="1770"/>
      <c r="L6" s="1272"/>
      <c r="M6" s="1270"/>
      <c r="N6" s="1270"/>
      <c r="O6" s="1270"/>
      <c r="P6" s="1270"/>
      <c r="Q6" s="1270"/>
      <c r="R6" s="1270"/>
    </row>
    <row r="7" spans="1:22" ht="11.25" customHeight="1" x14ac:dyDescent="0.25">
      <c r="E7" s="3984" t="s">
        <v>110</v>
      </c>
      <c r="F7" s="3985" t="s">
        <v>111</v>
      </c>
      <c r="G7" s="3985" t="s">
        <v>112</v>
      </c>
      <c r="H7" s="3985" t="s">
        <v>113</v>
      </c>
      <c r="I7" s="3985" t="s">
        <v>114</v>
      </c>
      <c r="J7" s="3985" t="s">
        <v>115</v>
      </c>
      <c r="K7" s="3985" t="s">
        <v>116</v>
      </c>
      <c r="L7" s="3984" t="s">
        <v>117</v>
      </c>
      <c r="M7" s="3986" t="s">
        <v>118</v>
      </c>
      <c r="N7" s="3986" t="s">
        <v>119</v>
      </c>
      <c r="O7" s="3986" t="s">
        <v>120</v>
      </c>
      <c r="P7" s="3986" t="s">
        <v>121</v>
      </c>
      <c r="Q7" s="3986" t="s">
        <v>122</v>
      </c>
      <c r="R7" s="1519" t="s">
        <v>123</v>
      </c>
      <c r="S7" s="1519" t="s">
        <v>124</v>
      </c>
      <c r="T7" s="1519" t="s">
        <v>125</v>
      </c>
      <c r="U7" s="1519" t="s">
        <v>126</v>
      </c>
      <c r="V7" s="1519" t="s">
        <v>302</v>
      </c>
    </row>
    <row r="8" spans="1:22" ht="13.15" customHeight="1" x14ac:dyDescent="0.2">
      <c r="C8" s="1260"/>
      <c r="D8" s="3987" t="s">
        <v>1621</v>
      </c>
      <c r="E8" s="3988">
        <v>4</v>
      </c>
      <c r="F8" s="3988">
        <v>6</v>
      </c>
      <c r="G8" s="3988">
        <v>6</v>
      </c>
      <c r="H8" s="3988">
        <v>4</v>
      </c>
      <c r="I8" s="3988">
        <v>10</v>
      </c>
      <c r="J8" s="3988">
        <v>12</v>
      </c>
      <c r="K8" s="3988">
        <v>9</v>
      </c>
      <c r="L8" s="3988">
        <v>4</v>
      </c>
      <c r="M8" s="3988">
        <v>1</v>
      </c>
      <c r="N8" s="3988">
        <v>7</v>
      </c>
      <c r="O8" s="3988">
        <v>15</v>
      </c>
      <c r="P8" s="3988">
        <v>3</v>
      </c>
      <c r="Q8" s="3988">
        <v>7</v>
      </c>
      <c r="R8" s="756">
        <v>6</v>
      </c>
      <c r="S8" s="756">
        <v>6</v>
      </c>
      <c r="T8" s="756">
        <v>11</v>
      </c>
      <c r="U8" s="756">
        <v>8</v>
      </c>
      <c r="V8" s="756">
        <v>5</v>
      </c>
    </row>
    <row r="9" spans="1:22" ht="13.15" customHeight="1" x14ac:dyDescent="0.2">
      <c r="D9" s="3989" t="s">
        <v>1622</v>
      </c>
      <c r="E9" s="3990">
        <f>30+25+1+1</f>
        <v>57</v>
      </c>
      <c r="F9" s="3990">
        <f>30+18+0.08+2+7+5</f>
        <v>62.08</v>
      </c>
      <c r="G9" s="3990">
        <f>7.1+3.5+3.5+5</f>
        <v>19.100000000000001</v>
      </c>
      <c r="H9" s="3990">
        <f>10+25+25.8+10+22.4+1.7</f>
        <v>94.899999999999991</v>
      </c>
      <c r="I9" s="3990">
        <f>278+10+10+10+7.5+27+5+7.1+26.3+6.5</f>
        <v>387.40000000000003</v>
      </c>
      <c r="J9" s="3990">
        <f>13+22+31.67+10+81.256+2.1+172.327+11.756+10+1+14+805</f>
        <v>1174.1089999999999</v>
      </c>
      <c r="K9" s="3990">
        <f>40+60+20+14+10+20+300+8+305</f>
        <v>777</v>
      </c>
      <c r="L9" s="3990">
        <f>4+24+3+300</f>
        <v>331</v>
      </c>
      <c r="M9" s="3990" t="s">
        <v>1623</v>
      </c>
      <c r="N9" s="3990">
        <f>1.2+15+13.6+100+5+10.636+125.2</f>
        <v>270.63600000000002</v>
      </c>
      <c r="O9" s="3990">
        <f>10+0.646+21.2+3.9+10.7+120+96+250+22+13+5+17.9+180+12+4.02+12</f>
        <v>778.36599999999999</v>
      </c>
      <c r="P9" s="3990">
        <f>16.585+17+8.4+9.02</f>
        <v>51.004999999999995</v>
      </c>
      <c r="Q9" s="3990">
        <v>189</v>
      </c>
      <c r="R9" s="803">
        <v>199</v>
      </c>
      <c r="S9" s="803">
        <v>91</v>
      </c>
      <c r="T9" s="803">
        <v>153</v>
      </c>
      <c r="U9" s="803" t="s">
        <v>1624</v>
      </c>
      <c r="V9" s="803">
        <v>45</v>
      </c>
    </row>
    <row r="10" spans="1:22" ht="11.25" customHeight="1" x14ac:dyDescent="0.2">
      <c r="A10" s="3983"/>
      <c r="D10" s="3991"/>
      <c r="E10" s="3992"/>
      <c r="F10" s="3993"/>
      <c r="G10" s="3993"/>
      <c r="H10" s="3993"/>
      <c r="I10" s="3993"/>
      <c r="J10" s="3993"/>
      <c r="K10" s="3994"/>
      <c r="L10" s="3994"/>
      <c r="M10" s="3994"/>
      <c r="N10" s="3994"/>
      <c r="O10" s="1960"/>
      <c r="P10" s="1960"/>
      <c r="Q10" s="1960"/>
      <c r="R10" s="1270"/>
    </row>
    <row r="11" spans="1:22" ht="13" x14ac:dyDescent="0.2">
      <c r="A11" s="723">
        <v>5</v>
      </c>
      <c r="B11" s="723" t="s">
        <v>56</v>
      </c>
      <c r="D11" s="1265"/>
      <c r="E11" s="1265"/>
      <c r="F11" s="1265"/>
      <c r="G11" s="1265"/>
      <c r="H11" s="1265"/>
      <c r="I11" s="1265"/>
      <c r="J11" s="1270"/>
      <c r="K11" s="1270"/>
      <c r="L11" s="1270"/>
      <c r="M11" s="1270"/>
      <c r="N11" s="1270"/>
      <c r="O11" s="1270"/>
      <c r="P11" s="1270"/>
      <c r="Q11" s="1270"/>
      <c r="R11" s="1270"/>
    </row>
    <row r="12" spans="1:22" ht="13" x14ac:dyDescent="0.2">
      <c r="A12" s="3983"/>
      <c r="C12" s="723"/>
      <c r="D12" s="1265"/>
      <c r="E12" s="1265"/>
      <c r="F12" s="1265"/>
      <c r="G12" s="1265"/>
      <c r="H12" s="1265"/>
      <c r="I12" s="1265"/>
      <c r="J12" s="1265"/>
      <c r="K12" s="1265"/>
      <c r="L12" s="1265"/>
      <c r="M12" s="1265"/>
      <c r="N12" s="1265"/>
      <c r="O12" s="1265"/>
      <c r="P12" s="1265"/>
      <c r="Q12" s="1265"/>
      <c r="R12" s="1265"/>
    </row>
    <row r="13" spans="1:22" x14ac:dyDescent="0.2">
      <c r="D13" s="1265"/>
      <c r="E13" s="1265"/>
      <c r="F13" s="1265"/>
      <c r="G13" s="1265"/>
      <c r="H13" s="1265"/>
      <c r="I13" s="1265"/>
      <c r="J13" s="1265"/>
      <c r="K13" s="1265"/>
      <c r="L13" s="1265"/>
      <c r="M13" s="1265"/>
      <c r="N13" s="1265"/>
      <c r="O13" s="1265"/>
      <c r="P13" s="1265"/>
      <c r="Q13" s="1265"/>
      <c r="R13" s="1265"/>
    </row>
    <row r="14" spans="1:22" x14ac:dyDescent="0.2">
      <c r="D14" s="1265"/>
      <c r="E14" s="1265"/>
      <c r="F14" s="1265"/>
      <c r="G14" s="1265"/>
      <c r="H14" s="1265"/>
      <c r="I14" s="1265"/>
      <c r="J14" s="1265"/>
      <c r="K14" s="1265"/>
      <c r="L14" s="1265"/>
      <c r="M14" s="1265"/>
      <c r="N14" s="1265"/>
      <c r="O14" s="1265"/>
      <c r="P14" s="1265"/>
      <c r="Q14" s="1265"/>
      <c r="R14" s="1265"/>
    </row>
    <row r="15" spans="1:22" ht="10" x14ac:dyDescent="0.2">
      <c r="A15" s="3980"/>
      <c r="B15" s="3980"/>
      <c r="C15" s="3980"/>
      <c r="D15" s="1265"/>
      <c r="E15" s="1265"/>
      <c r="F15" s="1265"/>
      <c r="G15" s="1265"/>
      <c r="H15" s="1265"/>
      <c r="I15" s="1265"/>
      <c r="J15" s="1265"/>
      <c r="K15" s="1265"/>
      <c r="L15" s="1265"/>
      <c r="M15" s="3995"/>
      <c r="N15" s="3995"/>
      <c r="O15" s="1265"/>
      <c r="P15" s="1265"/>
      <c r="Q15" s="1265"/>
      <c r="R15" s="1265"/>
    </row>
    <row r="16" spans="1:22" ht="10" x14ac:dyDescent="0.2">
      <c r="A16" s="3980"/>
      <c r="B16" s="3980"/>
      <c r="C16" s="3980"/>
      <c r="D16" s="1265"/>
      <c r="E16" s="1265"/>
      <c r="F16" s="1265"/>
      <c r="G16" s="1265"/>
      <c r="H16" s="1265"/>
      <c r="I16" s="1265"/>
      <c r="J16" s="1265"/>
      <c r="K16" s="1265"/>
      <c r="L16" s="1265"/>
      <c r="M16" s="3995"/>
      <c r="N16" s="3995"/>
      <c r="O16" s="1265"/>
      <c r="P16" s="1265"/>
      <c r="Q16" s="1265"/>
      <c r="R16" s="1265"/>
    </row>
    <row r="17" spans="1:21" ht="10" x14ac:dyDescent="0.2">
      <c r="A17" s="3980"/>
      <c r="B17" s="3980"/>
      <c r="C17" s="3980"/>
      <c r="D17" s="1265"/>
      <c r="E17" s="1265"/>
      <c r="F17" s="1265"/>
      <c r="G17" s="1265"/>
      <c r="H17" s="1265"/>
      <c r="I17" s="1265"/>
      <c r="J17" s="1265"/>
      <c r="K17" s="1265"/>
      <c r="L17" s="1265"/>
      <c r="M17" s="3995"/>
      <c r="N17" s="3995"/>
      <c r="O17" s="1265"/>
      <c r="P17" s="1265"/>
      <c r="Q17" s="1265"/>
      <c r="R17" s="1265"/>
    </row>
    <row r="18" spans="1:21" ht="10" x14ac:dyDescent="0.2">
      <c r="A18" s="3980"/>
      <c r="B18" s="3980"/>
      <c r="C18" s="3980"/>
      <c r="D18" s="1265"/>
      <c r="E18" s="1265"/>
      <c r="F18" s="1265"/>
      <c r="G18" s="1265"/>
      <c r="H18" s="1265"/>
      <c r="I18" s="1265"/>
      <c r="J18" s="1265"/>
      <c r="K18" s="1265"/>
      <c r="L18" s="1265"/>
      <c r="M18" s="3995"/>
      <c r="N18" s="3995"/>
      <c r="O18" s="1265"/>
      <c r="P18" s="1265"/>
      <c r="Q18" s="1265"/>
      <c r="R18" s="1265"/>
    </row>
    <row r="19" spans="1:21" ht="10" x14ac:dyDescent="0.2">
      <c r="A19" s="3980"/>
      <c r="B19" s="3980"/>
      <c r="C19" s="3980"/>
      <c r="D19" s="1265"/>
      <c r="E19" s="1265"/>
      <c r="F19" s="1265"/>
      <c r="G19" s="1265"/>
      <c r="H19" s="1265"/>
      <c r="I19" s="1265"/>
      <c r="J19" s="1265"/>
      <c r="K19" s="1265"/>
      <c r="L19" s="1265"/>
      <c r="M19" s="3995"/>
      <c r="N19" s="3995"/>
      <c r="O19" s="1265"/>
      <c r="P19" s="1265"/>
      <c r="Q19" s="1265"/>
      <c r="R19" s="1265"/>
    </row>
    <row r="20" spans="1:21" ht="10" x14ac:dyDescent="0.2">
      <c r="A20" s="3980"/>
      <c r="B20" s="3980"/>
      <c r="C20" s="3980"/>
      <c r="D20" s="1265"/>
      <c r="E20" s="1265"/>
      <c r="F20" s="1265"/>
      <c r="G20" s="1265"/>
      <c r="H20" s="1265"/>
      <c r="I20" s="1265"/>
      <c r="J20" s="1265"/>
      <c r="K20" s="1265"/>
      <c r="L20" s="1265"/>
      <c r="M20" s="3995"/>
      <c r="N20" s="3995"/>
      <c r="O20" s="1265"/>
      <c r="P20" s="1265"/>
      <c r="Q20" s="1265"/>
      <c r="R20" s="1265"/>
    </row>
    <row r="21" spans="1:21" ht="10" x14ac:dyDescent="0.2">
      <c r="A21" s="3980"/>
      <c r="B21" s="3980"/>
      <c r="C21" s="3980"/>
      <c r="D21" s="1265"/>
      <c r="E21" s="1265"/>
      <c r="F21" s="1265"/>
      <c r="G21" s="1265"/>
      <c r="H21" s="1265"/>
      <c r="I21" s="1265"/>
      <c r="J21" s="1265"/>
      <c r="K21" s="1265"/>
      <c r="L21" s="1265"/>
      <c r="M21" s="3995"/>
      <c r="N21" s="3995"/>
      <c r="O21" s="1265"/>
      <c r="P21" s="1265"/>
      <c r="Q21" s="1265"/>
      <c r="R21" s="1265"/>
    </row>
    <row r="22" spans="1:21" ht="10" x14ac:dyDescent="0.2">
      <c r="A22" s="3980"/>
      <c r="B22" s="3980"/>
      <c r="C22" s="3980"/>
      <c r="D22" s="1265"/>
      <c r="E22" s="1265"/>
      <c r="F22" s="1265"/>
      <c r="G22" s="1265"/>
      <c r="H22" s="1265"/>
      <c r="I22" s="1265"/>
      <c r="J22" s="1265"/>
      <c r="K22" s="1265"/>
      <c r="L22" s="1265"/>
      <c r="M22" s="3995"/>
      <c r="N22" s="3995"/>
      <c r="O22" s="1265"/>
      <c r="P22" s="1265"/>
      <c r="Q22" s="1265"/>
      <c r="R22" s="1265"/>
    </row>
    <row r="23" spans="1:21" ht="10" x14ac:dyDescent="0.2">
      <c r="A23" s="3980"/>
      <c r="B23" s="3980"/>
      <c r="C23" s="3980"/>
      <c r="D23" s="1265"/>
      <c r="E23" s="1265"/>
      <c r="F23" s="1265"/>
      <c r="G23" s="1265"/>
      <c r="H23" s="1265"/>
      <c r="I23" s="1265"/>
      <c r="J23" s="1265"/>
      <c r="K23" s="1265"/>
      <c r="L23" s="1265"/>
      <c r="M23" s="1265"/>
      <c r="N23" s="1265"/>
      <c r="O23" s="1265"/>
      <c r="P23" s="1265"/>
      <c r="Q23" s="1265"/>
      <c r="R23" s="1265"/>
    </row>
    <row r="24" spans="1:21" ht="10" x14ac:dyDescent="0.2">
      <c r="A24" s="3980"/>
      <c r="B24" s="3980"/>
      <c r="C24" s="3980"/>
      <c r="D24" s="1265"/>
      <c r="E24" s="1265"/>
      <c r="F24" s="1265"/>
      <c r="G24" s="1265"/>
      <c r="H24" s="1265"/>
      <c r="I24" s="1265"/>
      <c r="J24" s="1265"/>
      <c r="K24" s="1265"/>
      <c r="L24" s="1265"/>
      <c r="M24" s="1265"/>
      <c r="N24" s="1265"/>
      <c r="O24" s="1265"/>
      <c r="P24" s="1265"/>
      <c r="Q24" s="1265"/>
      <c r="R24" s="1265"/>
    </row>
    <row r="25" spans="1:21" ht="10" x14ac:dyDescent="0.2">
      <c r="A25" s="3980"/>
      <c r="B25" s="3980"/>
      <c r="C25" s="3980"/>
      <c r="D25" s="1265"/>
      <c r="E25" s="1265"/>
      <c r="F25" s="1265"/>
      <c r="G25" s="1265"/>
      <c r="H25" s="1265"/>
      <c r="I25" s="1265"/>
      <c r="J25" s="1265"/>
      <c r="K25" s="1265"/>
      <c r="L25" s="1265"/>
      <c r="M25" s="1265"/>
      <c r="N25" s="1265"/>
      <c r="O25" s="1265"/>
      <c r="P25" s="1265"/>
      <c r="Q25" s="1265"/>
      <c r="R25" s="1265"/>
    </row>
    <row r="26" spans="1:21" ht="10" x14ac:dyDescent="0.2">
      <c r="A26" s="3980"/>
      <c r="B26" s="3980"/>
      <c r="C26" s="3980"/>
      <c r="D26" s="1265"/>
      <c r="E26" s="1265"/>
      <c r="F26" s="1265"/>
      <c r="G26" s="1265"/>
      <c r="H26" s="1265"/>
      <c r="I26" s="1265"/>
      <c r="J26" s="1265"/>
      <c r="K26" s="1265"/>
      <c r="L26" s="1265"/>
      <c r="M26" s="1265"/>
      <c r="N26" s="1265"/>
      <c r="O26" s="1265"/>
      <c r="P26" s="1265"/>
      <c r="Q26" s="1265"/>
      <c r="R26" s="1265"/>
    </row>
    <row r="27" spans="1:21" ht="10" x14ac:dyDescent="0.2">
      <c r="A27" s="3980"/>
      <c r="B27" s="3980"/>
      <c r="C27" s="3980"/>
      <c r="D27" s="1265"/>
      <c r="E27" s="1265"/>
      <c r="F27" s="1265"/>
      <c r="G27" s="1265"/>
      <c r="H27" s="1265"/>
      <c r="I27" s="1265"/>
      <c r="J27" s="1265"/>
      <c r="K27" s="1265"/>
      <c r="L27" s="1265"/>
      <c r="M27" s="1265"/>
      <c r="N27" s="1265"/>
      <c r="O27" s="1265"/>
      <c r="P27" s="1265"/>
      <c r="Q27" s="1265"/>
      <c r="R27" s="1265"/>
    </row>
    <row r="28" spans="1:21" ht="10" x14ac:dyDescent="0.2">
      <c r="A28" s="3980"/>
      <c r="B28" s="3980"/>
      <c r="C28" s="3980"/>
      <c r="D28" s="1265"/>
      <c r="E28" s="1265"/>
      <c r="F28" s="1265"/>
      <c r="G28" s="1265"/>
      <c r="H28" s="1265"/>
      <c r="I28" s="1265"/>
      <c r="J28" s="1265"/>
      <c r="K28" s="1265"/>
      <c r="L28" s="1265"/>
      <c r="M28" s="1265"/>
      <c r="N28" s="1265"/>
      <c r="O28" s="1265"/>
      <c r="P28" s="1265"/>
      <c r="Q28" s="1265"/>
      <c r="R28" s="1265"/>
    </row>
    <row r="29" spans="1:21" ht="10" x14ac:dyDescent="0.2">
      <c r="A29" s="3980"/>
      <c r="B29" s="3980"/>
      <c r="C29" s="3980"/>
      <c r="D29" s="1265"/>
      <c r="E29" s="1265"/>
      <c r="F29" s="1265"/>
      <c r="G29" s="1265"/>
      <c r="H29" s="1265"/>
      <c r="I29" s="1265"/>
      <c r="J29" s="1265"/>
      <c r="K29" s="1265"/>
      <c r="L29" s="1265"/>
      <c r="M29" s="1265"/>
      <c r="N29" s="1265"/>
      <c r="O29" s="1265"/>
      <c r="P29" s="1265"/>
      <c r="Q29" s="1265"/>
      <c r="R29" s="1265"/>
    </row>
    <row r="30" spans="1:21" ht="10" x14ac:dyDescent="0.2">
      <c r="A30" s="3980"/>
      <c r="B30" s="3980"/>
      <c r="C30" s="3980"/>
      <c r="D30" s="1265"/>
      <c r="E30" s="1265"/>
      <c r="F30" s="1265"/>
      <c r="G30" s="1265"/>
      <c r="H30" s="1265"/>
      <c r="I30" s="1265"/>
      <c r="J30" s="1265"/>
      <c r="K30" s="1265"/>
      <c r="L30" s="1265"/>
      <c r="M30" s="1265"/>
      <c r="N30" s="1265"/>
      <c r="O30" s="1265"/>
      <c r="P30" s="1265"/>
      <c r="Q30" s="1265"/>
      <c r="R30" s="1265"/>
    </row>
    <row r="31" spans="1:21" x14ac:dyDescent="0.2">
      <c r="D31" s="1265"/>
      <c r="E31" s="1265"/>
      <c r="F31" s="1265"/>
      <c r="G31" s="1265"/>
      <c r="H31" s="1265"/>
      <c r="I31" s="1265"/>
      <c r="J31" s="1265"/>
      <c r="K31" s="1265"/>
      <c r="L31" s="1265"/>
      <c r="M31" s="1265"/>
      <c r="N31" s="1265"/>
      <c r="O31" s="1265"/>
      <c r="P31" s="1265"/>
      <c r="Q31" s="1265"/>
      <c r="R31" s="1265"/>
    </row>
    <row r="32" spans="1:21" s="2051" customFormat="1" ht="13.15" customHeight="1" x14ac:dyDescent="0.25">
      <c r="A32" s="723">
        <v>6</v>
      </c>
      <c r="B32" s="723" t="s">
        <v>58</v>
      </c>
      <c r="C32" s="723"/>
      <c r="D32" s="4733" t="s">
        <v>1625</v>
      </c>
      <c r="E32" s="4734"/>
      <c r="F32" s="4734"/>
      <c r="G32" s="4734"/>
      <c r="H32" s="4734"/>
      <c r="I32" s="4734"/>
      <c r="J32" s="4734"/>
      <c r="K32" s="4734"/>
      <c r="L32" s="4734"/>
      <c r="M32" s="4734"/>
      <c r="N32" s="4734"/>
      <c r="O32" s="4734"/>
      <c r="P32" s="4734"/>
      <c r="Q32" s="4734"/>
      <c r="R32" s="4734"/>
      <c r="S32" s="4734"/>
      <c r="T32" s="4734"/>
      <c r="U32" s="4735"/>
    </row>
    <row r="33" spans="1:21" s="2051" customFormat="1" ht="16.899999999999999" customHeight="1" x14ac:dyDescent="0.25">
      <c r="A33" s="788">
        <v>7</v>
      </c>
      <c r="B33" s="788" t="s">
        <v>60</v>
      </c>
      <c r="C33" s="788"/>
      <c r="D33" s="4733" t="s">
        <v>1626</v>
      </c>
      <c r="E33" s="4734"/>
      <c r="F33" s="4734"/>
      <c r="G33" s="4734"/>
      <c r="H33" s="4734"/>
      <c r="I33" s="4734"/>
      <c r="J33" s="4734"/>
      <c r="K33" s="4734"/>
      <c r="L33" s="4734"/>
      <c r="M33" s="4734"/>
      <c r="N33" s="4734"/>
      <c r="O33" s="4734"/>
      <c r="P33" s="4734"/>
      <c r="Q33" s="4734"/>
      <c r="R33" s="4734"/>
      <c r="S33" s="4734"/>
      <c r="T33" s="4734"/>
      <c r="U33" s="4735"/>
    </row>
    <row r="34" spans="1:21" s="2051" customFormat="1" ht="13.15" customHeight="1" x14ac:dyDescent="0.25">
      <c r="A34" s="723">
        <v>8</v>
      </c>
      <c r="B34" s="723" t="s">
        <v>62</v>
      </c>
      <c r="C34" s="723"/>
      <c r="D34" s="4733" t="s">
        <v>1627</v>
      </c>
      <c r="E34" s="4734"/>
      <c r="F34" s="4734"/>
      <c r="G34" s="4734"/>
      <c r="H34" s="4734"/>
      <c r="I34" s="4734"/>
      <c r="J34" s="4734"/>
      <c r="K34" s="4734"/>
      <c r="L34" s="4734"/>
      <c r="M34" s="4734"/>
      <c r="N34" s="4734"/>
      <c r="O34" s="4734"/>
      <c r="P34" s="4734"/>
      <c r="Q34" s="4734"/>
      <c r="R34" s="4734"/>
      <c r="S34" s="4734"/>
      <c r="T34" s="4734"/>
      <c r="U34" s="4735"/>
    </row>
    <row r="35" spans="1:21" s="2051" customFormat="1" ht="39.65" customHeight="1" x14ac:dyDescent="0.25">
      <c r="A35" s="788">
        <v>9</v>
      </c>
      <c r="B35" s="723" t="s">
        <v>278</v>
      </c>
      <c r="C35" s="723"/>
      <c r="D35" s="4733" t="s">
        <v>1628</v>
      </c>
      <c r="E35" s="4734"/>
      <c r="F35" s="4734"/>
      <c r="G35" s="4734"/>
      <c r="H35" s="4734"/>
      <c r="I35" s="4734"/>
      <c r="J35" s="4734"/>
      <c r="K35" s="4734"/>
      <c r="L35" s="4734"/>
      <c r="M35" s="4734"/>
      <c r="N35" s="4734"/>
      <c r="O35" s="4734"/>
      <c r="P35" s="4734"/>
      <c r="Q35" s="4734"/>
      <c r="R35" s="4734"/>
      <c r="S35" s="4734"/>
      <c r="T35" s="4734"/>
      <c r="U35" s="4735"/>
    </row>
    <row r="36" spans="1:21" x14ac:dyDescent="0.2">
      <c r="D36" s="1265"/>
      <c r="E36" s="1265"/>
      <c r="F36" s="1265"/>
      <c r="G36" s="1265"/>
      <c r="H36" s="1265"/>
      <c r="I36" s="1265"/>
      <c r="J36" s="1265"/>
      <c r="K36" s="1265"/>
      <c r="L36" s="1265"/>
      <c r="M36" s="1265"/>
      <c r="N36" s="1265"/>
      <c r="O36" s="1265"/>
      <c r="P36" s="1265"/>
      <c r="Q36" s="1265"/>
      <c r="R36" s="1265"/>
    </row>
    <row r="37" spans="1:21" x14ac:dyDescent="0.2">
      <c r="D37" s="1265"/>
      <c r="E37" s="1265"/>
      <c r="F37" s="1265"/>
      <c r="G37" s="1265"/>
      <c r="H37" s="1265"/>
      <c r="I37" s="1265"/>
      <c r="J37" s="1265"/>
      <c r="K37" s="1265"/>
      <c r="L37" s="1265"/>
      <c r="M37" s="1265"/>
      <c r="N37" s="1265"/>
      <c r="O37" s="1265"/>
      <c r="P37" s="1265"/>
      <c r="Q37" s="1265"/>
      <c r="R37" s="1265"/>
    </row>
    <row r="38" spans="1:21" x14ac:dyDescent="0.2">
      <c r="D38" s="1265"/>
      <c r="E38" s="1265"/>
      <c r="F38" s="1265"/>
      <c r="G38" s="1265"/>
      <c r="H38" s="1265"/>
      <c r="I38" s="1265"/>
      <c r="J38" s="1265"/>
      <c r="K38" s="1265"/>
      <c r="L38" s="1265"/>
      <c r="M38" s="1265"/>
      <c r="N38" s="1265"/>
      <c r="O38" s="1265"/>
      <c r="P38" s="1265"/>
      <c r="Q38" s="1265"/>
      <c r="R38" s="1265"/>
    </row>
    <row r="39" spans="1:21" x14ac:dyDescent="0.2">
      <c r="D39" s="1265"/>
      <c r="E39" s="1265"/>
      <c r="F39" s="1265"/>
      <c r="G39" s="1265"/>
      <c r="H39" s="1265"/>
      <c r="I39" s="1265"/>
      <c r="J39" s="1265"/>
      <c r="K39" s="1265"/>
      <c r="L39" s="1265"/>
      <c r="M39" s="1265"/>
      <c r="N39" s="1265"/>
      <c r="O39" s="1265"/>
      <c r="P39" s="1265"/>
      <c r="Q39" s="1265"/>
      <c r="R39" s="1265"/>
    </row>
  </sheetData>
  <mergeCells count="7">
    <mergeCell ref="D35:U35"/>
    <mergeCell ref="D2:U2"/>
    <mergeCell ref="D3:U3"/>
    <mergeCell ref="D4:U4"/>
    <mergeCell ref="D32:U32"/>
    <mergeCell ref="D33:U33"/>
    <mergeCell ref="D34:U34"/>
  </mergeCells>
  <pageMargins left="0.74803149606299213" right="0.74803149606299213" top="0.98425196850393704" bottom="0.98425196850393704" header="0.51181102362204722" footer="0.51181102362204722"/>
  <pageSetup paperSize="9" scale="7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7" tint="-0.499984740745262"/>
    <pageSetUpPr fitToPage="1"/>
  </sheetPr>
  <dimension ref="A1:Y75"/>
  <sheetViews>
    <sheetView showGridLines="0" view="pageBreakPreview" zoomScaleNormal="100" zoomScaleSheetLayoutView="100" workbookViewId="0">
      <selection activeCell="G72" sqref="G72:Y75"/>
    </sheetView>
  </sheetViews>
  <sheetFormatPr defaultColWidth="9.26953125" defaultRowHeight="10.5" x14ac:dyDescent="0.2"/>
  <cols>
    <col min="1" max="1" width="3.7265625" style="3982" customWidth="1"/>
    <col min="2" max="2" width="9.54296875" style="3983" customWidth="1"/>
    <col min="3" max="3" width="3.7265625" style="3983" customWidth="1"/>
    <col min="4" max="4" width="36.1796875" style="3980" customWidth="1"/>
    <col min="5" max="5" width="23.54296875" style="3980" customWidth="1"/>
    <col min="6" max="6" width="13.6328125" style="4031" customWidth="1"/>
    <col min="7" max="7" width="16.6328125" style="4031" customWidth="1"/>
    <col min="8" max="8" width="7.90625" style="4031" customWidth="1"/>
    <col min="9" max="9" width="7" style="4031" customWidth="1"/>
    <col min="10" max="10" width="7.36328125" style="4031" bestFit="1" customWidth="1"/>
    <col min="11" max="11" width="7.36328125" style="4031" customWidth="1"/>
    <col min="12" max="12" width="7.36328125" style="3980" bestFit="1" customWidth="1"/>
    <col min="13" max="13" width="8.6328125" style="3980" customWidth="1"/>
    <col min="14" max="14" width="9.453125" style="3980" customWidth="1"/>
    <col min="15" max="15" width="8.81640625" style="3980" customWidth="1"/>
    <col min="16" max="16" width="9.26953125" style="3980" customWidth="1"/>
    <col min="17" max="17" width="9.54296875" style="3980" customWidth="1"/>
    <col min="18" max="18" width="8.81640625" style="3980" customWidth="1"/>
    <col min="19" max="19" width="8.90625" style="3980" customWidth="1"/>
    <col min="20" max="20" width="9.453125" style="3980" customWidth="1"/>
    <col min="21" max="21" width="8.54296875" style="3980" customWidth="1"/>
    <col min="22" max="22" width="9.453125" style="3980" customWidth="1"/>
    <col min="23" max="23" width="8.90625" style="3980" customWidth="1"/>
    <col min="24" max="24" width="6.08984375" style="3980" bestFit="1" customWidth="1"/>
    <col min="25" max="259" width="9.26953125" style="3980"/>
    <col min="260" max="260" width="3.7265625" style="3980" customWidth="1"/>
    <col min="261" max="261" width="14.453125" style="3980" customWidth="1"/>
    <col min="262" max="262" width="3.7265625" style="3980" customWidth="1"/>
    <col min="263" max="263" width="33.7265625" style="3980" customWidth="1"/>
    <col min="264" max="264" width="4.26953125" style="3980" customWidth="1"/>
    <col min="265" max="271" width="8.7265625" style="3980" customWidth="1"/>
    <col min="272" max="272" width="8.7265625" style="3980" bestFit="1" customWidth="1"/>
    <col min="273" max="273" width="9.54296875" style="3980" customWidth="1"/>
    <col min="274" max="278" width="7.7265625" style="3980" bestFit="1" customWidth="1"/>
    <col min="279" max="279" width="1.7265625" style="3980" bestFit="1" customWidth="1"/>
    <col min="280" max="515" width="9.26953125" style="3980"/>
    <col min="516" max="516" width="3.7265625" style="3980" customWidth="1"/>
    <col min="517" max="517" width="14.453125" style="3980" customWidth="1"/>
    <col min="518" max="518" width="3.7265625" style="3980" customWidth="1"/>
    <col min="519" max="519" width="33.7265625" style="3980" customWidth="1"/>
    <col min="520" max="520" width="4.26953125" style="3980" customWidth="1"/>
    <col min="521" max="527" width="8.7265625" style="3980" customWidth="1"/>
    <col min="528" max="528" width="8.7265625" style="3980" bestFit="1" customWidth="1"/>
    <col min="529" max="529" width="9.54296875" style="3980" customWidth="1"/>
    <col min="530" max="534" width="7.7265625" style="3980" bestFit="1" customWidth="1"/>
    <col min="535" max="535" width="1.7265625" style="3980" bestFit="1" customWidth="1"/>
    <col min="536" max="771" width="9.26953125" style="3980"/>
    <col min="772" max="772" width="3.7265625" style="3980" customWidth="1"/>
    <col min="773" max="773" width="14.453125" style="3980" customWidth="1"/>
    <col min="774" max="774" width="3.7265625" style="3980" customWidth="1"/>
    <col min="775" max="775" width="33.7265625" style="3980" customWidth="1"/>
    <col min="776" max="776" width="4.26953125" style="3980" customWidth="1"/>
    <col min="777" max="783" width="8.7265625" style="3980" customWidth="1"/>
    <col min="784" max="784" width="8.7265625" style="3980" bestFit="1" customWidth="1"/>
    <col min="785" max="785" width="9.54296875" style="3980" customWidth="1"/>
    <col min="786" max="790" width="7.7265625" style="3980" bestFit="1" customWidth="1"/>
    <col min="791" max="791" width="1.7265625" style="3980" bestFit="1" customWidth="1"/>
    <col min="792" max="1027" width="9.26953125" style="3980"/>
    <col min="1028" max="1028" width="3.7265625" style="3980" customWidth="1"/>
    <col min="1029" max="1029" width="14.453125" style="3980" customWidth="1"/>
    <col min="1030" max="1030" width="3.7265625" style="3980" customWidth="1"/>
    <col min="1031" max="1031" width="33.7265625" style="3980" customWidth="1"/>
    <col min="1032" max="1032" width="4.26953125" style="3980" customWidth="1"/>
    <col min="1033" max="1039" width="8.7265625" style="3980" customWidth="1"/>
    <col min="1040" max="1040" width="8.7265625" style="3980" bestFit="1" customWidth="1"/>
    <col min="1041" max="1041" width="9.54296875" style="3980" customWidth="1"/>
    <col min="1042" max="1046" width="7.7265625" style="3980" bestFit="1" customWidth="1"/>
    <col min="1047" max="1047" width="1.7265625" style="3980" bestFit="1" customWidth="1"/>
    <col min="1048" max="1283" width="9.26953125" style="3980"/>
    <col min="1284" max="1284" width="3.7265625" style="3980" customWidth="1"/>
    <col min="1285" max="1285" width="14.453125" style="3980" customWidth="1"/>
    <col min="1286" max="1286" width="3.7265625" style="3980" customWidth="1"/>
    <col min="1287" max="1287" width="33.7265625" style="3980" customWidth="1"/>
    <col min="1288" max="1288" width="4.26953125" style="3980" customWidth="1"/>
    <col min="1289" max="1295" width="8.7265625" style="3980" customWidth="1"/>
    <col min="1296" max="1296" width="8.7265625" style="3980" bestFit="1" customWidth="1"/>
    <col min="1297" max="1297" width="9.54296875" style="3980" customWidth="1"/>
    <col min="1298" max="1302" width="7.7265625" style="3980" bestFit="1" customWidth="1"/>
    <col min="1303" max="1303" width="1.7265625" style="3980" bestFit="1" customWidth="1"/>
    <col min="1304" max="1539" width="9.26953125" style="3980"/>
    <col min="1540" max="1540" width="3.7265625" style="3980" customWidth="1"/>
    <col min="1541" max="1541" width="14.453125" style="3980" customWidth="1"/>
    <col min="1542" max="1542" width="3.7265625" style="3980" customWidth="1"/>
    <col min="1543" max="1543" width="33.7265625" style="3980" customWidth="1"/>
    <col min="1544" max="1544" width="4.26953125" style="3980" customWidth="1"/>
    <col min="1545" max="1551" width="8.7265625" style="3980" customWidth="1"/>
    <col min="1552" max="1552" width="8.7265625" style="3980" bestFit="1" customWidth="1"/>
    <col min="1553" max="1553" width="9.54296875" style="3980" customWidth="1"/>
    <col min="1554" max="1558" width="7.7265625" style="3980" bestFit="1" customWidth="1"/>
    <col min="1559" max="1559" width="1.7265625" style="3980" bestFit="1" customWidth="1"/>
    <col min="1560" max="1795" width="9.26953125" style="3980"/>
    <col min="1796" max="1796" width="3.7265625" style="3980" customWidth="1"/>
    <col min="1797" max="1797" width="14.453125" style="3980" customWidth="1"/>
    <col min="1798" max="1798" width="3.7265625" style="3980" customWidth="1"/>
    <col min="1799" max="1799" width="33.7265625" style="3980" customWidth="1"/>
    <col min="1800" max="1800" width="4.26953125" style="3980" customWidth="1"/>
    <col min="1801" max="1807" width="8.7265625" style="3980" customWidth="1"/>
    <col min="1808" max="1808" width="8.7265625" style="3980" bestFit="1" customWidth="1"/>
    <col min="1809" max="1809" width="9.54296875" style="3980" customWidth="1"/>
    <col min="1810" max="1814" width="7.7265625" style="3980" bestFit="1" customWidth="1"/>
    <col min="1815" max="1815" width="1.7265625" style="3980" bestFit="1" customWidth="1"/>
    <col min="1816" max="2051" width="9.26953125" style="3980"/>
    <col min="2052" max="2052" width="3.7265625" style="3980" customWidth="1"/>
    <col min="2053" max="2053" width="14.453125" style="3980" customWidth="1"/>
    <col min="2054" max="2054" width="3.7265625" style="3980" customWidth="1"/>
    <col min="2055" max="2055" width="33.7265625" style="3980" customWidth="1"/>
    <col min="2056" max="2056" width="4.26953125" style="3980" customWidth="1"/>
    <col min="2057" max="2063" width="8.7265625" style="3980" customWidth="1"/>
    <col min="2064" max="2064" width="8.7265625" style="3980" bestFit="1" customWidth="1"/>
    <col min="2065" max="2065" width="9.54296875" style="3980" customWidth="1"/>
    <col min="2066" max="2070" width="7.7265625" style="3980" bestFit="1" customWidth="1"/>
    <col min="2071" max="2071" width="1.7265625" style="3980" bestFit="1" customWidth="1"/>
    <col min="2072" max="2307" width="9.26953125" style="3980"/>
    <col min="2308" max="2308" width="3.7265625" style="3980" customWidth="1"/>
    <col min="2309" max="2309" width="14.453125" style="3980" customWidth="1"/>
    <col min="2310" max="2310" width="3.7265625" style="3980" customWidth="1"/>
    <col min="2311" max="2311" width="33.7265625" style="3980" customWidth="1"/>
    <col min="2312" max="2312" width="4.26953125" style="3980" customWidth="1"/>
    <col min="2313" max="2319" width="8.7265625" style="3980" customWidth="1"/>
    <col min="2320" max="2320" width="8.7265625" style="3980" bestFit="1" customWidth="1"/>
    <col min="2321" max="2321" width="9.54296875" style="3980" customWidth="1"/>
    <col min="2322" max="2326" width="7.7265625" style="3980" bestFit="1" customWidth="1"/>
    <col min="2327" max="2327" width="1.7265625" style="3980" bestFit="1" customWidth="1"/>
    <col min="2328" max="2563" width="9.26953125" style="3980"/>
    <col min="2564" max="2564" width="3.7265625" style="3980" customWidth="1"/>
    <col min="2565" max="2565" width="14.453125" style="3980" customWidth="1"/>
    <col min="2566" max="2566" width="3.7265625" style="3980" customWidth="1"/>
    <col min="2567" max="2567" width="33.7265625" style="3980" customWidth="1"/>
    <col min="2568" max="2568" width="4.26953125" style="3980" customWidth="1"/>
    <col min="2569" max="2575" width="8.7265625" style="3980" customWidth="1"/>
    <col min="2576" max="2576" width="8.7265625" style="3980" bestFit="1" customWidth="1"/>
    <col min="2577" max="2577" width="9.54296875" style="3980" customWidth="1"/>
    <col min="2578" max="2582" width="7.7265625" style="3980" bestFit="1" customWidth="1"/>
    <col min="2583" max="2583" width="1.7265625" style="3980" bestFit="1" customWidth="1"/>
    <col min="2584" max="2819" width="9.26953125" style="3980"/>
    <col min="2820" max="2820" width="3.7265625" style="3980" customWidth="1"/>
    <col min="2821" max="2821" width="14.453125" style="3980" customWidth="1"/>
    <col min="2822" max="2822" width="3.7265625" style="3980" customWidth="1"/>
    <col min="2823" max="2823" width="33.7265625" style="3980" customWidth="1"/>
    <col min="2824" max="2824" width="4.26953125" style="3980" customWidth="1"/>
    <col min="2825" max="2831" width="8.7265625" style="3980" customWidth="1"/>
    <col min="2832" max="2832" width="8.7265625" style="3980" bestFit="1" customWidth="1"/>
    <col min="2833" max="2833" width="9.54296875" style="3980" customWidth="1"/>
    <col min="2834" max="2838" width="7.7265625" style="3980" bestFit="1" customWidth="1"/>
    <col min="2839" max="2839" width="1.7265625" style="3980" bestFit="1" customWidth="1"/>
    <col min="2840" max="3075" width="9.26953125" style="3980"/>
    <col min="3076" max="3076" width="3.7265625" style="3980" customWidth="1"/>
    <col min="3077" max="3077" width="14.453125" style="3980" customWidth="1"/>
    <col min="3078" max="3078" width="3.7265625" style="3980" customWidth="1"/>
    <col min="3079" max="3079" width="33.7265625" style="3980" customWidth="1"/>
    <col min="3080" max="3080" width="4.26953125" style="3980" customWidth="1"/>
    <col min="3081" max="3087" width="8.7265625" style="3980" customWidth="1"/>
    <col min="3088" max="3088" width="8.7265625" style="3980" bestFit="1" customWidth="1"/>
    <col min="3089" max="3089" width="9.54296875" style="3980" customWidth="1"/>
    <col min="3090" max="3094" width="7.7265625" style="3980" bestFit="1" customWidth="1"/>
    <col min="3095" max="3095" width="1.7265625" style="3980" bestFit="1" customWidth="1"/>
    <col min="3096" max="3331" width="9.26953125" style="3980"/>
    <col min="3332" max="3332" width="3.7265625" style="3980" customWidth="1"/>
    <col min="3333" max="3333" width="14.453125" style="3980" customWidth="1"/>
    <col min="3334" max="3334" width="3.7265625" style="3980" customWidth="1"/>
    <col min="3335" max="3335" width="33.7265625" style="3980" customWidth="1"/>
    <col min="3336" max="3336" width="4.26953125" style="3980" customWidth="1"/>
    <col min="3337" max="3343" width="8.7265625" style="3980" customWidth="1"/>
    <col min="3344" max="3344" width="8.7265625" style="3980" bestFit="1" customWidth="1"/>
    <col min="3345" max="3345" width="9.54296875" style="3980" customWidth="1"/>
    <col min="3346" max="3350" width="7.7265625" style="3980" bestFit="1" customWidth="1"/>
    <col min="3351" max="3351" width="1.7265625" style="3980" bestFit="1" customWidth="1"/>
    <col min="3352" max="3587" width="9.26953125" style="3980"/>
    <col min="3588" max="3588" width="3.7265625" style="3980" customWidth="1"/>
    <col min="3589" max="3589" width="14.453125" style="3980" customWidth="1"/>
    <col min="3590" max="3590" width="3.7265625" style="3980" customWidth="1"/>
    <col min="3591" max="3591" width="33.7265625" style="3980" customWidth="1"/>
    <col min="3592" max="3592" width="4.26953125" style="3980" customWidth="1"/>
    <col min="3593" max="3599" width="8.7265625" style="3980" customWidth="1"/>
    <col min="3600" max="3600" width="8.7265625" style="3980" bestFit="1" customWidth="1"/>
    <col min="3601" max="3601" width="9.54296875" style="3980" customWidth="1"/>
    <col min="3602" max="3606" width="7.7265625" style="3980" bestFit="1" customWidth="1"/>
    <col min="3607" max="3607" width="1.7265625" style="3980" bestFit="1" customWidth="1"/>
    <col min="3608" max="3843" width="9.26953125" style="3980"/>
    <col min="3844" max="3844" width="3.7265625" style="3980" customWidth="1"/>
    <col min="3845" max="3845" width="14.453125" style="3980" customWidth="1"/>
    <col min="3846" max="3846" width="3.7265625" style="3980" customWidth="1"/>
    <col min="3847" max="3847" width="33.7265625" style="3980" customWidth="1"/>
    <col min="3848" max="3848" width="4.26953125" style="3980" customWidth="1"/>
    <col min="3849" max="3855" width="8.7265625" style="3980" customWidth="1"/>
    <col min="3856" max="3856" width="8.7265625" style="3980" bestFit="1" customWidth="1"/>
    <col min="3857" max="3857" width="9.54296875" style="3980" customWidth="1"/>
    <col min="3858" max="3862" width="7.7265625" style="3980" bestFit="1" customWidth="1"/>
    <col min="3863" max="3863" width="1.7265625" style="3980" bestFit="1" customWidth="1"/>
    <col min="3864" max="4099" width="9.26953125" style="3980"/>
    <col min="4100" max="4100" width="3.7265625" style="3980" customWidth="1"/>
    <col min="4101" max="4101" width="14.453125" style="3980" customWidth="1"/>
    <col min="4102" max="4102" width="3.7265625" style="3980" customWidth="1"/>
    <col min="4103" max="4103" width="33.7265625" style="3980" customWidth="1"/>
    <col min="4104" max="4104" width="4.26953125" style="3980" customWidth="1"/>
    <col min="4105" max="4111" width="8.7265625" style="3980" customWidth="1"/>
    <col min="4112" max="4112" width="8.7265625" style="3980" bestFit="1" customWidth="1"/>
    <col min="4113" max="4113" width="9.54296875" style="3980" customWidth="1"/>
    <col min="4114" max="4118" width="7.7265625" style="3980" bestFit="1" customWidth="1"/>
    <col min="4119" max="4119" width="1.7265625" style="3980" bestFit="1" customWidth="1"/>
    <col min="4120" max="4355" width="9.26953125" style="3980"/>
    <col min="4356" max="4356" width="3.7265625" style="3980" customWidth="1"/>
    <col min="4357" max="4357" width="14.453125" style="3980" customWidth="1"/>
    <col min="4358" max="4358" width="3.7265625" style="3980" customWidth="1"/>
    <col min="4359" max="4359" width="33.7265625" style="3980" customWidth="1"/>
    <col min="4360" max="4360" width="4.26953125" style="3980" customWidth="1"/>
    <col min="4361" max="4367" width="8.7265625" style="3980" customWidth="1"/>
    <col min="4368" max="4368" width="8.7265625" style="3980" bestFit="1" customWidth="1"/>
    <col min="4369" max="4369" width="9.54296875" style="3980" customWidth="1"/>
    <col min="4370" max="4374" width="7.7265625" style="3980" bestFit="1" customWidth="1"/>
    <col min="4375" max="4375" width="1.7265625" style="3980" bestFit="1" customWidth="1"/>
    <col min="4376" max="4611" width="9.26953125" style="3980"/>
    <col min="4612" max="4612" width="3.7265625" style="3980" customWidth="1"/>
    <col min="4613" max="4613" width="14.453125" style="3980" customWidth="1"/>
    <col min="4614" max="4614" width="3.7265625" style="3980" customWidth="1"/>
    <col min="4615" max="4615" width="33.7265625" style="3980" customWidth="1"/>
    <col min="4616" max="4616" width="4.26953125" style="3980" customWidth="1"/>
    <col min="4617" max="4623" width="8.7265625" style="3980" customWidth="1"/>
    <col min="4624" max="4624" width="8.7265625" style="3980" bestFit="1" customWidth="1"/>
    <col min="4625" max="4625" width="9.54296875" style="3980" customWidth="1"/>
    <col min="4626" max="4630" width="7.7265625" style="3980" bestFit="1" customWidth="1"/>
    <col min="4631" max="4631" width="1.7265625" style="3980" bestFit="1" customWidth="1"/>
    <col min="4632" max="4867" width="9.26953125" style="3980"/>
    <col min="4868" max="4868" width="3.7265625" style="3980" customWidth="1"/>
    <col min="4869" max="4869" width="14.453125" style="3980" customWidth="1"/>
    <col min="4870" max="4870" width="3.7265625" style="3980" customWidth="1"/>
    <col min="4871" max="4871" width="33.7265625" style="3980" customWidth="1"/>
    <col min="4872" max="4872" width="4.26953125" style="3980" customWidth="1"/>
    <col min="4873" max="4879" width="8.7265625" style="3980" customWidth="1"/>
    <col min="4880" max="4880" width="8.7265625" style="3980" bestFit="1" customWidth="1"/>
    <col min="4881" max="4881" width="9.54296875" style="3980" customWidth="1"/>
    <col min="4882" max="4886" width="7.7265625" style="3980" bestFit="1" customWidth="1"/>
    <col min="4887" max="4887" width="1.7265625" style="3980" bestFit="1" customWidth="1"/>
    <col min="4888" max="5123" width="9.26953125" style="3980"/>
    <col min="5124" max="5124" width="3.7265625" style="3980" customWidth="1"/>
    <col min="5125" max="5125" width="14.453125" style="3980" customWidth="1"/>
    <col min="5126" max="5126" width="3.7265625" style="3980" customWidth="1"/>
    <col min="5127" max="5127" width="33.7265625" style="3980" customWidth="1"/>
    <col min="5128" max="5128" width="4.26953125" style="3980" customWidth="1"/>
    <col min="5129" max="5135" width="8.7265625" style="3980" customWidth="1"/>
    <col min="5136" max="5136" width="8.7265625" style="3980" bestFit="1" customWidth="1"/>
    <col min="5137" max="5137" width="9.54296875" style="3980" customWidth="1"/>
    <col min="5138" max="5142" width="7.7265625" style="3980" bestFit="1" customWidth="1"/>
    <col min="5143" max="5143" width="1.7265625" style="3980" bestFit="1" customWidth="1"/>
    <col min="5144" max="5379" width="9.26953125" style="3980"/>
    <col min="5380" max="5380" width="3.7265625" style="3980" customWidth="1"/>
    <col min="5381" max="5381" width="14.453125" style="3980" customWidth="1"/>
    <col min="5382" max="5382" width="3.7265625" style="3980" customWidth="1"/>
    <col min="5383" max="5383" width="33.7265625" style="3980" customWidth="1"/>
    <col min="5384" max="5384" width="4.26953125" style="3980" customWidth="1"/>
    <col min="5385" max="5391" width="8.7265625" style="3980" customWidth="1"/>
    <col min="5392" max="5392" width="8.7265625" style="3980" bestFit="1" customWidth="1"/>
    <col min="5393" max="5393" width="9.54296875" style="3980" customWidth="1"/>
    <col min="5394" max="5398" width="7.7265625" style="3980" bestFit="1" customWidth="1"/>
    <col min="5399" max="5399" width="1.7265625" style="3980" bestFit="1" customWidth="1"/>
    <col min="5400" max="5635" width="9.26953125" style="3980"/>
    <col min="5636" max="5636" width="3.7265625" style="3980" customWidth="1"/>
    <col min="5637" max="5637" width="14.453125" style="3980" customWidth="1"/>
    <col min="5638" max="5638" width="3.7265625" style="3980" customWidth="1"/>
    <col min="5639" max="5639" width="33.7265625" style="3980" customWidth="1"/>
    <col min="5640" max="5640" width="4.26953125" style="3980" customWidth="1"/>
    <col min="5641" max="5647" width="8.7265625" style="3980" customWidth="1"/>
    <col min="5648" max="5648" width="8.7265625" style="3980" bestFit="1" customWidth="1"/>
    <col min="5649" max="5649" width="9.54296875" style="3980" customWidth="1"/>
    <col min="5650" max="5654" width="7.7265625" style="3980" bestFit="1" customWidth="1"/>
    <col min="5655" max="5655" width="1.7265625" style="3980" bestFit="1" customWidth="1"/>
    <col min="5656" max="5891" width="9.26953125" style="3980"/>
    <col min="5892" max="5892" width="3.7265625" style="3980" customWidth="1"/>
    <col min="5893" max="5893" width="14.453125" style="3980" customWidth="1"/>
    <col min="5894" max="5894" width="3.7265625" style="3980" customWidth="1"/>
    <col min="5895" max="5895" width="33.7265625" style="3980" customWidth="1"/>
    <col min="5896" max="5896" width="4.26953125" style="3980" customWidth="1"/>
    <col min="5897" max="5903" width="8.7265625" style="3980" customWidth="1"/>
    <col min="5904" max="5904" width="8.7265625" style="3980" bestFit="1" customWidth="1"/>
    <col min="5905" max="5905" width="9.54296875" style="3980" customWidth="1"/>
    <col min="5906" max="5910" width="7.7265625" style="3980" bestFit="1" customWidth="1"/>
    <col min="5911" max="5911" width="1.7265625" style="3980" bestFit="1" customWidth="1"/>
    <col min="5912" max="6147" width="9.26953125" style="3980"/>
    <col min="6148" max="6148" width="3.7265625" style="3980" customWidth="1"/>
    <col min="6149" max="6149" width="14.453125" style="3980" customWidth="1"/>
    <col min="6150" max="6150" width="3.7265625" style="3980" customWidth="1"/>
    <col min="6151" max="6151" width="33.7265625" style="3980" customWidth="1"/>
    <col min="6152" max="6152" width="4.26953125" style="3980" customWidth="1"/>
    <col min="6153" max="6159" width="8.7265625" style="3980" customWidth="1"/>
    <col min="6160" max="6160" width="8.7265625" style="3980" bestFit="1" customWidth="1"/>
    <col min="6161" max="6161" width="9.54296875" style="3980" customWidth="1"/>
    <col min="6162" max="6166" width="7.7265625" style="3980" bestFit="1" customWidth="1"/>
    <col min="6167" max="6167" width="1.7265625" style="3980" bestFit="1" customWidth="1"/>
    <col min="6168" max="6403" width="9.26953125" style="3980"/>
    <col min="6404" max="6404" width="3.7265625" style="3980" customWidth="1"/>
    <col min="6405" max="6405" width="14.453125" style="3980" customWidth="1"/>
    <col min="6406" max="6406" width="3.7265625" style="3980" customWidth="1"/>
    <col min="6407" max="6407" width="33.7265625" style="3980" customWidth="1"/>
    <col min="6408" max="6408" width="4.26953125" style="3980" customWidth="1"/>
    <col min="6409" max="6415" width="8.7265625" style="3980" customWidth="1"/>
    <col min="6416" max="6416" width="8.7265625" style="3980" bestFit="1" customWidth="1"/>
    <col min="6417" max="6417" width="9.54296875" style="3980" customWidth="1"/>
    <col min="6418" max="6422" width="7.7265625" style="3980" bestFit="1" customWidth="1"/>
    <col min="6423" max="6423" width="1.7265625" style="3980" bestFit="1" customWidth="1"/>
    <col min="6424" max="6659" width="9.26953125" style="3980"/>
    <col min="6660" max="6660" width="3.7265625" style="3980" customWidth="1"/>
    <col min="6661" max="6661" width="14.453125" style="3980" customWidth="1"/>
    <col min="6662" max="6662" width="3.7265625" style="3980" customWidth="1"/>
    <col min="6663" max="6663" width="33.7265625" style="3980" customWidth="1"/>
    <col min="6664" max="6664" width="4.26953125" style="3980" customWidth="1"/>
    <col min="6665" max="6671" width="8.7265625" style="3980" customWidth="1"/>
    <col min="6672" max="6672" width="8.7265625" style="3980" bestFit="1" customWidth="1"/>
    <col min="6673" max="6673" width="9.54296875" style="3980" customWidth="1"/>
    <col min="6674" max="6678" width="7.7265625" style="3980" bestFit="1" customWidth="1"/>
    <col min="6679" max="6679" width="1.7265625" style="3980" bestFit="1" customWidth="1"/>
    <col min="6680" max="6915" width="9.26953125" style="3980"/>
    <col min="6916" max="6916" width="3.7265625" style="3980" customWidth="1"/>
    <col min="6917" max="6917" width="14.453125" style="3980" customWidth="1"/>
    <col min="6918" max="6918" width="3.7265625" style="3980" customWidth="1"/>
    <col min="6919" max="6919" width="33.7265625" style="3980" customWidth="1"/>
    <col min="6920" max="6920" width="4.26953125" style="3980" customWidth="1"/>
    <col min="6921" max="6927" width="8.7265625" style="3980" customWidth="1"/>
    <col min="6928" max="6928" width="8.7265625" style="3980" bestFit="1" customWidth="1"/>
    <col min="6929" max="6929" width="9.54296875" style="3980" customWidth="1"/>
    <col min="6930" max="6934" width="7.7265625" style="3980" bestFit="1" customWidth="1"/>
    <col min="6935" max="6935" width="1.7265625" style="3980" bestFit="1" customWidth="1"/>
    <col min="6936" max="7171" width="9.26953125" style="3980"/>
    <col min="7172" max="7172" width="3.7265625" style="3980" customWidth="1"/>
    <col min="7173" max="7173" width="14.453125" style="3980" customWidth="1"/>
    <col min="7174" max="7174" width="3.7265625" style="3980" customWidth="1"/>
    <col min="7175" max="7175" width="33.7265625" style="3980" customWidth="1"/>
    <col min="7176" max="7176" width="4.26953125" style="3980" customWidth="1"/>
    <col min="7177" max="7183" width="8.7265625" style="3980" customWidth="1"/>
    <col min="7184" max="7184" width="8.7265625" style="3980" bestFit="1" customWidth="1"/>
    <col min="7185" max="7185" width="9.54296875" style="3980" customWidth="1"/>
    <col min="7186" max="7190" width="7.7265625" style="3980" bestFit="1" customWidth="1"/>
    <col min="7191" max="7191" width="1.7265625" style="3980" bestFit="1" customWidth="1"/>
    <col min="7192" max="7427" width="9.26953125" style="3980"/>
    <col min="7428" max="7428" width="3.7265625" style="3980" customWidth="1"/>
    <col min="7429" max="7429" width="14.453125" style="3980" customWidth="1"/>
    <col min="7430" max="7430" width="3.7265625" style="3980" customWidth="1"/>
    <col min="7431" max="7431" width="33.7265625" style="3980" customWidth="1"/>
    <col min="7432" max="7432" width="4.26953125" style="3980" customWidth="1"/>
    <col min="7433" max="7439" width="8.7265625" style="3980" customWidth="1"/>
    <col min="7440" max="7440" width="8.7265625" style="3980" bestFit="1" customWidth="1"/>
    <col min="7441" max="7441" width="9.54296875" style="3980" customWidth="1"/>
    <col min="7442" max="7446" width="7.7265625" style="3980" bestFit="1" customWidth="1"/>
    <col min="7447" max="7447" width="1.7265625" style="3980" bestFit="1" customWidth="1"/>
    <col min="7448" max="7683" width="9.26953125" style="3980"/>
    <col min="7684" max="7684" width="3.7265625" style="3980" customWidth="1"/>
    <col min="7685" max="7685" width="14.453125" style="3980" customWidth="1"/>
    <col min="7686" max="7686" width="3.7265625" style="3980" customWidth="1"/>
    <col min="7687" max="7687" width="33.7265625" style="3980" customWidth="1"/>
    <col min="7688" max="7688" width="4.26953125" style="3980" customWidth="1"/>
    <col min="7689" max="7695" width="8.7265625" style="3980" customWidth="1"/>
    <col min="7696" max="7696" width="8.7265625" style="3980" bestFit="1" customWidth="1"/>
    <col min="7697" max="7697" width="9.54296875" style="3980" customWidth="1"/>
    <col min="7698" max="7702" width="7.7265625" style="3980" bestFit="1" customWidth="1"/>
    <col min="7703" max="7703" width="1.7265625" style="3980" bestFit="1" customWidth="1"/>
    <col min="7704" max="7939" width="9.26953125" style="3980"/>
    <col min="7940" max="7940" width="3.7265625" style="3980" customWidth="1"/>
    <col min="7941" max="7941" width="14.453125" style="3980" customWidth="1"/>
    <col min="7942" max="7942" width="3.7265625" style="3980" customWidth="1"/>
    <col min="7943" max="7943" width="33.7265625" style="3980" customWidth="1"/>
    <col min="7944" max="7944" width="4.26953125" style="3980" customWidth="1"/>
    <col min="7945" max="7951" width="8.7265625" style="3980" customWidth="1"/>
    <col min="7952" max="7952" width="8.7265625" style="3980" bestFit="1" customWidth="1"/>
    <col min="7953" max="7953" width="9.54296875" style="3980" customWidth="1"/>
    <col min="7954" max="7958" width="7.7265625" style="3980" bestFit="1" customWidth="1"/>
    <col min="7959" max="7959" width="1.7265625" style="3980" bestFit="1" customWidth="1"/>
    <col min="7960" max="8195" width="9.26953125" style="3980"/>
    <col min="8196" max="8196" width="3.7265625" style="3980" customWidth="1"/>
    <col min="8197" max="8197" width="14.453125" style="3980" customWidth="1"/>
    <col min="8198" max="8198" width="3.7265625" style="3980" customWidth="1"/>
    <col min="8199" max="8199" width="33.7265625" style="3980" customWidth="1"/>
    <col min="8200" max="8200" width="4.26953125" style="3980" customWidth="1"/>
    <col min="8201" max="8207" width="8.7265625" style="3980" customWidth="1"/>
    <col min="8208" max="8208" width="8.7265625" style="3980" bestFit="1" customWidth="1"/>
    <col min="8209" max="8209" width="9.54296875" style="3980" customWidth="1"/>
    <col min="8210" max="8214" width="7.7265625" style="3980" bestFit="1" customWidth="1"/>
    <col min="8215" max="8215" width="1.7265625" style="3980" bestFit="1" customWidth="1"/>
    <col min="8216" max="8451" width="9.26953125" style="3980"/>
    <col min="8452" max="8452" width="3.7265625" style="3980" customWidth="1"/>
    <col min="8453" max="8453" width="14.453125" style="3980" customWidth="1"/>
    <col min="8454" max="8454" width="3.7265625" style="3980" customWidth="1"/>
    <col min="8455" max="8455" width="33.7265625" style="3980" customWidth="1"/>
    <col min="8456" max="8456" width="4.26953125" style="3980" customWidth="1"/>
    <col min="8457" max="8463" width="8.7265625" style="3980" customWidth="1"/>
    <col min="8464" max="8464" width="8.7265625" style="3980" bestFit="1" customWidth="1"/>
    <col min="8465" max="8465" width="9.54296875" style="3980" customWidth="1"/>
    <col min="8466" max="8470" width="7.7265625" style="3980" bestFit="1" customWidth="1"/>
    <col min="8471" max="8471" width="1.7265625" style="3980" bestFit="1" customWidth="1"/>
    <col min="8472" max="8707" width="9.26953125" style="3980"/>
    <col min="8708" max="8708" width="3.7265625" style="3980" customWidth="1"/>
    <col min="8709" max="8709" width="14.453125" style="3980" customWidth="1"/>
    <col min="8710" max="8710" width="3.7265625" style="3980" customWidth="1"/>
    <col min="8711" max="8711" width="33.7265625" style="3980" customWidth="1"/>
    <col min="8712" max="8712" width="4.26953125" style="3980" customWidth="1"/>
    <col min="8713" max="8719" width="8.7265625" style="3980" customWidth="1"/>
    <col min="8720" max="8720" width="8.7265625" style="3980" bestFit="1" customWidth="1"/>
    <col min="8721" max="8721" width="9.54296875" style="3980" customWidth="1"/>
    <col min="8722" max="8726" width="7.7265625" style="3980" bestFit="1" customWidth="1"/>
    <col min="8727" max="8727" width="1.7265625" style="3980" bestFit="1" customWidth="1"/>
    <col min="8728" max="8963" width="9.26953125" style="3980"/>
    <col min="8964" max="8964" width="3.7265625" style="3980" customWidth="1"/>
    <col min="8965" max="8965" width="14.453125" style="3980" customWidth="1"/>
    <col min="8966" max="8966" width="3.7265625" style="3980" customWidth="1"/>
    <col min="8967" max="8967" width="33.7265625" style="3980" customWidth="1"/>
    <col min="8968" max="8968" width="4.26953125" style="3980" customWidth="1"/>
    <col min="8969" max="8975" width="8.7265625" style="3980" customWidth="1"/>
    <col min="8976" max="8976" width="8.7265625" style="3980" bestFit="1" customWidth="1"/>
    <col min="8977" max="8977" width="9.54296875" style="3980" customWidth="1"/>
    <col min="8978" max="8982" width="7.7265625" style="3980" bestFit="1" customWidth="1"/>
    <col min="8983" max="8983" width="1.7265625" style="3980" bestFit="1" customWidth="1"/>
    <col min="8984" max="9219" width="9.26953125" style="3980"/>
    <col min="9220" max="9220" width="3.7265625" style="3980" customWidth="1"/>
    <col min="9221" max="9221" width="14.453125" style="3980" customWidth="1"/>
    <col min="9222" max="9222" width="3.7265625" style="3980" customWidth="1"/>
    <col min="9223" max="9223" width="33.7265625" style="3980" customWidth="1"/>
    <col min="9224" max="9224" width="4.26953125" style="3980" customWidth="1"/>
    <col min="9225" max="9231" width="8.7265625" style="3980" customWidth="1"/>
    <col min="9232" max="9232" width="8.7265625" style="3980" bestFit="1" customWidth="1"/>
    <col min="9233" max="9233" width="9.54296875" style="3980" customWidth="1"/>
    <col min="9234" max="9238" width="7.7265625" style="3980" bestFit="1" customWidth="1"/>
    <col min="9239" max="9239" width="1.7265625" style="3980" bestFit="1" customWidth="1"/>
    <col min="9240" max="9475" width="9.26953125" style="3980"/>
    <col min="9476" max="9476" width="3.7265625" style="3980" customWidth="1"/>
    <col min="9477" max="9477" width="14.453125" style="3980" customWidth="1"/>
    <col min="9478" max="9478" width="3.7265625" style="3980" customWidth="1"/>
    <col min="9479" max="9479" width="33.7265625" style="3980" customWidth="1"/>
    <col min="9480" max="9480" width="4.26953125" style="3980" customWidth="1"/>
    <col min="9481" max="9487" width="8.7265625" style="3980" customWidth="1"/>
    <col min="9488" max="9488" width="8.7265625" style="3980" bestFit="1" customWidth="1"/>
    <col min="9489" max="9489" width="9.54296875" style="3980" customWidth="1"/>
    <col min="9490" max="9494" width="7.7265625" style="3980" bestFit="1" customWidth="1"/>
    <col min="9495" max="9495" width="1.7265625" style="3980" bestFit="1" customWidth="1"/>
    <col min="9496" max="9731" width="9.26953125" style="3980"/>
    <col min="9732" max="9732" width="3.7265625" style="3980" customWidth="1"/>
    <col min="9733" max="9733" width="14.453125" style="3980" customWidth="1"/>
    <col min="9734" max="9734" width="3.7265625" style="3980" customWidth="1"/>
    <col min="9735" max="9735" width="33.7265625" style="3980" customWidth="1"/>
    <col min="9736" max="9736" width="4.26953125" style="3980" customWidth="1"/>
    <col min="9737" max="9743" width="8.7265625" style="3980" customWidth="1"/>
    <col min="9744" max="9744" width="8.7265625" style="3980" bestFit="1" customWidth="1"/>
    <col min="9745" max="9745" width="9.54296875" style="3980" customWidth="1"/>
    <col min="9746" max="9750" width="7.7265625" style="3980" bestFit="1" customWidth="1"/>
    <col min="9751" max="9751" width="1.7265625" style="3980" bestFit="1" customWidth="1"/>
    <col min="9752" max="9987" width="9.26953125" style="3980"/>
    <col min="9988" max="9988" width="3.7265625" style="3980" customWidth="1"/>
    <col min="9989" max="9989" width="14.453125" style="3980" customWidth="1"/>
    <col min="9990" max="9990" width="3.7265625" style="3980" customWidth="1"/>
    <col min="9991" max="9991" width="33.7265625" style="3980" customWidth="1"/>
    <col min="9992" max="9992" width="4.26953125" style="3980" customWidth="1"/>
    <col min="9993" max="9999" width="8.7265625" style="3980" customWidth="1"/>
    <col min="10000" max="10000" width="8.7265625" style="3980" bestFit="1" customWidth="1"/>
    <col min="10001" max="10001" width="9.54296875" style="3980" customWidth="1"/>
    <col min="10002" max="10006" width="7.7265625" style="3980" bestFit="1" customWidth="1"/>
    <col min="10007" max="10007" width="1.7265625" style="3980" bestFit="1" customWidth="1"/>
    <col min="10008" max="10243" width="9.26953125" style="3980"/>
    <col min="10244" max="10244" width="3.7265625" style="3980" customWidth="1"/>
    <col min="10245" max="10245" width="14.453125" style="3980" customWidth="1"/>
    <col min="10246" max="10246" width="3.7265625" style="3980" customWidth="1"/>
    <col min="10247" max="10247" width="33.7265625" style="3980" customWidth="1"/>
    <col min="10248" max="10248" width="4.26953125" style="3980" customWidth="1"/>
    <col min="10249" max="10255" width="8.7265625" style="3980" customWidth="1"/>
    <col min="10256" max="10256" width="8.7265625" style="3980" bestFit="1" customWidth="1"/>
    <col min="10257" max="10257" width="9.54296875" style="3980" customWidth="1"/>
    <col min="10258" max="10262" width="7.7265625" style="3980" bestFit="1" customWidth="1"/>
    <col min="10263" max="10263" width="1.7265625" style="3980" bestFit="1" customWidth="1"/>
    <col min="10264" max="10499" width="9.26953125" style="3980"/>
    <col min="10500" max="10500" width="3.7265625" style="3980" customWidth="1"/>
    <col min="10501" max="10501" width="14.453125" style="3980" customWidth="1"/>
    <col min="10502" max="10502" width="3.7265625" style="3980" customWidth="1"/>
    <col min="10503" max="10503" width="33.7265625" style="3980" customWidth="1"/>
    <col min="10504" max="10504" width="4.26953125" style="3980" customWidth="1"/>
    <col min="10505" max="10511" width="8.7265625" style="3980" customWidth="1"/>
    <col min="10512" max="10512" width="8.7265625" style="3980" bestFit="1" customWidth="1"/>
    <col min="10513" max="10513" width="9.54296875" style="3980" customWidth="1"/>
    <col min="10514" max="10518" width="7.7265625" style="3980" bestFit="1" customWidth="1"/>
    <col min="10519" max="10519" width="1.7265625" style="3980" bestFit="1" customWidth="1"/>
    <col min="10520" max="10755" width="9.26953125" style="3980"/>
    <col min="10756" max="10756" width="3.7265625" style="3980" customWidth="1"/>
    <col min="10757" max="10757" width="14.453125" style="3980" customWidth="1"/>
    <col min="10758" max="10758" width="3.7265625" style="3980" customWidth="1"/>
    <col min="10759" max="10759" width="33.7265625" style="3980" customWidth="1"/>
    <col min="10760" max="10760" width="4.26953125" style="3980" customWidth="1"/>
    <col min="10761" max="10767" width="8.7265625" style="3980" customWidth="1"/>
    <col min="10768" max="10768" width="8.7265625" style="3980" bestFit="1" customWidth="1"/>
    <col min="10769" max="10769" width="9.54296875" style="3980" customWidth="1"/>
    <col min="10770" max="10774" width="7.7265625" style="3980" bestFit="1" customWidth="1"/>
    <col min="10775" max="10775" width="1.7265625" style="3980" bestFit="1" customWidth="1"/>
    <col min="10776" max="11011" width="9.26953125" style="3980"/>
    <col min="11012" max="11012" width="3.7265625" style="3980" customWidth="1"/>
    <col min="11013" max="11013" width="14.453125" style="3980" customWidth="1"/>
    <col min="11014" max="11014" width="3.7265625" style="3980" customWidth="1"/>
    <col min="11015" max="11015" width="33.7265625" style="3980" customWidth="1"/>
    <col min="11016" max="11016" width="4.26953125" style="3980" customWidth="1"/>
    <col min="11017" max="11023" width="8.7265625" style="3980" customWidth="1"/>
    <col min="11024" max="11024" width="8.7265625" style="3980" bestFit="1" customWidth="1"/>
    <col min="11025" max="11025" width="9.54296875" style="3980" customWidth="1"/>
    <col min="11026" max="11030" width="7.7265625" style="3980" bestFit="1" customWidth="1"/>
    <col min="11031" max="11031" width="1.7265625" style="3980" bestFit="1" customWidth="1"/>
    <col min="11032" max="11267" width="9.26953125" style="3980"/>
    <col min="11268" max="11268" width="3.7265625" style="3980" customWidth="1"/>
    <col min="11269" max="11269" width="14.453125" style="3980" customWidth="1"/>
    <col min="11270" max="11270" width="3.7265625" style="3980" customWidth="1"/>
    <col min="11271" max="11271" width="33.7265625" style="3980" customWidth="1"/>
    <col min="11272" max="11272" width="4.26953125" style="3980" customWidth="1"/>
    <col min="11273" max="11279" width="8.7265625" style="3980" customWidth="1"/>
    <col min="11280" max="11280" width="8.7265625" style="3980" bestFit="1" customWidth="1"/>
    <col min="11281" max="11281" width="9.54296875" style="3980" customWidth="1"/>
    <col min="11282" max="11286" width="7.7265625" style="3980" bestFit="1" customWidth="1"/>
    <col min="11287" max="11287" width="1.7265625" style="3980" bestFit="1" customWidth="1"/>
    <col min="11288" max="11523" width="9.26953125" style="3980"/>
    <col min="11524" max="11524" width="3.7265625" style="3980" customWidth="1"/>
    <col min="11525" max="11525" width="14.453125" style="3980" customWidth="1"/>
    <col min="11526" max="11526" width="3.7265625" style="3980" customWidth="1"/>
    <col min="11527" max="11527" width="33.7265625" style="3980" customWidth="1"/>
    <col min="11528" max="11528" width="4.26953125" style="3980" customWidth="1"/>
    <col min="11529" max="11535" width="8.7265625" style="3980" customWidth="1"/>
    <col min="11536" max="11536" width="8.7265625" style="3980" bestFit="1" customWidth="1"/>
    <col min="11537" max="11537" width="9.54296875" style="3980" customWidth="1"/>
    <col min="11538" max="11542" width="7.7265625" style="3980" bestFit="1" customWidth="1"/>
    <col min="11543" max="11543" width="1.7265625" style="3980" bestFit="1" customWidth="1"/>
    <col min="11544" max="11779" width="9.26953125" style="3980"/>
    <col min="11780" max="11780" width="3.7265625" style="3980" customWidth="1"/>
    <col min="11781" max="11781" width="14.453125" style="3980" customWidth="1"/>
    <col min="11782" max="11782" width="3.7265625" style="3980" customWidth="1"/>
    <col min="11783" max="11783" width="33.7265625" style="3980" customWidth="1"/>
    <col min="11784" max="11784" width="4.26953125" style="3980" customWidth="1"/>
    <col min="11785" max="11791" width="8.7265625" style="3980" customWidth="1"/>
    <col min="11792" max="11792" width="8.7265625" style="3980" bestFit="1" customWidth="1"/>
    <col min="11793" max="11793" width="9.54296875" style="3980" customWidth="1"/>
    <col min="11794" max="11798" width="7.7265625" style="3980" bestFit="1" customWidth="1"/>
    <col min="11799" max="11799" width="1.7265625" style="3980" bestFit="1" customWidth="1"/>
    <col min="11800" max="12035" width="9.26953125" style="3980"/>
    <col min="12036" max="12036" width="3.7265625" style="3980" customWidth="1"/>
    <col min="12037" max="12037" width="14.453125" style="3980" customWidth="1"/>
    <col min="12038" max="12038" width="3.7265625" style="3980" customWidth="1"/>
    <col min="12039" max="12039" width="33.7265625" style="3980" customWidth="1"/>
    <col min="12040" max="12040" width="4.26953125" style="3980" customWidth="1"/>
    <col min="12041" max="12047" width="8.7265625" style="3980" customWidth="1"/>
    <col min="12048" max="12048" width="8.7265625" style="3980" bestFit="1" customWidth="1"/>
    <col min="12049" max="12049" width="9.54296875" style="3980" customWidth="1"/>
    <col min="12050" max="12054" width="7.7265625" style="3980" bestFit="1" customWidth="1"/>
    <col min="12055" max="12055" width="1.7265625" style="3980" bestFit="1" customWidth="1"/>
    <col min="12056" max="12291" width="9.26953125" style="3980"/>
    <col min="12292" max="12292" width="3.7265625" style="3980" customWidth="1"/>
    <col min="12293" max="12293" width="14.453125" style="3980" customWidth="1"/>
    <col min="12294" max="12294" width="3.7265625" style="3980" customWidth="1"/>
    <col min="12295" max="12295" width="33.7265625" style="3980" customWidth="1"/>
    <col min="12296" max="12296" width="4.26953125" style="3980" customWidth="1"/>
    <col min="12297" max="12303" width="8.7265625" style="3980" customWidth="1"/>
    <col min="12304" max="12304" width="8.7265625" style="3980" bestFit="1" customWidth="1"/>
    <col min="12305" max="12305" width="9.54296875" style="3980" customWidth="1"/>
    <col min="12306" max="12310" width="7.7265625" style="3980" bestFit="1" customWidth="1"/>
    <col min="12311" max="12311" width="1.7265625" style="3980" bestFit="1" customWidth="1"/>
    <col min="12312" max="12547" width="9.26953125" style="3980"/>
    <col min="12548" max="12548" width="3.7265625" style="3980" customWidth="1"/>
    <col min="12549" max="12549" width="14.453125" style="3980" customWidth="1"/>
    <col min="12550" max="12550" width="3.7265625" style="3980" customWidth="1"/>
    <col min="12551" max="12551" width="33.7265625" style="3980" customWidth="1"/>
    <col min="12552" max="12552" width="4.26953125" style="3980" customWidth="1"/>
    <col min="12553" max="12559" width="8.7265625" style="3980" customWidth="1"/>
    <col min="12560" max="12560" width="8.7265625" style="3980" bestFit="1" customWidth="1"/>
    <col min="12561" max="12561" width="9.54296875" style="3980" customWidth="1"/>
    <col min="12562" max="12566" width="7.7265625" style="3980" bestFit="1" customWidth="1"/>
    <col min="12567" max="12567" width="1.7265625" style="3980" bestFit="1" customWidth="1"/>
    <col min="12568" max="12803" width="9.26953125" style="3980"/>
    <col min="12804" max="12804" width="3.7265625" style="3980" customWidth="1"/>
    <col min="12805" max="12805" width="14.453125" style="3980" customWidth="1"/>
    <col min="12806" max="12806" width="3.7265625" style="3980" customWidth="1"/>
    <col min="12807" max="12807" width="33.7265625" style="3980" customWidth="1"/>
    <col min="12808" max="12808" width="4.26953125" style="3980" customWidth="1"/>
    <col min="12809" max="12815" width="8.7265625" style="3980" customWidth="1"/>
    <col min="12816" max="12816" width="8.7265625" style="3980" bestFit="1" customWidth="1"/>
    <col min="12817" max="12817" width="9.54296875" style="3980" customWidth="1"/>
    <col min="12818" max="12822" width="7.7265625" style="3980" bestFit="1" customWidth="1"/>
    <col min="12823" max="12823" width="1.7265625" style="3980" bestFit="1" customWidth="1"/>
    <col min="12824" max="13059" width="9.26953125" style="3980"/>
    <col min="13060" max="13060" width="3.7265625" style="3980" customWidth="1"/>
    <col min="13061" max="13061" width="14.453125" style="3980" customWidth="1"/>
    <col min="13062" max="13062" width="3.7265625" style="3980" customWidth="1"/>
    <col min="13063" max="13063" width="33.7265625" style="3980" customWidth="1"/>
    <col min="13064" max="13064" width="4.26953125" style="3980" customWidth="1"/>
    <col min="13065" max="13071" width="8.7265625" style="3980" customWidth="1"/>
    <col min="13072" max="13072" width="8.7265625" style="3980" bestFit="1" customWidth="1"/>
    <col min="13073" max="13073" width="9.54296875" style="3980" customWidth="1"/>
    <col min="13074" max="13078" width="7.7265625" style="3980" bestFit="1" customWidth="1"/>
    <col min="13079" max="13079" width="1.7265625" style="3980" bestFit="1" customWidth="1"/>
    <col min="13080" max="13315" width="9.26953125" style="3980"/>
    <col min="13316" max="13316" width="3.7265625" style="3980" customWidth="1"/>
    <col min="13317" max="13317" width="14.453125" style="3980" customWidth="1"/>
    <col min="13318" max="13318" width="3.7265625" style="3980" customWidth="1"/>
    <col min="13319" max="13319" width="33.7265625" style="3980" customWidth="1"/>
    <col min="13320" max="13320" width="4.26953125" style="3980" customWidth="1"/>
    <col min="13321" max="13327" width="8.7265625" style="3980" customWidth="1"/>
    <col min="13328" max="13328" width="8.7265625" style="3980" bestFit="1" customWidth="1"/>
    <col min="13329" max="13329" width="9.54296875" style="3980" customWidth="1"/>
    <col min="13330" max="13334" width="7.7265625" style="3980" bestFit="1" customWidth="1"/>
    <col min="13335" max="13335" width="1.7265625" style="3980" bestFit="1" customWidth="1"/>
    <col min="13336" max="13571" width="9.26953125" style="3980"/>
    <col min="13572" max="13572" width="3.7265625" style="3980" customWidth="1"/>
    <col min="13573" max="13573" width="14.453125" style="3980" customWidth="1"/>
    <col min="13574" max="13574" width="3.7265625" style="3980" customWidth="1"/>
    <col min="13575" max="13575" width="33.7265625" style="3980" customWidth="1"/>
    <col min="13576" max="13576" width="4.26953125" style="3980" customWidth="1"/>
    <col min="13577" max="13583" width="8.7265625" style="3980" customWidth="1"/>
    <col min="13584" max="13584" width="8.7265625" style="3980" bestFit="1" customWidth="1"/>
    <col min="13585" max="13585" width="9.54296875" style="3980" customWidth="1"/>
    <col min="13586" max="13590" width="7.7265625" style="3980" bestFit="1" customWidth="1"/>
    <col min="13591" max="13591" width="1.7265625" style="3980" bestFit="1" customWidth="1"/>
    <col min="13592" max="13827" width="9.26953125" style="3980"/>
    <col min="13828" max="13828" width="3.7265625" style="3980" customWidth="1"/>
    <col min="13829" max="13829" width="14.453125" style="3980" customWidth="1"/>
    <col min="13830" max="13830" width="3.7265625" style="3980" customWidth="1"/>
    <col min="13831" max="13831" width="33.7265625" style="3980" customWidth="1"/>
    <col min="13832" max="13832" width="4.26953125" style="3980" customWidth="1"/>
    <col min="13833" max="13839" width="8.7265625" style="3980" customWidth="1"/>
    <col min="13840" max="13840" width="8.7265625" style="3980" bestFit="1" customWidth="1"/>
    <col min="13841" max="13841" width="9.54296875" style="3980" customWidth="1"/>
    <col min="13842" max="13846" width="7.7265625" style="3980" bestFit="1" customWidth="1"/>
    <col min="13847" max="13847" width="1.7265625" style="3980" bestFit="1" customWidth="1"/>
    <col min="13848" max="14083" width="9.26953125" style="3980"/>
    <col min="14084" max="14084" width="3.7265625" style="3980" customWidth="1"/>
    <col min="14085" max="14085" width="14.453125" style="3980" customWidth="1"/>
    <col min="14086" max="14086" width="3.7265625" style="3980" customWidth="1"/>
    <col min="14087" max="14087" width="33.7265625" style="3980" customWidth="1"/>
    <col min="14088" max="14088" width="4.26953125" style="3980" customWidth="1"/>
    <col min="14089" max="14095" width="8.7265625" style="3980" customWidth="1"/>
    <col min="14096" max="14096" width="8.7265625" style="3980" bestFit="1" customWidth="1"/>
    <col min="14097" max="14097" width="9.54296875" style="3980" customWidth="1"/>
    <col min="14098" max="14102" width="7.7265625" style="3980" bestFit="1" customWidth="1"/>
    <col min="14103" max="14103" width="1.7265625" style="3980" bestFit="1" customWidth="1"/>
    <col min="14104" max="14339" width="9.26953125" style="3980"/>
    <col min="14340" max="14340" width="3.7265625" style="3980" customWidth="1"/>
    <col min="14341" max="14341" width="14.453125" style="3980" customWidth="1"/>
    <col min="14342" max="14342" width="3.7265625" style="3980" customWidth="1"/>
    <col min="14343" max="14343" width="33.7265625" style="3980" customWidth="1"/>
    <col min="14344" max="14344" width="4.26953125" style="3980" customWidth="1"/>
    <col min="14345" max="14351" width="8.7265625" style="3980" customWidth="1"/>
    <col min="14352" max="14352" width="8.7265625" style="3980" bestFit="1" customWidth="1"/>
    <col min="14353" max="14353" width="9.54296875" style="3980" customWidth="1"/>
    <col min="14354" max="14358" width="7.7265625" style="3980" bestFit="1" customWidth="1"/>
    <col min="14359" max="14359" width="1.7265625" style="3980" bestFit="1" customWidth="1"/>
    <col min="14360" max="14595" width="9.26953125" style="3980"/>
    <col min="14596" max="14596" width="3.7265625" style="3980" customWidth="1"/>
    <col min="14597" max="14597" width="14.453125" style="3980" customWidth="1"/>
    <col min="14598" max="14598" width="3.7265625" style="3980" customWidth="1"/>
    <col min="14599" max="14599" width="33.7265625" style="3980" customWidth="1"/>
    <col min="14600" max="14600" width="4.26953125" style="3980" customWidth="1"/>
    <col min="14601" max="14607" width="8.7265625" style="3980" customWidth="1"/>
    <col min="14608" max="14608" width="8.7265625" style="3980" bestFit="1" customWidth="1"/>
    <col min="14609" max="14609" width="9.54296875" style="3980" customWidth="1"/>
    <col min="14610" max="14614" width="7.7265625" style="3980" bestFit="1" customWidth="1"/>
    <col min="14615" max="14615" width="1.7265625" style="3980" bestFit="1" customWidth="1"/>
    <col min="14616" max="14851" width="9.26953125" style="3980"/>
    <col min="14852" max="14852" width="3.7265625" style="3980" customWidth="1"/>
    <col min="14853" max="14853" width="14.453125" style="3980" customWidth="1"/>
    <col min="14854" max="14854" width="3.7265625" style="3980" customWidth="1"/>
    <col min="14855" max="14855" width="33.7265625" style="3980" customWidth="1"/>
    <col min="14856" max="14856" width="4.26953125" style="3980" customWidth="1"/>
    <col min="14857" max="14863" width="8.7265625" style="3980" customWidth="1"/>
    <col min="14864" max="14864" width="8.7265625" style="3980" bestFit="1" customWidth="1"/>
    <col min="14865" max="14865" width="9.54296875" style="3980" customWidth="1"/>
    <col min="14866" max="14870" width="7.7265625" style="3980" bestFit="1" customWidth="1"/>
    <col min="14871" max="14871" width="1.7265625" style="3980" bestFit="1" customWidth="1"/>
    <col min="14872" max="15107" width="9.26953125" style="3980"/>
    <col min="15108" max="15108" width="3.7265625" style="3980" customWidth="1"/>
    <col min="15109" max="15109" width="14.453125" style="3980" customWidth="1"/>
    <col min="15110" max="15110" width="3.7265625" style="3980" customWidth="1"/>
    <col min="15111" max="15111" width="33.7265625" style="3980" customWidth="1"/>
    <col min="15112" max="15112" width="4.26953125" style="3980" customWidth="1"/>
    <col min="15113" max="15119" width="8.7265625" style="3980" customWidth="1"/>
    <col min="15120" max="15120" width="8.7265625" style="3980" bestFit="1" customWidth="1"/>
    <col min="15121" max="15121" width="9.54296875" style="3980" customWidth="1"/>
    <col min="15122" max="15126" width="7.7265625" style="3980" bestFit="1" customWidth="1"/>
    <col min="15127" max="15127" width="1.7265625" style="3980" bestFit="1" customWidth="1"/>
    <col min="15128" max="15363" width="9.26953125" style="3980"/>
    <col min="15364" max="15364" width="3.7265625" style="3980" customWidth="1"/>
    <col min="15365" max="15365" width="14.453125" style="3980" customWidth="1"/>
    <col min="15366" max="15366" width="3.7265625" style="3980" customWidth="1"/>
    <col min="15367" max="15367" width="33.7265625" style="3980" customWidth="1"/>
    <col min="15368" max="15368" width="4.26953125" style="3980" customWidth="1"/>
    <col min="15369" max="15375" width="8.7265625" style="3980" customWidth="1"/>
    <col min="15376" max="15376" width="8.7265625" style="3980" bestFit="1" customWidth="1"/>
    <col min="15377" max="15377" width="9.54296875" style="3980" customWidth="1"/>
    <col min="15378" max="15382" width="7.7265625" style="3980" bestFit="1" customWidth="1"/>
    <col min="15383" max="15383" width="1.7265625" style="3980" bestFit="1" customWidth="1"/>
    <col min="15384" max="15619" width="9.26953125" style="3980"/>
    <col min="15620" max="15620" width="3.7265625" style="3980" customWidth="1"/>
    <col min="15621" max="15621" width="14.453125" style="3980" customWidth="1"/>
    <col min="15622" max="15622" width="3.7265625" style="3980" customWidth="1"/>
    <col min="15623" max="15623" width="33.7265625" style="3980" customWidth="1"/>
    <col min="15624" max="15624" width="4.26953125" style="3980" customWidth="1"/>
    <col min="15625" max="15631" width="8.7265625" style="3980" customWidth="1"/>
    <col min="15632" max="15632" width="8.7265625" style="3980" bestFit="1" customWidth="1"/>
    <col min="15633" max="15633" width="9.54296875" style="3980" customWidth="1"/>
    <col min="15634" max="15638" width="7.7265625" style="3980" bestFit="1" customWidth="1"/>
    <col min="15639" max="15639" width="1.7265625" style="3980" bestFit="1" customWidth="1"/>
    <col min="15640" max="15875" width="9.26953125" style="3980"/>
    <col min="15876" max="15876" width="3.7265625" style="3980" customWidth="1"/>
    <col min="15877" max="15877" width="14.453125" style="3980" customWidth="1"/>
    <col min="15878" max="15878" width="3.7265625" style="3980" customWidth="1"/>
    <col min="15879" max="15879" width="33.7265625" style="3980" customWidth="1"/>
    <col min="15880" max="15880" width="4.26953125" style="3980" customWidth="1"/>
    <col min="15881" max="15887" width="8.7265625" style="3980" customWidth="1"/>
    <col min="15888" max="15888" width="8.7265625" style="3980" bestFit="1" customWidth="1"/>
    <col min="15889" max="15889" width="9.54296875" style="3980" customWidth="1"/>
    <col min="15890" max="15894" width="7.7265625" style="3980" bestFit="1" customWidth="1"/>
    <col min="15895" max="15895" width="1.7265625" style="3980" bestFit="1" customWidth="1"/>
    <col min="15896" max="16131" width="9.26953125" style="3980"/>
    <col min="16132" max="16132" width="3.7265625" style="3980" customWidth="1"/>
    <col min="16133" max="16133" width="14.453125" style="3980" customWidth="1"/>
    <col min="16134" max="16134" width="3.7265625" style="3980" customWidth="1"/>
    <col min="16135" max="16135" width="33.7265625" style="3980" customWidth="1"/>
    <col min="16136" max="16136" width="4.26953125" style="3980" customWidth="1"/>
    <col min="16137" max="16143" width="8.7265625" style="3980" customWidth="1"/>
    <col min="16144" max="16144" width="8.7265625" style="3980" bestFit="1" customWidth="1"/>
    <col min="16145" max="16145" width="9.54296875" style="3980" customWidth="1"/>
    <col min="16146" max="16150" width="7.7265625" style="3980" bestFit="1" customWidth="1"/>
    <col min="16151" max="16151" width="1.7265625" style="3980" bestFit="1" customWidth="1"/>
    <col min="16152" max="16384" width="9.26953125" style="3980"/>
  </cols>
  <sheetData>
    <row r="1" spans="1:24" s="3997" customFormat="1" ht="12.75" customHeight="1" x14ac:dyDescent="0.25">
      <c r="A1" s="723"/>
      <c r="B1" s="3996"/>
      <c r="C1" s="3996"/>
      <c r="F1" s="3998"/>
      <c r="G1" s="3998"/>
      <c r="H1" s="3998"/>
      <c r="I1" s="3998"/>
      <c r="J1" s="3998"/>
      <c r="K1" s="3998"/>
    </row>
    <row r="2" spans="1:24" s="3997" customFormat="1" ht="17.25" customHeight="1" x14ac:dyDescent="0.25">
      <c r="A2" s="723">
        <v>1</v>
      </c>
      <c r="B2" s="723" t="s">
        <v>0</v>
      </c>
      <c r="C2" s="723">
        <v>75</v>
      </c>
      <c r="D2" s="3999" t="s">
        <v>1629</v>
      </c>
      <c r="E2" s="4000"/>
      <c r="F2" s="4000"/>
      <c r="G2" s="4000"/>
      <c r="H2" s="4000"/>
      <c r="I2" s="4000"/>
      <c r="J2" s="4000"/>
      <c r="K2" s="4000"/>
      <c r="L2" s="4000"/>
      <c r="M2" s="4000"/>
      <c r="N2" s="4000"/>
      <c r="O2" s="4000"/>
      <c r="P2" s="4000"/>
      <c r="Q2" s="4000"/>
      <c r="R2" s="4000"/>
      <c r="S2" s="4000"/>
      <c r="T2" s="4000"/>
      <c r="U2" s="4001"/>
      <c r="V2" s="4002"/>
      <c r="W2" s="4003"/>
    </row>
    <row r="3" spans="1:24" s="3997" customFormat="1" ht="17.25" customHeight="1" x14ac:dyDescent="0.25">
      <c r="A3" s="723">
        <v>2</v>
      </c>
      <c r="B3" s="723" t="s">
        <v>2</v>
      </c>
      <c r="C3" s="723"/>
      <c r="D3" s="5071" t="s">
        <v>1630</v>
      </c>
      <c r="E3" s="5072"/>
      <c r="F3" s="5072"/>
      <c r="G3" s="5072"/>
      <c r="H3" s="5072"/>
      <c r="I3" s="5072"/>
      <c r="J3" s="5072"/>
      <c r="K3" s="5072"/>
      <c r="L3" s="5072"/>
      <c r="M3" s="5072"/>
      <c r="N3" s="5072"/>
      <c r="O3" s="5072"/>
      <c r="P3" s="5072"/>
      <c r="Q3" s="5072"/>
      <c r="R3" s="5072"/>
      <c r="S3" s="5072"/>
      <c r="T3" s="5072"/>
      <c r="U3" s="5073"/>
      <c r="V3" s="4003"/>
      <c r="W3" s="4003"/>
    </row>
    <row r="4" spans="1:24" s="3997" customFormat="1" ht="18" customHeight="1" x14ac:dyDescent="0.25">
      <c r="A4" s="723">
        <v>3</v>
      </c>
      <c r="B4" s="723" t="s">
        <v>4</v>
      </c>
      <c r="C4" s="723"/>
      <c r="D4" s="5071" t="s">
        <v>1631</v>
      </c>
      <c r="E4" s="5072"/>
      <c r="F4" s="5072"/>
      <c r="G4" s="5072"/>
      <c r="H4" s="5072"/>
      <c r="I4" s="5072"/>
      <c r="J4" s="5072"/>
      <c r="K4" s="5072"/>
      <c r="L4" s="5072"/>
      <c r="M4" s="5072"/>
      <c r="N4" s="5072"/>
      <c r="O4" s="5072"/>
      <c r="P4" s="5072"/>
      <c r="Q4" s="5072"/>
      <c r="R4" s="5072"/>
      <c r="S4" s="5072"/>
      <c r="T4" s="5072"/>
      <c r="U4" s="5073"/>
      <c r="V4" s="4003"/>
      <c r="W4" s="4003"/>
    </row>
    <row r="5" spans="1:24" s="3997" customFormat="1" ht="13.5" customHeight="1" x14ac:dyDescent="0.3">
      <c r="A5" s="723"/>
      <c r="B5" s="723"/>
      <c r="C5" s="723"/>
      <c r="D5" s="4003"/>
      <c r="E5" s="4003"/>
      <c r="F5" s="4004"/>
      <c r="G5" s="4004"/>
      <c r="H5" s="4004"/>
      <c r="I5" s="4004"/>
      <c r="J5" s="4004"/>
      <c r="K5" s="4004"/>
      <c r="L5" s="4002"/>
      <c r="M5" s="4002"/>
      <c r="N5" s="4002"/>
      <c r="O5" s="4002"/>
      <c r="P5" s="4002"/>
      <c r="Q5" s="4002"/>
      <c r="R5" s="4002"/>
      <c r="S5" s="4002"/>
      <c r="T5" s="4002"/>
      <c r="U5" s="4002"/>
      <c r="V5" s="4005"/>
      <c r="W5" s="4006"/>
      <c r="X5" s="4006"/>
    </row>
    <row r="6" spans="1:24" s="3997" customFormat="1" ht="13.5" customHeight="1" x14ac:dyDescent="0.25">
      <c r="C6" s="723"/>
      <c r="F6" s="3998"/>
      <c r="G6" s="3998"/>
      <c r="H6" s="3998"/>
      <c r="I6" s="3998"/>
      <c r="J6" s="3998"/>
      <c r="K6" s="3998"/>
    </row>
    <row r="7" spans="1:24" s="3997" customFormat="1" ht="13.5" customHeight="1" x14ac:dyDescent="0.3">
      <c r="A7" s="723">
        <v>4</v>
      </c>
      <c r="B7" s="723" t="s">
        <v>6</v>
      </c>
      <c r="C7" s="723"/>
      <c r="D7" s="3596" t="s">
        <v>74</v>
      </c>
      <c r="E7" s="3596"/>
      <c r="F7" s="4007" t="s">
        <v>1632</v>
      </c>
      <c r="G7" s="4008"/>
      <c r="H7" s="4008"/>
      <c r="I7" s="3998"/>
      <c r="J7" s="3998"/>
      <c r="K7" s="3998"/>
    </row>
    <row r="8" spans="1:24" ht="12" customHeight="1" x14ac:dyDescent="0.25">
      <c r="D8" s="3538"/>
      <c r="E8" s="4009"/>
      <c r="F8" s="3539">
        <v>2002</v>
      </c>
      <c r="G8" s="3539">
        <v>2003</v>
      </c>
      <c r="H8" s="3539">
        <v>2004</v>
      </c>
      <c r="I8" s="3539">
        <v>2005</v>
      </c>
      <c r="J8" s="3539">
        <v>2006</v>
      </c>
      <c r="K8" s="3539">
        <v>2007</v>
      </c>
      <c r="L8" s="3539">
        <v>2008</v>
      </c>
      <c r="M8" s="3477">
        <v>2009</v>
      </c>
      <c r="N8" s="3428">
        <v>2010</v>
      </c>
      <c r="O8" s="3428">
        <v>2011</v>
      </c>
      <c r="P8" s="3428">
        <v>2012</v>
      </c>
      <c r="Q8" s="3428">
        <v>2013</v>
      </c>
      <c r="R8" s="3428">
        <v>2014</v>
      </c>
      <c r="S8" s="3428">
        <v>2015</v>
      </c>
      <c r="T8" s="3428">
        <v>2016</v>
      </c>
      <c r="U8" s="1653">
        <v>2017</v>
      </c>
      <c r="V8" s="1653">
        <v>2018</v>
      </c>
      <c r="W8" s="4076">
        <v>2019</v>
      </c>
    </row>
    <row r="9" spans="1:24" ht="13" x14ac:dyDescent="0.3">
      <c r="A9" s="4010"/>
      <c r="C9" s="4011" t="s">
        <v>1633</v>
      </c>
      <c r="D9" s="4012" t="s">
        <v>1634</v>
      </c>
      <c r="E9" s="4013"/>
      <c r="F9" s="4014"/>
      <c r="G9" s="4014"/>
      <c r="H9" s="4014"/>
      <c r="I9" s="4014"/>
      <c r="J9" s="4014"/>
      <c r="K9" s="4014"/>
      <c r="L9" s="4014"/>
      <c r="M9" s="4015">
        <v>7000052</v>
      </c>
      <c r="N9" s="4015">
        <v>7882979</v>
      </c>
      <c r="O9" s="4015">
        <v>8135066</v>
      </c>
      <c r="P9" s="4015">
        <v>8603190</v>
      </c>
      <c r="Q9" s="4015">
        <v>8961565</v>
      </c>
      <c r="R9" s="4015">
        <v>9549236</v>
      </c>
      <c r="S9" s="4015">
        <v>8903773</v>
      </c>
      <c r="T9" s="4016">
        <v>10044163</v>
      </c>
      <c r="U9" s="4017">
        <v>10285197</v>
      </c>
      <c r="V9" s="4394">
        <v>10472105</v>
      </c>
      <c r="W9" s="4395">
        <v>10228593</v>
      </c>
      <c r="X9" s="4018"/>
    </row>
    <row r="10" spans="1:24" s="4026" customFormat="1" ht="15" customHeight="1" x14ac:dyDescent="0.3">
      <c r="A10" s="4019"/>
      <c r="B10" s="4020"/>
      <c r="C10" s="4011"/>
      <c r="D10" s="4021" t="s">
        <v>1635</v>
      </c>
      <c r="E10" s="4022"/>
      <c r="F10" s="4023"/>
      <c r="G10" s="4023"/>
      <c r="H10" s="4023"/>
      <c r="I10" s="4023"/>
      <c r="J10" s="4023"/>
      <c r="K10" s="4023"/>
      <c r="L10" s="4023"/>
      <c r="M10" s="4024">
        <v>5081011</v>
      </c>
      <c r="N10" s="4024">
        <v>5680356</v>
      </c>
      <c r="O10" s="4024">
        <v>6078000</v>
      </c>
      <c r="P10" s="4024">
        <v>6485058</v>
      </c>
      <c r="Q10" s="4024">
        <v>6732434</v>
      </c>
      <c r="R10" s="4024">
        <v>7279814</v>
      </c>
      <c r="S10" s="4024">
        <v>6746114</v>
      </c>
      <c r="T10" s="4024">
        <v>7501512</v>
      </c>
      <c r="U10" s="4025">
        <v>7559342</v>
      </c>
      <c r="V10" s="4394">
        <v>7786357</v>
      </c>
      <c r="W10" s="4395">
        <v>7600843</v>
      </c>
    </row>
    <row r="11" spans="1:24" s="4026" customFormat="1" ht="16.899999999999999" customHeight="1" x14ac:dyDescent="0.3">
      <c r="A11" s="4019"/>
      <c r="B11" s="4020"/>
      <c r="C11" s="4011"/>
      <c r="D11" s="4021" t="s">
        <v>1636</v>
      </c>
      <c r="E11" s="4022"/>
      <c r="F11" s="4023"/>
      <c r="G11" s="4023"/>
      <c r="H11" s="4023"/>
      <c r="I11" s="4023"/>
      <c r="J11" s="4023"/>
      <c r="K11" s="4023"/>
      <c r="L11" s="4027"/>
      <c r="M11" s="4028">
        <v>1882612</v>
      </c>
      <c r="N11" s="4028">
        <v>2089573</v>
      </c>
      <c r="O11" s="4028">
        <v>2032862</v>
      </c>
      <c r="P11" s="4028">
        <v>2096780</v>
      </c>
      <c r="Q11" s="4028">
        <v>2213134</v>
      </c>
      <c r="R11" s="4028">
        <v>2254709</v>
      </c>
      <c r="S11" s="4028">
        <v>2144988</v>
      </c>
      <c r="T11" s="4024">
        <v>2531046</v>
      </c>
      <c r="U11" s="4025">
        <v>2713133</v>
      </c>
      <c r="V11" s="4394">
        <v>2672146</v>
      </c>
      <c r="W11" s="4395">
        <v>2612159</v>
      </c>
    </row>
    <row r="12" spans="1:24" ht="16.899999999999999" customHeight="1" x14ac:dyDescent="0.3">
      <c r="A12" s="3983"/>
      <c r="C12" s="4011"/>
      <c r="D12" s="4029" t="s">
        <v>1637</v>
      </c>
      <c r="E12" s="4030"/>
      <c r="F12" s="4029"/>
      <c r="G12" s="4029"/>
      <c r="H12" s="4029"/>
      <c r="I12" s="4029"/>
      <c r="J12" s="4029"/>
      <c r="K12" s="4029"/>
      <c r="L12" s="4029"/>
      <c r="M12" s="4029">
        <v>36429</v>
      </c>
      <c r="N12" s="4029">
        <v>113050</v>
      </c>
      <c r="O12" s="4029">
        <v>24204</v>
      </c>
      <c r="P12" s="4029">
        <v>21350</v>
      </c>
      <c r="Q12" s="4029">
        <v>15997</v>
      </c>
      <c r="R12" s="4029">
        <v>14713</v>
      </c>
      <c r="S12" s="4029">
        <v>12671</v>
      </c>
      <c r="T12" s="4029">
        <v>11605</v>
      </c>
      <c r="U12" s="1817">
        <v>12722</v>
      </c>
      <c r="V12" s="4396">
        <v>13602</v>
      </c>
      <c r="W12" s="4397">
        <v>15591</v>
      </c>
      <c r="X12" s="4018"/>
    </row>
    <row r="13" spans="1:24" ht="16.899999999999999" customHeight="1" x14ac:dyDescent="0.25">
      <c r="C13" s="4011"/>
      <c r="D13" s="3596" t="s">
        <v>1638</v>
      </c>
      <c r="I13" s="3980"/>
      <c r="J13" s="3980"/>
      <c r="K13" s="3980"/>
      <c r="U13" s="1265"/>
      <c r="V13" s="4032"/>
      <c r="W13" s="4018"/>
    </row>
    <row r="14" spans="1:24" ht="16.899999999999999" customHeight="1" x14ac:dyDescent="0.25">
      <c r="A14" s="4010"/>
      <c r="C14" s="4011" t="s">
        <v>1639</v>
      </c>
      <c r="D14" s="4033" t="s">
        <v>1640</v>
      </c>
      <c r="E14" s="739"/>
      <c r="F14" s="4034"/>
      <c r="G14" s="4035"/>
      <c r="H14" s="4036"/>
      <c r="I14" s="4035">
        <v>507384</v>
      </c>
      <c r="J14" s="4035">
        <v>553712</v>
      </c>
      <c r="K14" s="4035">
        <v>569688</v>
      </c>
      <c r="L14" s="4035">
        <v>609021</v>
      </c>
      <c r="M14" s="3107">
        <v>547934</v>
      </c>
      <c r="N14" s="3107">
        <v>603022</v>
      </c>
      <c r="O14" s="3107">
        <v>622929</v>
      </c>
      <c r="P14" s="3107">
        <v>646390</v>
      </c>
      <c r="Q14" s="3107">
        <v>657766</v>
      </c>
      <c r="R14" s="3107">
        <v>681915</v>
      </c>
      <c r="S14" s="3107">
        <v>668651</v>
      </c>
      <c r="T14" s="4018">
        <v>705871</v>
      </c>
      <c r="U14" s="4017">
        <v>681619</v>
      </c>
      <c r="V14" s="4017">
        <v>739657</v>
      </c>
    </row>
    <row r="15" spans="1:24" ht="25.15" customHeight="1" x14ac:dyDescent="0.25">
      <c r="C15" s="4011"/>
      <c r="D15" s="4037" t="s">
        <v>1641</v>
      </c>
      <c r="E15" s="4038"/>
      <c r="F15" s="4034"/>
      <c r="G15" s="4035"/>
      <c r="H15" s="4035"/>
      <c r="I15" s="4039">
        <v>0.04</v>
      </c>
      <c r="J15" s="4039">
        <v>4.1000000000000002E-2</v>
      </c>
      <c r="K15" s="4039">
        <v>4.2000000000000003E-2</v>
      </c>
      <c r="L15" s="4040">
        <v>4.3999999999999997E-2</v>
      </c>
      <c r="M15" s="4041">
        <v>4.1000000000000002E-2</v>
      </c>
      <c r="N15" s="4041">
        <v>4.3999999999999997E-2</v>
      </c>
      <c r="O15" s="4041">
        <v>4.3999999999999997E-2</v>
      </c>
      <c r="P15" s="4041">
        <v>4.4999999999999998E-2</v>
      </c>
      <c r="Q15" s="4041">
        <v>4.3999999999999997E-2</v>
      </c>
      <c r="R15" s="4041">
        <v>4.4999999999999998E-2</v>
      </c>
      <c r="S15" s="4042">
        <v>4.2000000000000003E-2</v>
      </c>
      <c r="T15" s="4042">
        <v>4.4999999999999998E-2</v>
      </c>
      <c r="U15" s="4398">
        <v>4.2000000000000003E-2</v>
      </c>
      <c r="V15" s="4398">
        <v>4.4999999999999998E-2</v>
      </c>
    </row>
    <row r="16" spans="1:24" ht="16.899999999999999" customHeight="1" x14ac:dyDescent="0.25">
      <c r="C16" s="4011" t="s">
        <v>1642</v>
      </c>
      <c r="D16" s="4033" t="s">
        <v>1643</v>
      </c>
      <c r="E16" s="739"/>
      <c r="F16" s="4399">
        <v>911.66700000000003</v>
      </c>
      <c r="G16" s="4399">
        <v>910.18899999999996</v>
      </c>
      <c r="H16" s="4399">
        <v>889.61199999999997</v>
      </c>
      <c r="I16" s="4399">
        <v>983.52099999999996</v>
      </c>
      <c r="J16" s="4399">
        <v>1160.92</v>
      </c>
      <c r="K16" s="4399">
        <v>1142.5</v>
      </c>
      <c r="L16" s="4399">
        <v>1337.09</v>
      </c>
      <c r="M16" s="4399">
        <v>1268.44</v>
      </c>
      <c r="N16" s="4399">
        <v>1195.9100000000001</v>
      </c>
      <c r="O16" s="4399">
        <v>1229.29</v>
      </c>
      <c r="P16" s="4399">
        <v>1316.67</v>
      </c>
      <c r="Q16" s="4399">
        <v>1360.59</v>
      </c>
      <c r="R16" s="4399">
        <v>1393.07</v>
      </c>
      <c r="S16" s="4399">
        <v>1381.07</v>
      </c>
      <c r="T16" s="4399">
        <v>1411.55</v>
      </c>
      <c r="U16" s="4400">
        <v>1378.63</v>
      </c>
      <c r="V16" s="4400">
        <v>1482.56</v>
      </c>
      <c r="W16" s="4399">
        <v>1483.24</v>
      </c>
    </row>
    <row r="17" spans="1:23" ht="16.899999999999999" customHeight="1" x14ac:dyDescent="0.25">
      <c r="C17" s="4011"/>
      <c r="D17" s="4033"/>
      <c r="E17" s="739"/>
      <c r="F17" s="4034"/>
      <c r="G17" s="4035"/>
      <c r="H17" s="4036"/>
      <c r="I17" s="4036"/>
      <c r="J17" s="4036"/>
      <c r="K17" s="4036"/>
      <c r="L17" s="4035"/>
      <c r="M17" s="3107"/>
      <c r="N17" s="3107"/>
      <c r="O17" s="3107"/>
      <c r="P17" s="3107"/>
      <c r="Q17" s="3107"/>
      <c r="R17" s="3107"/>
      <c r="S17" s="3107"/>
      <c r="T17" s="4018"/>
      <c r="U17" s="4017"/>
      <c r="V17" s="4043"/>
    </row>
    <row r="18" spans="1:23" ht="16.899999999999999" customHeight="1" x14ac:dyDescent="0.25">
      <c r="C18" s="4044"/>
      <c r="D18" s="755" t="s">
        <v>1644</v>
      </c>
      <c r="E18" s="738"/>
      <c r="F18" s="4401">
        <v>7.3035300000000003</v>
      </c>
      <c r="G18" s="4401">
        <v>7.3819400000000002</v>
      </c>
      <c r="H18" s="4401">
        <v>7.0960000000000001</v>
      </c>
      <c r="I18" s="4401">
        <v>7.4394799999999996</v>
      </c>
      <c r="J18" s="4401">
        <v>8.4099000000000004</v>
      </c>
      <c r="K18" s="4401">
        <v>8.2118900000000004</v>
      </c>
      <c r="L18" s="4401">
        <v>9.1648800000000001</v>
      </c>
      <c r="M18" s="4401">
        <v>8.9382900000000003</v>
      </c>
      <c r="N18" s="4401">
        <v>8.6741499999999991</v>
      </c>
      <c r="O18" s="4401">
        <v>8.7384900000000005</v>
      </c>
      <c r="P18" s="4401">
        <v>9.1284100000000006</v>
      </c>
      <c r="Q18" s="4401">
        <v>9.1506500000000006</v>
      </c>
      <c r="R18" s="4401">
        <v>9.1999499999999994</v>
      </c>
      <c r="S18" s="4401">
        <v>8.7743699999999993</v>
      </c>
      <c r="T18" s="4401">
        <v>8.9462299999999999</v>
      </c>
      <c r="U18" s="4402">
        <v>8.5257900000000006</v>
      </c>
      <c r="V18" s="4402">
        <v>9.0433699999999995</v>
      </c>
      <c r="W18" s="4401">
        <v>9.0825899999999997</v>
      </c>
    </row>
    <row r="19" spans="1:23" ht="18" customHeight="1" x14ac:dyDescent="0.25">
      <c r="C19" s="4011" t="s">
        <v>1645</v>
      </c>
      <c r="D19" s="4045" t="s">
        <v>1646</v>
      </c>
      <c r="E19" s="4046"/>
      <c r="F19" s="4047"/>
      <c r="G19" s="4047"/>
      <c r="H19" s="4048"/>
      <c r="I19" s="4049"/>
      <c r="J19" s="4049"/>
      <c r="K19" s="4049"/>
      <c r="L19" s="4050"/>
      <c r="M19" s="4051"/>
      <c r="N19" s="4051"/>
      <c r="O19" s="4051"/>
      <c r="P19" s="4052"/>
      <c r="Q19" s="4051"/>
      <c r="R19" s="4051"/>
      <c r="S19" s="4053"/>
      <c r="T19" s="4054"/>
      <c r="U19" s="4055"/>
      <c r="V19" s="4056"/>
      <c r="W19" s="4054" t="s">
        <v>294</v>
      </c>
    </row>
    <row r="20" spans="1:23" ht="24.75" customHeight="1" x14ac:dyDescent="0.2">
      <c r="D20" s="4013" t="s">
        <v>1647</v>
      </c>
      <c r="E20" s="4013" t="s">
        <v>86</v>
      </c>
      <c r="F20" s="4057"/>
      <c r="G20" s="4057"/>
      <c r="H20" s="4057"/>
      <c r="I20" s="4058">
        <v>44.9</v>
      </c>
      <c r="J20" s="4058">
        <v>54.4</v>
      </c>
      <c r="K20" s="4058">
        <v>59.8</v>
      </c>
      <c r="L20" s="4058">
        <v>67.2</v>
      </c>
      <c r="M20" s="4058">
        <v>68.8</v>
      </c>
      <c r="N20" s="4058">
        <v>88.4</v>
      </c>
      <c r="O20" s="4058">
        <v>83.9</v>
      </c>
      <c r="P20" s="4058">
        <v>93.8</v>
      </c>
      <c r="Q20" s="4059">
        <v>103.3</v>
      </c>
      <c r="R20" s="4059">
        <v>112.6</v>
      </c>
      <c r="S20" s="3980">
        <v>108.7</v>
      </c>
      <c r="T20" s="3980">
        <v>124.9</v>
      </c>
      <c r="U20" s="4403">
        <v>119</v>
      </c>
      <c r="V20" s="4403">
        <v>130.19999999999999</v>
      </c>
    </row>
    <row r="21" spans="1:23" ht="32.25" customHeight="1" x14ac:dyDescent="0.2">
      <c r="A21" s="3983"/>
      <c r="B21" s="4061"/>
      <c r="D21" s="4013" t="s">
        <v>1648</v>
      </c>
      <c r="E21" s="4013"/>
      <c r="G21" s="4057"/>
      <c r="H21" s="4057"/>
      <c r="I21" s="1730">
        <v>2.9000000000000001E-2</v>
      </c>
      <c r="J21" s="1730">
        <v>0.03</v>
      </c>
      <c r="K21" s="1730">
        <v>0.03</v>
      </c>
      <c r="L21" s="1730">
        <v>0.03</v>
      </c>
      <c r="M21" s="1730">
        <v>2.9000000000000001E-2</v>
      </c>
      <c r="N21" s="1730">
        <v>0.03</v>
      </c>
      <c r="O21" s="4062">
        <v>2.8000000000000001E-2</v>
      </c>
      <c r="P21" s="4062">
        <v>2.9000000000000001E-2</v>
      </c>
      <c r="Q21" s="4062">
        <v>2.9000000000000001E-2</v>
      </c>
      <c r="R21" s="4062">
        <v>0.03</v>
      </c>
      <c r="S21" s="4042">
        <v>2.7E-2</v>
      </c>
      <c r="T21" s="4042">
        <v>2.9000000000000001E-2</v>
      </c>
      <c r="U21" s="4398">
        <v>2.5999999999999999E-2</v>
      </c>
      <c r="V21" s="4398">
        <v>2.7E-2</v>
      </c>
    </row>
    <row r="22" spans="1:23" ht="23.25" customHeight="1" x14ac:dyDescent="0.25">
      <c r="A22" s="3983"/>
      <c r="C22" s="4011" t="s">
        <v>1649</v>
      </c>
      <c r="D22" s="4063" t="s">
        <v>1650</v>
      </c>
      <c r="E22" s="4013" t="s">
        <v>86</v>
      </c>
      <c r="F22" s="4401">
        <v>243.43899999999999</v>
      </c>
      <c r="G22" s="4401">
        <v>253.61799999999999</v>
      </c>
      <c r="H22" s="4401">
        <v>252.922</v>
      </c>
      <c r="I22" s="4401">
        <v>279.91500000000002</v>
      </c>
      <c r="J22" s="4401">
        <v>339.43299999999999</v>
      </c>
      <c r="K22" s="4401">
        <v>350.51</v>
      </c>
      <c r="L22" s="4401">
        <v>350.786</v>
      </c>
      <c r="M22" s="4401">
        <v>342.245</v>
      </c>
      <c r="N22" s="4401">
        <v>338.97399999999999</v>
      </c>
      <c r="O22" s="4401">
        <v>330.24200000000002</v>
      </c>
      <c r="P22" s="4401">
        <v>364.51299999999998</v>
      </c>
      <c r="Q22" s="4401">
        <v>386.24799999999999</v>
      </c>
      <c r="R22" s="4401">
        <v>394.30099999999999</v>
      </c>
      <c r="S22" s="4401">
        <v>367.05900000000003</v>
      </c>
      <c r="T22" s="4401">
        <v>375.90899999999999</v>
      </c>
      <c r="U22" s="4401">
        <v>345.13900000000001</v>
      </c>
      <c r="V22" s="4401">
        <v>358.76400000000001</v>
      </c>
      <c r="W22" s="4401">
        <v>354.93700000000001</v>
      </c>
    </row>
    <row r="23" spans="1:23" ht="28.5" customHeight="1" x14ac:dyDescent="0.2">
      <c r="A23" s="3983"/>
      <c r="B23" s="4061"/>
      <c r="C23" s="4061"/>
      <c r="D23" s="4063" t="s">
        <v>1651</v>
      </c>
      <c r="E23" s="4013"/>
      <c r="F23" s="4401">
        <v>7.2774700000000001</v>
      </c>
      <c r="G23" s="4401">
        <v>7.3658099999999997</v>
      </c>
      <c r="H23" s="4401">
        <v>7.0247799999999998</v>
      </c>
      <c r="I23" s="4401">
        <v>7.3844700000000003</v>
      </c>
      <c r="J23" s="4401">
        <v>8.4780099999999994</v>
      </c>
      <c r="K23" s="4401">
        <v>8.3105399999999996</v>
      </c>
      <c r="L23" s="4401">
        <v>8.0616000000000003</v>
      </c>
      <c r="M23" s="4401">
        <v>7.9882299999999997</v>
      </c>
      <c r="N23" s="4401">
        <v>7.6778000000000004</v>
      </c>
      <c r="O23" s="4401">
        <v>7.2424400000000002</v>
      </c>
      <c r="P23" s="4401">
        <v>7.8210600000000001</v>
      </c>
      <c r="Q23" s="4401">
        <v>8.0861499999999999</v>
      </c>
      <c r="R23" s="4401">
        <v>8.1053499999999996</v>
      </c>
      <c r="S23" s="4401">
        <v>7.4572000000000003</v>
      </c>
      <c r="T23" s="4401">
        <v>7.60602</v>
      </c>
      <c r="U23" s="4401">
        <v>6.8855899999999997</v>
      </c>
      <c r="V23" s="4401">
        <v>7.1018699999999999</v>
      </c>
      <c r="W23" s="4401">
        <v>7.0073999999999996</v>
      </c>
    </row>
    <row r="24" spans="1:23" ht="10" x14ac:dyDescent="0.2">
      <c r="A24" s="3983"/>
      <c r="I24" s="4057"/>
      <c r="J24" s="4057"/>
      <c r="K24" s="4057"/>
    </row>
    <row r="25" spans="1:23" ht="10" x14ac:dyDescent="0.2">
      <c r="A25" s="3983"/>
      <c r="I25" s="4057"/>
      <c r="J25" s="4057"/>
      <c r="K25" s="4057"/>
    </row>
    <row r="26" spans="1:23" ht="10" x14ac:dyDescent="0.2">
      <c r="A26" s="3983"/>
      <c r="I26" s="4057"/>
      <c r="J26" s="4057"/>
      <c r="K26" s="4057"/>
    </row>
    <row r="27" spans="1:23" ht="10" x14ac:dyDescent="0.2">
      <c r="A27" s="3983"/>
      <c r="I27" s="4057"/>
      <c r="J27" s="4057"/>
      <c r="K27" s="4057"/>
    </row>
    <row r="28" spans="1:23" ht="10" x14ac:dyDescent="0.2">
      <c r="A28" s="3983"/>
      <c r="I28" s="4057"/>
      <c r="J28" s="4057"/>
      <c r="K28" s="4057"/>
    </row>
    <row r="29" spans="1:23" ht="10" x14ac:dyDescent="0.2">
      <c r="A29" s="3983"/>
      <c r="I29" s="4057"/>
      <c r="J29" s="4057"/>
      <c r="K29" s="4057"/>
      <c r="V29" s="4060"/>
    </row>
    <row r="30" spans="1:23" ht="10" x14ac:dyDescent="0.2">
      <c r="A30" s="3983"/>
      <c r="I30" s="4057"/>
      <c r="J30" s="4057"/>
      <c r="K30" s="4057"/>
    </row>
    <row r="31" spans="1:23" ht="10" x14ac:dyDescent="0.2">
      <c r="A31" s="3983"/>
      <c r="I31" s="4057"/>
      <c r="J31" s="4057"/>
      <c r="K31" s="4057"/>
    </row>
    <row r="32" spans="1:23" ht="13" x14ac:dyDescent="0.2">
      <c r="A32" s="723">
        <v>5</v>
      </c>
      <c r="B32" s="723" t="s">
        <v>56</v>
      </c>
      <c r="C32" s="723"/>
    </row>
    <row r="33" spans="18:18" x14ac:dyDescent="0.2">
      <c r="R33" s="4026"/>
    </row>
    <row r="34" spans="18:18" x14ac:dyDescent="0.2">
      <c r="R34" s="4026"/>
    </row>
    <row r="35" spans="18:18" x14ac:dyDescent="0.2">
      <c r="R35" s="4026"/>
    </row>
    <row r="36" spans="18:18" x14ac:dyDescent="0.2">
      <c r="R36" s="4026"/>
    </row>
    <row r="37" spans="18:18" x14ac:dyDescent="0.2">
      <c r="R37" s="4026"/>
    </row>
    <row r="38" spans="18:18" x14ac:dyDescent="0.2">
      <c r="R38" s="4026"/>
    </row>
    <row r="39" spans="18:18" x14ac:dyDescent="0.2">
      <c r="R39" s="4026"/>
    </row>
    <row r="40" spans="18:18" x14ac:dyDescent="0.2">
      <c r="R40" s="4026"/>
    </row>
    <row r="41" spans="18:18" x14ac:dyDescent="0.2">
      <c r="R41" s="4026"/>
    </row>
    <row r="42" spans="18:18" x14ac:dyDescent="0.2">
      <c r="R42" s="4026"/>
    </row>
    <row r="43" spans="18:18" x14ac:dyDescent="0.2">
      <c r="R43" s="4026"/>
    </row>
    <row r="44" spans="18:18" x14ac:dyDescent="0.2">
      <c r="R44" s="4026"/>
    </row>
    <row r="45" spans="18:18" x14ac:dyDescent="0.2">
      <c r="R45" s="4026"/>
    </row>
    <row r="50" spans="1:23" x14ac:dyDescent="0.2">
      <c r="U50" s="4064"/>
    </row>
    <row r="54" spans="1:23" s="3997" customFormat="1" ht="12.75" customHeight="1" x14ac:dyDescent="0.25">
      <c r="A54" s="3982"/>
      <c r="B54" s="3983"/>
      <c r="C54" s="3983"/>
      <c r="D54" s="3980"/>
      <c r="E54" s="3980"/>
      <c r="F54" s="4031"/>
      <c r="G54" s="4031"/>
      <c r="H54" s="4031"/>
      <c r="I54" s="4031"/>
      <c r="J54" s="4031"/>
      <c r="K54" s="4031"/>
      <c r="L54" s="4065"/>
      <c r="M54" s="4065"/>
      <c r="N54" s="4065"/>
      <c r="O54" s="4065"/>
      <c r="P54" s="4065"/>
      <c r="Q54" s="4065"/>
      <c r="R54" s="4065"/>
      <c r="S54" s="4065"/>
      <c r="T54" s="4065"/>
      <c r="U54" s="4065"/>
      <c r="V54" s="4003"/>
      <c r="W54" s="4003"/>
    </row>
    <row r="55" spans="1:23" s="3997" customFormat="1" ht="13" x14ac:dyDescent="0.25">
      <c r="A55" s="723">
        <v>6</v>
      </c>
      <c r="B55" s="723" t="s">
        <v>58</v>
      </c>
      <c r="C55" s="723"/>
      <c r="D55" s="5068" t="s">
        <v>1652</v>
      </c>
      <c r="E55" s="5069"/>
      <c r="F55" s="5069"/>
      <c r="G55" s="5069"/>
      <c r="H55" s="5069"/>
      <c r="I55" s="5069"/>
      <c r="J55" s="5069"/>
      <c r="K55" s="5069"/>
      <c r="L55" s="5069"/>
      <c r="M55" s="5069"/>
      <c r="N55" s="5069"/>
      <c r="O55" s="5069"/>
      <c r="P55" s="5069"/>
      <c r="Q55" s="5069"/>
      <c r="R55" s="5069"/>
      <c r="S55" s="5069"/>
      <c r="T55" s="5069"/>
      <c r="U55" s="5070"/>
      <c r="V55" s="4003"/>
      <c r="W55" s="4003"/>
    </row>
    <row r="56" spans="1:23" s="3997" customFormat="1" ht="57.75" customHeight="1" x14ac:dyDescent="0.25">
      <c r="A56" s="723">
        <v>7</v>
      </c>
      <c r="B56" s="723" t="s">
        <v>62</v>
      </c>
      <c r="C56" s="723"/>
      <c r="D56" s="5068" t="s">
        <v>1653</v>
      </c>
      <c r="E56" s="5069"/>
      <c r="F56" s="5069"/>
      <c r="G56" s="5069"/>
      <c r="H56" s="5069"/>
      <c r="I56" s="5069"/>
      <c r="J56" s="5069"/>
      <c r="K56" s="5069"/>
      <c r="L56" s="5069"/>
      <c r="M56" s="5069"/>
      <c r="N56" s="5069"/>
      <c r="O56" s="5069"/>
      <c r="P56" s="5069"/>
      <c r="Q56" s="5069"/>
      <c r="R56" s="5069"/>
      <c r="S56" s="5069"/>
      <c r="T56" s="5069"/>
      <c r="U56" s="5070"/>
      <c r="V56" s="4003"/>
      <c r="W56" s="4003"/>
    </row>
    <row r="57" spans="1:23" ht="13" x14ac:dyDescent="0.2">
      <c r="A57" s="723">
        <v>8</v>
      </c>
      <c r="B57" s="788" t="s">
        <v>278</v>
      </c>
      <c r="C57" s="788"/>
      <c r="D57" s="5068" t="s">
        <v>1654</v>
      </c>
      <c r="E57" s="5069"/>
      <c r="F57" s="5069"/>
      <c r="G57" s="5069"/>
      <c r="H57" s="5069"/>
      <c r="I57" s="5069"/>
      <c r="J57" s="5069"/>
      <c r="K57" s="5069"/>
      <c r="L57" s="5069"/>
      <c r="M57" s="5069"/>
      <c r="N57" s="5069"/>
      <c r="O57" s="5069"/>
      <c r="P57" s="5069"/>
      <c r="Q57" s="5069"/>
      <c r="R57" s="5069"/>
      <c r="S57" s="5069"/>
      <c r="T57" s="5069"/>
      <c r="U57" s="5070"/>
    </row>
    <row r="58" spans="1:23" s="3997" customFormat="1" ht="66" customHeight="1" x14ac:dyDescent="0.25">
      <c r="A58" s="723">
        <v>9</v>
      </c>
      <c r="B58" s="723" t="s">
        <v>60</v>
      </c>
      <c r="C58" s="723"/>
      <c r="D58" s="5068" t="s">
        <v>1655</v>
      </c>
      <c r="E58" s="5069"/>
      <c r="F58" s="5069"/>
      <c r="G58" s="5069"/>
      <c r="H58" s="5069"/>
      <c r="I58" s="5069"/>
      <c r="J58" s="5069"/>
      <c r="K58" s="5069"/>
      <c r="L58" s="5069"/>
      <c r="M58" s="5069"/>
      <c r="N58" s="5069"/>
      <c r="O58" s="5069"/>
      <c r="P58" s="5069"/>
      <c r="Q58" s="5069"/>
      <c r="R58" s="5069"/>
      <c r="S58" s="5069"/>
      <c r="T58" s="5069"/>
      <c r="U58" s="5070"/>
      <c r="V58" s="4003"/>
      <c r="W58" s="4003"/>
    </row>
    <row r="69" spans="4:25" ht="4.5" customHeight="1" x14ac:dyDescent="0.2">
      <c r="D69" s="4063"/>
      <c r="F69" s="3980"/>
      <c r="G69" s="3980"/>
      <c r="H69" s="3980"/>
      <c r="I69" s="3980"/>
      <c r="J69" s="3980"/>
      <c r="K69" s="3980"/>
    </row>
    <row r="70" spans="4:25" hidden="1" x14ac:dyDescent="0.2">
      <c r="D70" s="4063"/>
      <c r="F70" s="3980"/>
      <c r="G70" s="3980"/>
      <c r="H70" s="3980"/>
      <c r="I70" s="3980"/>
      <c r="J70" s="3980"/>
      <c r="K70" s="3980"/>
    </row>
    <row r="71" spans="4:25" hidden="1" x14ac:dyDescent="0.2"/>
    <row r="72" spans="4:25" x14ac:dyDescent="0.25">
      <c r="H72" s="4569">
        <v>2002</v>
      </c>
      <c r="I72" s="4569">
        <v>2003</v>
      </c>
      <c r="J72" s="4569">
        <v>2004</v>
      </c>
      <c r="K72" s="4569">
        <v>2005</v>
      </c>
      <c r="L72" s="4569">
        <v>2006</v>
      </c>
      <c r="M72" s="4569">
        <v>2007</v>
      </c>
      <c r="N72" s="4569">
        <v>2008</v>
      </c>
      <c r="O72" s="4570">
        <v>2009</v>
      </c>
      <c r="P72" s="4571">
        <v>2010</v>
      </c>
      <c r="Q72" s="4571">
        <v>2011</v>
      </c>
      <c r="R72" s="4571">
        <v>2012</v>
      </c>
      <c r="S72" s="4571">
        <v>2013</v>
      </c>
      <c r="T72" s="4571">
        <v>2014</v>
      </c>
      <c r="U72" s="4571">
        <v>2015</v>
      </c>
      <c r="V72" s="4571">
        <v>2016</v>
      </c>
      <c r="W72" s="4572">
        <v>2017</v>
      </c>
      <c r="X72" s="4572">
        <v>2018</v>
      </c>
      <c r="Y72" s="4573">
        <v>2019</v>
      </c>
    </row>
    <row r="73" spans="4:25" ht="40" x14ac:dyDescent="0.2">
      <c r="G73" s="4567" t="s">
        <v>1972</v>
      </c>
      <c r="H73" s="4559">
        <v>243.43899999999999</v>
      </c>
      <c r="I73" s="4559">
        <v>253.61799999999999</v>
      </c>
      <c r="J73" s="4559">
        <v>252.922</v>
      </c>
      <c r="K73" s="4559">
        <v>279.91500000000002</v>
      </c>
      <c r="L73" s="4559">
        <v>339.43299999999999</v>
      </c>
      <c r="M73" s="4559">
        <v>350.51</v>
      </c>
      <c r="N73" s="4559">
        <v>350.786</v>
      </c>
      <c r="O73" s="4559">
        <v>342.245</v>
      </c>
      <c r="P73" s="4559">
        <v>338.97399999999999</v>
      </c>
      <c r="Q73" s="4559">
        <v>330.24200000000002</v>
      </c>
      <c r="R73" s="4559">
        <v>364.51299999999998</v>
      </c>
      <c r="S73" s="4559">
        <v>386.24799999999999</v>
      </c>
      <c r="T73" s="4559">
        <v>394.30099999999999</v>
      </c>
      <c r="U73" s="4559">
        <v>367.05900000000003</v>
      </c>
      <c r="V73" s="4559">
        <v>375.90899999999999</v>
      </c>
      <c r="W73" s="4559">
        <v>345.13900000000001</v>
      </c>
      <c r="X73" s="4559">
        <v>358.76400000000001</v>
      </c>
      <c r="Y73" s="4559">
        <v>354.93700000000001</v>
      </c>
    </row>
    <row r="74" spans="4:25" ht="20" x14ac:dyDescent="0.2">
      <c r="G74" s="4568" t="s">
        <v>1640</v>
      </c>
      <c r="H74" s="4561"/>
      <c r="I74" s="4562"/>
      <c r="J74" s="4563"/>
      <c r="K74" s="4562">
        <v>507384</v>
      </c>
      <c r="L74" s="4562">
        <v>553712</v>
      </c>
      <c r="M74" s="4562">
        <v>569688</v>
      </c>
      <c r="N74" s="4562">
        <v>609021</v>
      </c>
      <c r="O74" s="4564">
        <v>547934</v>
      </c>
      <c r="P74" s="4564">
        <v>603022</v>
      </c>
      <c r="Q74" s="4564">
        <v>622929</v>
      </c>
      <c r="R74" s="4564">
        <v>646390</v>
      </c>
      <c r="S74" s="4564">
        <v>657766</v>
      </c>
      <c r="T74" s="4564">
        <v>681915</v>
      </c>
      <c r="U74" s="4564">
        <v>668651</v>
      </c>
      <c r="V74" s="4565">
        <v>705871</v>
      </c>
      <c r="W74" s="4566">
        <v>681619</v>
      </c>
      <c r="X74" s="4566">
        <v>739657</v>
      </c>
      <c r="Y74" s="4560"/>
    </row>
    <row r="75" spans="4:25" ht="30" x14ac:dyDescent="0.2">
      <c r="G75" s="4013" t="s">
        <v>1648</v>
      </c>
      <c r="H75" s="4013"/>
      <c r="J75" s="4057"/>
      <c r="K75" s="1730">
        <v>2.9000000000000001E-2</v>
      </c>
      <c r="L75" s="1730">
        <v>0.03</v>
      </c>
      <c r="M75" s="1730">
        <v>0.03</v>
      </c>
      <c r="N75" s="1730">
        <v>0.03</v>
      </c>
      <c r="O75" s="1730">
        <v>2.9000000000000001E-2</v>
      </c>
      <c r="P75" s="1730">
        <v>0.03</v>
      </c>
      <c r="Q75" s="4062">
        <v>2.8000000000000001E-2</v>
      </c>
      <c r="R75" s="4062">
        <v>2.9000000000000001E-2</v>
      </c>
      <c r="S75" s="4062">
        <v>2.9000000000000001E-2</v>
      </c>
      <c r="T75" s="4062">
        <v>0.03</v>
      </c>
      <c r="U75" s="4042">
        <v>2.7E-2</v>
      </c>
      <c r="V75" s="4042">
        <v>2.9000000000000001E-2</v>
      </c>
      <c r="W75" s="4398">
        <v>2.5999999999999999E-2</v>
      </c>
      <c r="X75" s="4398">
        <v>2.7E-2</v>
      </c>
    </row>
  </sheetData>
  <mergeCells count="6">
    <mergeCell ref="D58:U58"/>
    <mergeCell ref="D3:U3"/>
    <mergeCell ref="D4:U4"/>
    <mergeCell ref="D55:U55"/>
    <mergeCell ref="D56:U56"/>
    <mergeCell ref="D57:U57"/>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7" tint="-0.499984740745262"/>
    <pageSetUpPr fitToPage="1"/>
  </sheetPr>
  <dimension ref="A1:Y65"/>
  <sheetViews>
    <sheetView showGridLines="0" view="pageBreakPreview" topLeftCell="C1" zoomScaleNormal="100" zoomScaleSheetLayoutView="100" workbookViewId="0">
      <selection activeCell="S38" sqref="S38"/>
    </sheetView>
  </sheetViews>
  <sheetFormatPr defaultColWidth="9.1796875" defaultRowHeight="10.5" x14ac:dyDescent="0.2"/>
  <cols>
    <col min="1" max="1" width="3.7265625" style="3982" customWidth="1"/>
    <col min="2" max="2" width="14.453125" style="3983" customWidth="1"/>
    <col min="3" max="3" width="3.7265625" style="3983" customWidth="1"/>
    <col min="4" max="4" width="17.26953125" style="3980" customWidth="1"/>
    <col min="5" max="5" width="8.7265625" style="3980" customWidth="1"/>
    <col min="6" max="6" width="7.54296875" style="3980" customWidth="1"/>
    <col min="7" max="7" width="6.7265625" style="3980" customWidth="1"/>
    <col min="8" max="8" width="6.36328125" style="3980" customWidth="1"/>
    <col min="9" max="10" width="6.453125" style="3980" customWidth="1"/>
    <col min="11" max="11" width="6.26953125" style="3980" customWidth="1"/>
    <col min="12" max="12" width="6.54296875" style="3980" customWidth="1"/>
    <col min="13" max="13" width="6.81640625" style="3980" customWidth="1"/>
    <col min="14" max="14" width="7" style="3980" customWidth="1"/>
    <col min="15" max="15" width="6.36328125" style="3980" customWidth="1"/>
    <col min="16" max="16" width="7.1796875" style="3980" customWidth="1"/>
    <col min="17" max="17" width="6.453125" style="3980" customWidth="1"/>
    <col min="18" max="18" width="6.26953125" style="3980" customWidth="1"/>
    <col min="19" max="19" width="7.81640625" style="3980" customWidth="1"/>
    <col min="20" max="20" width="6.7265625" style="3980" customWidth="1"/>
    <col min="21" max="21" width="7.1796875" style="3980" customWidth="1"/>
    <col min="22" max="22" width="7" style="3980" customWidth="1"/>
    <col min="23" max="23" width="6.54296875" style="3980" bestFit="1" customWidth="1"/>
    <col min="24" max="24" width="7.7265625" style="3980" customWidth="1"/>
    <col min="25" max="25" width="7.453125" style="3980" customWidth="1"/>
    <col min="26" max="257" width="9.1796875" style="3980"/>
    <col min="258" max="258" width="3.7265625" style="3980" customWidth="1"/>
    <col min="259" max="259" width="14.453125" style="3980" customWidth="1"/>
    <col min="260" max="260" width="3.7265625" style="3980" customWidth="1"/>
    <col min="261" max="261" width="22.54296875" style="3980" customWidth="1"/>
    <col min="262" max="271" width="8.7265625" style="3980" customWidth="1"/>
    <col min="272" max="513" width="9.1796875" style="3980"/>
    <col min="514" max="514" width="3.7265625" style="3980" customWidth="1"/>
    <col min="515" max="515" width="14.453125" style="3980" customWidth="1"/>
    <col min="516" max="516" width="3.7265625" style="3980" customWidth="1"/>
    <col min="517" max="517" width="22.54296875" style="3980" customWidth="1"/>
    <col min="518" max="527" width="8.7265625" style="3980" customWidth="1"/>
    <col min="528" max="769" width="9.1796875" style="3980"/>
    <col min="770" max="770" width="3.7265625" style="3980" customWidth="1"/>
    <col min="771" max="771" width="14.453125" style="3980" customWidth="1"/>
    <col min="772" max="772" width="3.7265625" style="3980" customWidth="1"/>
    <col min="773" max="773" width="22.54296875" style="3980" customWidth="1"/>
    <col min="774" max="783" width="8.7265625" style="3980" customWidth="1"/>
    <col min="784" max="1025" width="9.1796875" style="3980"/>
    <col min="1026" max="1026" width="3.7265625" style="3980" customWidth="1"/>
    <col min="1027" max="1027" width="14.453125" style="3980" customWidth="1"/>
    <col min="1028" max="1028" width="3.7265625" style="3980" customWidth="1"/>
    <col min="1029" max="1029" width="22.54296875" style="3980" customWidth="1"/>
    <col min="1030" max="1039" width="8.7265625" style="3980" customWidth="1"/>
    <col min="1040" max="1281" width="9.1796875" style="3980"/>
    <col min="1282" max="1282" width="3.7265625" style="3980" customWidth="1"/>
    <col min="1283" max="1283" width="14.453125" style="3980" customWidth="1"/>
    <col min="1284" max="1284" width="3.7265625" style="3980" customWidth="1"/>
    <col min="1285" max="1285" width="22.54296875" style="3980" customWidth="1"/>
    <col min="1286" max="1295" width="8.7265625" style="3980" customWidth="1"/>
    <col min="1296" max="1537" width="9.1796875" style="3980"/>
    <col min="1538" max="1538" width="3.7265625" style="3980" customWidth="1"/>
    <col min="1539" max="1539" width="14.453125" style="3980" customWidth="1"/>
    <col min="1540" max="1540" width="3.7265625" style="3980" customWidth="1"/>
    <col min="1541" max="1541" width="22.54296875" style="3980" customWidth="1"/>
    <col min="1542" max="1551" width="8.7265625" style="3980" customWidth="1"/>
    <col min="1552" max="1793" width="9.1796875" style="3980"/>
    <col min="1794" max="1794" width="3.7265625" style="3980" customWidth="1"/>
    <col min="1795" max="1795" width="14.453125" style="3980" customWidth="1"/>
    <col min="1796" max="1796" width="3.7265625" style="3980" customWidth="1"/>
    <col min="1797" max="1797" width="22.54296875" style="3980" customWidth="1"/>
    <col min="1798" max="1807" width="8.7265625" style="3980" customWidth="1"/>
    <col min="1808" max="2049" width="9.1796875" style="3980"/>
    <col min="2050" max="2050" width="3.7265625" style="3980" customWidth="1"/>
    <col min="2051" max="2051" width="14.453125" style="3980" customWidth="1"/>
    <col min="2052" max="2052" width="3.7265625" style="3980" customWidth="1"/>
    <col min="2053" max="2053" width="22.54296875" style="3980" customWidth="1"/>
    <col min="2054" max="2063" width="8.7265625" style="3980" customWidth="1"/>
    <col min="2064" max="2305" width="9.1796875" style="3980"/>
    <col min="2306" max="2306" width="3.7265625" style="3980" customWidth="1"/>
    <col min="2307" max="2307" width="14.453125" style="3980" customWidth="1"/>
    <col min="2308" max="2308" width="3.7265625" style="3980" customWidth="1"/>
    <col min="2309" max="2309" width="22.54296875" style="3980" customWidth="1"/>
    <col min="2310" max="2319" width="8.7265625" style="3980" customWidth="1"/>
    <col min="2320" max="2561" width="9.1796875" style="3980"/>
    <col min="2562" max="2562" width="3.7265625" style="3980" customWidth="1"/>
    <col min="2563" max="2563" width="14.453125" style="3980" customWidth="1"/>
    <col min="2564" max="2564" width="3.7265625" style="3980" customWidth="1"/>
    <col min="2565" max="2565" width="22.54296875" style="3980" customWidth="1"/>
    <col min="2566" max="2575" width="8.7265625" style="3980" customWidth="1"/>
    <col min="2576" max="2817" width="9.1796875" style="3980"/>
    <col min="2818" max="2818" width="3.7265625" style="3980" customWidth="1"/>
    <col min="2819" max="2819" width="14.453125" style="3980" customWidth="1"/>
    <col min="2820" max="2820" width="3.7265625" style="3980" customWidth="1"/>
    <col min="2821" max="2821" width="22.54296875" style="3980" customWidth="1"/>
    <col min="2822" max="2831" width="8.7265625" style="3980" customWidth="1"/>
    <col min="2832" max="3073" width="9.1796875" style="3980"/>
    <col min="3074" max="3074" width="3.7265625" style="3980" customWidth="1"/>
    <col min="3075" max="3075" width="14.453125" style="3980" customWidth="1"/>
    <col min="3076" max="3076" width="3.7265625" style="3980" customWidth="1"/>
    <col min="3077" max="3077" width="22.54296875" style="3980" customWidth="1"/>
    <col min="3078" max="3087" width="8.7265625" style="3980" customWidth="1"/>
    <col min="3088" max="3329" width="9.1796875" style="3980"/>
    <col min="3330" max="3330" width="3.7265625" style="3980" customWidth="1"/>
    <col min="3331" max="3331" width="14.453125" style="3980" customWidth="1"/>
    <col min="3332" max="3332" width="3.7265625" style="3980" customWidth="1"/>
    <col min="3333" max="3333" width="22.54296875" style="3980" customWidth="1"/>
    <col min="3334" max="3343" width="8.7265625" style="3980" customWidth="1"/>
    <col min="3344" max="3585" width="9.1796875" style="3980"/>
    <col min="3586" max="3586" width="3.7265625" style="3980" customWidth="1"/>
    <col min="3587" max="3587" width="14.453125" style="3980" customWidth="1"/>
    <col min="3588" max="3588" width="3.7265625" style="3980" customWidth="1"/>
    <col min="3589" max="3589" width="22.54296875" style="3980" customWidth="1"/>
    <col min="3590" max="3599" width="8.7265625" style="3980" customWidth="1"/>
    <col min="3600" max="3841" width="9.1796875" style="3980"/>
    <col min="3842" max="3842" width="3.7265625" style="3980" customWidth="1"/>
    <col min="3843" max="3843" width="14.453125" style="3980" customWidth="1"/>
    <col min="3844" max="3844" width="3.7265625" style="3980" customWidth="1"/>
    <col min="3845" max="3845" width="22.54296875" style="3980" customWidth="1"/>
    <col min="3846" max="3855" width="8.7265625" style="3980" customWidth="1"/>
    <col min="3856" max="4097" width="9.1796875" style="3980"/>
    <col min="4098" max="4098" width="3.7265625" style="3980" customWidth="1"/>
    <col min="4099" max="4099" width="14.453125" style="3980" customWidth="1"/>
    <col min="4100" max="4100" width="3.7265625" style="3980" customWidth="1"/>
    <col min="4101" max="4101" width="22.54296875" style="3980" customWidth="1"/>
    <col min="4102" max="4111" width="8.7265625" style="3980" customWidth="1"/>
    <col min="4112" max="4353" width="9.1796875" style="3980"/>
    <col min="4354" max="4354" width="3.7265625" style="3980" customWidth="1"/>
    <col min="4355" max="4355" width="14.453125" style="3980" customWidth="1"/>
    <col min="4356" max="4356" width="3.7265625" style="3980" customWidth="1"/>
    <col min="4357" max="4357" width="22.54296875" style="3980" customWidth="1"/>
    <col min="4358" max="4367" width="8.7265625" style="3980" customWidth="1"/>
    <col min="4368" max="4609" width="9.1796875" style="3980"/>
    <col min="4610" max="4610" width="3.7265625" style="3980" customWidth="1"/>
    <col min="4611" max="4611" width="14.453125" style="3980" customWidth="1"/>
    <col min="4612" max="4612" width="3.7265625" style="3980" customWidth="1"/>
    <col min="4613" max="4613" width="22.54296875" style="3980" customWidth="1"/>
    <col min="4614" max="4623" width="8.7265625" style="3980" customWidth="1"/>
    <col min="4624" max="4865" width="9.1796875" style="3980"/>
    <col min="4866" max="4866" width="3.7265625" style="3980" customWidth="1"/>
    <col min="4867" max="4867" width="14.453125" style="3980" customWidth="1"/>
    <col min="4868" max="4868" width="3.7265625" style="3980" customWidth="1"/>
    <col min="4869" max="4869" width="22.54296875" style="3980" customWidth="1"/>
    <col min="4870" max="4879" width="8.7265625" style="3980" customWidth="1"/>
    <col min="4880" max="5121" width="9.1796875" style="3980"/>
    <col min="5122" max="5122" width="3.7265625" style="3980" customWidth="1"/>
    <col min="5123" max="5123" width="14.453125" style="3980" customWidth="1"/>
    <col min="5124" max="5124" width="3.7265625" style="3980" customWidth="1"/>
    <col min="5125" max="5125" width="22.54296875" style="3980" customWidth="1"/>
    <col min="5126" max="5135" width="8.7265625" style="3980" customWidth="1"/>
    <col min="5136" max="5377" width="9.1796875" style="3980"/>
    <col min="5378" max="5378" width="3.7265625" style="3980" customWidth="1"/>
    <col min="5379" max="5379" width="14.453125" style="3980" customWidth="1"/>
    <col min="5380" max="5380" width="3.7265625" style="3980" customWidth="1"/>
    <col min="5381" max="5381" width="22.54296875" style="3980" customWidth="1"/>
    <col min="5382" max="5391" width="8.7265625" style="3980" customWidth="1"/>
    <col min="5392" max="5633" width="9.1796875" style="3980"/>
    <col min="5634" max="5634" width="3.7265625" style="3980" customWidth="1"/>
    <col min="5635" max="5635" width="14.453125" style="3980" customWidth="1"/>
    <col min="5636" max="5636" width="3.7265625" style="3980" customWidth="1"/>
    <col min="5637" max="5637" width="22.54296875" style="3980" customWidth="1"/>
    <col min="5638" max="5647" width="8.7265625" style="3980" customWidth="1"/>
    <col min="5648" max="5889" width="9.1796875" style="3980"/>
    <col min="5890" max="5890" width="3.7265625" style="3980" customWidth="1"/>
    <col min="5891" max="5891" width="14.453125" style="3980" customWidth="1"/>
    <col min="5892" max="5892" width="3.7265625" style="3980" customWidth="1"/>
    <col min="5893" max="5893" width="22.54296875" style="3980" customWidth="1"/>
    <col min="5894" max="5903" width="8.7265625" style="3980" customWidth="1"/>
    <col min="5904" max="6145" width="9.1796875" style="3980"/>
    <col min="6146" max="6146" width="3.7265625" style="3980" customWidth="1"/>
    <col min="6147" max="6147" width="14.453125" style="3980" customWidth="1"/>
    <col min="6148" max="6148" width="3.7265625" style="3980" customWidth="1"/>
    <col min="6149" max="6149" width="22.54296875" style="3980" customWidth="1"/>
    <col min="6150" max="6159" width="8.7265625" style="3980" customWidth="1"/>
    <col min="6160" max="6401" width="9.1796875" style="3980"/>
    <col min="6402" max="6402" width="3.7265625" style="3980" customWidth="1"/>
    <col min="6403" max="6403" width="14.453125" style="3980" customWidth="1"/>
    <col min="6404" max="6404" width="3.7265625" style="3980" customWidth="1"/>
    <col min="6405" max="6405" width="22.54296875" style="3980" customWidth="1"/>
    <col min="6406" max="6415" width="8.7265625" style="3980" customWidth="1"/>
    <col min="6416" max="6657" width="9.1796875" style="3980"/>
    <col min="6658" max="6658" width="3.7265625" style="3980" customWidth="1"/>
    <col min="6659" max="6659" width="14.453125" style="3980" customWidth="1"/>
    <col min="6660" max="6660" width="3.7265625" style="3980" customWidth="1"/>
    <col min="6661" max="6661" width="22.54296875" style="3980" customWidth="1"/>
    <col min="6662" max="6671" width="8.7265625" style="3980" customWidth="1"/>
    <col min="6672" max="6913" width="9.1796875" style="3980"/>
    <col min="6914" max="6914" width="3.7265625" style="3980" customWidth="1"/>
    <col min="6915" max="6915" width="14.453125" style="3980" customWidth="1"/>
    <col min="6916" max="6916" width="3.7265625" style="3980" customWidth="1"/>
    <col min="6917" max="6917" width="22.54296875" style="3980" customWidth="1"/>
    <col min="6918" max="6927" width="8.7265625" style="3980" customWidth="1"/>
    <col min="6928" max="7169" width="9.1796875" style="3980"/>
    <col min="7170" max="7170" width="3.7265625" style="3980" customWidth="1"/>
    <col min="7171" max="7171" width="14.453125" style="3980" customWidth="1"/>
    <col min="7172" max="7172" width="3.7265625" style="3980" customWidth="1"/>
    <col min="7173" max="7173" width="22.54296875" style="3980" customWidth="1"/>
    <col min="7174" max="7183" width="8.7265625" style="3980" customWidth="1"/>
    <col min="7184" max="7425" width="9.1796875" style="3980"/>
    <col min="7426" max="7426" width="3.7265625" style="3980" customWidth="1"/>
    <col min="7427" max="7427" width="14.453125" style="3980" customWidth="1"/>
    <col min="7428" max="7428" width="3.7265625" style="3980" customWidth="1"/>
    <col min="7429" max="7429" width="22.54296875" style="3980" customWidth="1"/>
    <col min="7430" max="7439" width="8.7265625" style="3980" customWidth="1"/>
    <col min="7440" max="7681" width="9.1796875" style="3980"/>
    <col min="7682" max="7682" width="3.7265625" style="3980" customWidth="1"/>
    <col min="7683" max="7683" width="14.453125" style="3980" customWidth="1"/>
    <col min="7684" max="7684" width="3.7265625" style="3980" customWidth="1"/>
    <col min="7685" max="7685" width="22.54296875" style="3980" customWidth="1"/>
    <col min="7686" max="7695" width="8.7265625" style="3980" customWidth="1"/>
    <col min="7696" max="7937" width="9.1796875" style="3980"/>
    <col min="7938" max="7938" width="3.7265625" style="3980" customWidth="1"/>
    <col min="7939" max="7939" width="14.453125" style="3980" customWidth="1"/>
    <col min="7940" max="7940" width="3.7265625" style="3980" customWidth="1"/>
    <col min="7941" max="7941" width="22.54296875" style="3980" customWidth="1"/>
    <col min="7942" max="7951" width="8.7265625" style="3980" customWidth="1"/>
    <col min="7952" max="8193" width="9.1796875" style="3980"/>
    <col min="8194" max="8194" width="3.7265625" style="3980" customWidth="1"/>
    <col min="8195" max="8195" width="14.453125" style="3980" customWidth="1"/>
    <col min="8196" max="8196" width="3.7265625" style="3980" customWidth="1"/>
    <col min="8197" max="8197" width="22.54296875" style="3980" customWidth="1"/>
    <col min="8198" max="8207" width="8.7265625" style="3980" customWidth="1"/>
    <col min="8208" max="8449" width="9.1796875" style="3980"/>
    <col min="8450" max="8450" width="3.7265625" style="3980" customWidth="1"/>
    <col min="8451" max="8451" width="14.453125" style="3980" customWidth="1"/>
    <col min="8452" max="8452" width="3.7265625" style="3980" customWidth="1"/>
    <col min="8453" max="8453" width="22.54296875" style="3980" customWidth="1"/>
    <col min="8454" max="8463" width="8.7265625" style="3980" customWidth="1"/>
    <col min="8464" max="8705" width="9.1796875" style="3980"/>
    <col min="8706" max="8706" width="3.7265625" style="3980" customWidth="1"/>
    <col min="8707" max="8707" width="14.453125" style="3980" customWidth="1"/>
    <col min="8708" max="8708" width="3.7265625" style="3980" customWidth="1"/>
    <col min="8709" max="8709" width="22.54296875" style="3980" customWidth="1"/>
    <col min="8710" max="8719" width="8.7265625" style="3980" customWidth="1"/>
    <col min="8720" max="8961" width="9.1796875" style="3980"/>
    <col min="8962" max="8962" width="3.7265625" style="3980" customWidth="1"/>
    <col min="8963" max="8963" width="14.453125" style="3980" customWidth="1"/>
    <col min="8964" max="8964" width="3.7265625" style="3980" customWidth="1"/>
    <col min="8965" max="8965" width="22.54296875" style="3980" customWidth="1"/>
    <col min="8966" max="8975" width="8.7265625" style="3980" customWidth="1"/>
    <col min="8976" max="9217" width="9.1796875" style="3980"/>
    <col min="9218" max="9218" width="3.7265625" style="3980" customWidth="1"/>
    <col min="9219" max="9219" width="14.453125" style="3980" customWidth="1"/>
    <col min="9220" max="9220" width="3.7265625" style="3980" customWidth="1"/>
    <col min="9221" max="9221" width="22.54296875" style="3980" customWidth="1"/>
    <col min="9222" max="9231" width="8.7265625" style="3980" customWidth="1"/>
    <col min="9232" max="9473" width="9.1796875" style="3980"/>
    <col min="9474" max="9474" width="3.7265625" style="3980" customWidth="1"/>
    <col min="9475" max="9475" width="14.453125" style="3980" customWidth="1"/>
    <col min="9476" max="9476" width="3.7265625" style="3980" customWidth="1"/>
    <col min="9477" max="9477" width="22.54296875" style="3980" customWidth="1"/>
    <col min="9478" max="9487" width="8.7265625" style="3980" customWidth="1"/>
    <col min="9488" max="9729" width="9.1796875" style="3980"/>
    <col min="9730" max="9730" width="3.7265625" style="3980" customWidth="1"/>
    <col min="9731" max="9731" width="14.453125" style="3980" customWidth="1"/>
    <col min="9732" max="9732" width="3.7265625" style="3980" customWidth="1"/>
    <col min="9733" max="9733" width="22.54296875" style="3980" customWidth="1"/>
    <col min="9734" max="9743" width="8.7265625" style="3980" customWidth="1"/>
    <col min="9744" max="9985" width="9.1796875" style="3980"/>
    <col min="9986" max="9986" width="3.7265625" style="3980" customWidth="1"/>
    <col min="9987" max="9987" width="14.453125" style="3980" customWidth="1"/>
    <col min="9988" max="9988" width="3.7265625" style="3980" customWidth="1"/>
    <col min="9989" max="9989" width="22.54296875" style="3980" customWidth="1"/>
    <col min="9990" max="9999" width="8.7265625" style="3980" customWidth="1"/>
    <col min="10000" max="10241" width="9.1796875" style="3980"/>
    <col min="10242" max="10242" width="3.7265625" style="3980" customWidth="1"/>
    <col min="10243" max="10243" width="14.453125" style="3980" customWidth="1"/>
    <col min="10244" max="10244" width="3.7265625" style="3980" customWidth="1"/>
    <col min="10245" max="10245" width="22.54296875" style="3980" customWidth="1"/>
    <col min="10246" max="10255" width="8.7265625" style="3980" customWidth="1"/>
    <col min="10256" max="10497" width="9.1796875" style="3980"/>
    <col min="10498" max="10498" width="3.7265625" style="3980" customWidth="1"/>
    <col min="10499" max="10499" width="14.453125" style="3980" customWidth="1"/>
    <col min="10500" max="10500" width="3.7265625" style="3980" customWidth="1"/>
    <col min="10501" max="10501" width="22.54296875" style="3980" customWidth="1"/>
    <col min="10502" max="10511" width="8.7265625" style="3980" customWidth="1"/>
    <col min="10512" max="10753" width="9.1796875" style="3980"/>
    <col min="10754" max="10754" width="3.7265625" style="3980" customWidth="1"/>
    <col min="10755" max="10755" width="14.453125" style="3980" customWidth="1"/>
    <col min="10756" max="10756" width="3.7265625" style="3980" customWidth="1"/>
    <col min="10757" max="10757" width="22.54296875" style="3980" customWidth="1"/>
    <col min="10758" max="10767" width="8.7265625" style="3980" customWidth="1"/>
    <col min="10768" max="11009" width="9.1796875" style="3980"/>
    <col min="11010" max="11010" width="3.7265625" style="3980" customWidth="1"/>
    <col min="11011" max="11011" width="14.453125" style="3980" customWidth="1"/>
    <col min="11012" max="11012" width="3.7265625" style="3980" customWidth="1"/>
    <col min="11013" max="11013" width="22.54296875" style="3980" customWidth="1"/>
    <col min="11014" max="11023" width="8.7265625" style="3980" customWidth="1"/>
    <col min="11024" max="11265" width="9.1796875" style="3980"/>
    <col min="11266" max="11266" width="3.7265625" style="3980" customWidth="1"/>
    <col min="11267" max="11267" width="14.453125" style="3980" customWidth="1"/>
    <col min="11268" max="11268" width="3.7265625" style="3980" customWidth="1"/>
    <col min="11269" max="11269" width="22.54296875" style="3980" customWidth="1"/>
    <col min="11270" max="11279" width="8.7265625" style="3980" customWidth="1"/>
    <col min="11280" max="11521" width="9.1796875" style="3980"/>
    <col min="11522" max="11522" width="3.7265625" style="3980" customWidth="1"/>
    <col min="11523" max="11523" width="14.453125" style="3980" customWidth="1"/>
    <col min="11524" max="11524" width="3.7265625" style="3980" customWidth="1"/>
    <col min="11525" max="11525" width="22.54296875" style="3980" customWidth="1"/>
    <col min="11526" max="11535" width="8.7265625" style="3980" customWidth="1"/>
    <col min="11536" max="11777" width="9.1796875" style="3980"/>
    <col min="11778" max="11778" width="3.7265625" style="3980" customWidth="1"/>
    <col min="11779" max="11779" width="14.453125" style="3980" customWidth="1"/>
    <col min="11780" max="11780" width="3.7265625" style="3980" customWidth="1"/>
    <col min="11781" max="11781" width="22.54296875" style="3980" customWidth="1"/>
    <col min="11782" max="11791" width="8.7265625" style="3980" customWidth="1"/>
    <col min="11792" max="12033" width="9.1796875" style="3980"/>
    <col min="12034" max="12034" width="3.7265625" style="3980" customWidth="1"/>
    <col min="12035" max="12035" width="14.453125" style="3980" customWidth="1"/>
    <col min="12036" max="12036" width="3.7265625" style="3980" customWidth="1"/>
    <col min="12037" max="12037" width="22.54296875" style="3980" customWidth="1"/>
    <col min="12038" max="12047" width="8.7265625" style="3980" customWidth="1"/>
    <col min="12048" max="12289" width="9.1796875" style="3980"/>
    <col min="12290" max="12290" width="3.7265625" style="3980" customWidth="1"/>
    <col min="12291" max="12291" width="14.453125" style="3980" customWidth="1"/>
    <col min="12292" max="12292" width="3.7265625" style="3980" customWidth="1"/>
    <col min="12293" max="12293" width="22.54296875" style="3980" customWidth="1"/>
    <col min="12294" max="12303" width="8.7265625" style="3980" customWidth="1"/>
    <col min="12304" max="12545" width="9.1796875" style="3980"/>
    <col min="12546" max="12546" width="3.7265625" style="3980" customWidth="1"/>
    <col min="12547" max="12547" width="14.453125" style="3980" customWidth="1"/>
    <col min="12548" max="12548" width="3.7265625" style="3980" customWidth="1"/>
    <col min="12549" max="12549" width="22.54296875" style="3980" customWidth="1"/>
    <col min="12550" max="12559" width="8.7265625" style="3980" customWidth="1"/>
    <col min="12560" max="12801" width="9.1796875" style="3980"/>
    <col min="12802" max="12802" width="3.7265625" style="3980" customWidth="1"/>
    <col min="12803" max="12803" width="14.453125" style="3980" customWidth="1"/>
    <col min="12804" max="12804" width="3.7265625" style="3980" customWidth="1"/>
    <col min="12805" max="12805" width="22.54296875" style="3980" customWidth="1"/>
    <col min="12806" max="12815" width="8.7265625" style="3980" customWidth="1"/>
    <col min="12816" max="13057" width="9.1796875" style="3980"/>
    <col min="13058" max="13058" width="3.7265625" style="3980" customWidth="1"/>
    <col min="13059" max="13059" width="14.453125" style="3980" customWidth="1"/>
    <col min="13060" max="13060" width="3.7265625" style="3980" customWidth="1"/>
    <col min="13061" max="13061" width="22.54296875" style="3980" customWidth="1"/>
    <col min="13062" max="13071" width="8.7265625" style="3980" customWidth="1"/>
    <col min="13072" max="13313" width="9.1796875" style="3980"/>
    <col min="13314" max="13314" width="3.7265625" style="3980" customWidth="1"/>
    <col min="13315" max="13315" width="14.453125" style="3980" customWidth="1"/>
    <col min="13316" max="13316" width="3.7265625" style="3980" customWidth="1"/>
    <col min="13317" max="13317" width="22.54296875" style="3980" customWidth="1"/>
    <col min="13318" max="13327" width="8.7265625" style="3980" customWidth="1"/>
    <col min="13328" max="13569" width="9.1796875" style="3980"/>
    <col min="13570" max="13570" width="3.7265625" style="3980" customWidth="1"/>
    <col min="13571" max="13571" width="14.453125" style="3980" customWidth="1"/>
    <col min="13572" max="13572" width="3.7265625" style="3980" customWidth="1"/>
    <col min="13573" max="13573" width="22.54296875" style="3980" customWidth="1"/>
    <col min="13574" max="13583" width="8.7265625" style="3980" customWidth="1"/>
    <col min="13584" max="13825" width="9.1796875" style="3980"/>
    <col min="13826" max="13826" width="3.7265625" style="3980" customWidth="1"/>
    <col min="13827" max="13827" width="14.453125" style="3980" customWidth="1"/>
    <col min="13828" max="13828" width="3.7265625" style="3980" customWidth="1"/>
    <col min="13829" max="13829" width="22.54296875" style="3980" customWidth="1"/>
    <col min="13830" max="13839" width="8.7265625" style="3980" customWidth="1"/>
    <col min="13840" max="14081" width="9.1796875" style="3980"/>
    <col min="14082" max="14082" width="3.7265625" style="3980" customWidth="1"/>
    <col min="14083" max="14083" width="14.453125" style="3980" customWidth="1"/>
    <col min="14084" max="14084" width="3.7265625" style="3980" customWidth="1"/>
    <col min="14085" max="14085" width="22.54296875" style="3980" customWidth="1"/>
    <col min="14086" max="14095" width="8.7265625" style="3980" customWidth="1"/>
    <col min="14096" max="14337" width="9.1796875" style="3980"/>
    <col min="14338" max="14338" width="3.7265625" style="3980" customWidth="1"/>
    <col min="14339" max="14339" width="14.453125" style="3980" customWidth="1"/>
    <col min="14340" max="14340" width="3.7265625" style="3980" customWidth="1"/>
    <col min="14341" max="14341" width="22.54296875" style="3980" customWidth="1"/>
    <col min="14342" max="14351" width="8.7265625" style="3980" customWidth="1"/>
    <col min="14352" max="14593" width="9.1796875" style="3980"/>
    <col min="14594" max="14594" width="3.7265625" style="3980" customWidth="1"/>
    <col min="14595" max="14595" width="14.453125" style="3980" customWidth="1"/>
    <col min="14596" max="14596" width="3.7265625" style="3980" customWidth="1"/>
    <col min="14597" max="14597" width="22.54296875" style="3980" customWidth="1"/>
    <col min="14598" max="14607" width="8.7265625" style="3980" customWidth="1"/>
    <col min="14608" max="14849" width="9.1796875" style="3980"/>
    <col min="14850" max="14850" width="3.7265625" style="3980" customWidth="1"/>
    <col min="14851" max="14851" width="14.453125" style="3980" customWidth="1"/>
    <col min="14852" max="14852" width="3.7265625" style="3980" customWidth="1"/>
    <col min="14853" max="14853" width="22.54296875" style="3980" customWidth="1"/>
    <col min="14854" max="14863" width="8.7265625" style="3980" customWidth="1"/>
    <col min="14864" max="15105" width="9.1796875" style="3980"/>
    <col min="15106" max="15106" width="3.7265625" style="3980" customWidth="1"/>
    <col min="15107" max="15107" width="14.453125" style="3980" customWidth="1"/>
    <col min="15108" max="15108" width="3.7265625" style="3980" customWidth="1"/>
    <col min="15109" max="15109" width="22.54296875" style="3980" customWidth="1"/>
    <col min="15110" max="15119" width="8.7265625" style="3980" customWidth="1"/>
    <col min="15120" max="15361" width="9.1796875" style="3980"/>
    <col min="15362" max="15362" width="3.7265625" style="3980" customWidth="1"/>
    <col min="15363" max="15363" width="14.453125" style="3980" customWidth="1"/>
    <col min="15364" max="15364" width="3.7265625" style="3980" customWidth="1"/>
    <col min="15365" max="15365" width="22.54296875" style="3980" customWidth="1"/>
    <col min="15366" max="15375" width="8.7265625" style="3980" customWidth="1"/>
    <col min="15376" max="15617" width="9.1796875" style="3980"/>
    <col min="15618" max="15618" width="3.7265625" style="3980" customWidth="1"/>
    <col min="15619" max="15619" width="14.453125" style="3980" customWidth="1"/>
    <col min="15620" max="15620" width="3.7265625" style="3980" customWidth="1"/>
    <col min="15621" max="15621" width="22.54296875" style="3980" customWidth="1"/>
    <col min="15622" max="15631" width="8.7265625" style="3980" customWidth="1"/>
    <col min="15632" max="15873" width="9.1796875" style="3980"/>
    <col min="15874" max="15874" width="3.7265625" style="3980" customWidth="1"/>
    <col min="15875" max="15875" width="14.453125" style="3980" customWidth="1"/>
    <col min="15876" max="15876" width="3.7265625" style="3980" customWidth="1"/>
    <col min="15877" max="15877" width="22.54296875" style="3980" customWidth="1"/>
    <col min="15878" max="15887" width="8.7265625" style="3980" customWidth="1"/>
    <col min="15888" max="16129" width="9.1796875" style="3980"/>
    <col min="16130" max="16130" width="3.7265625" style="3980" customWidth="1"/>
    <col min="16131" max="16131" width="14.453125" style="3980" customWidth="1"/>
    <col min="16132" max="16132" width="3.7265625" style="3980" customWidth="1"/>
    <col min="16133" max="16133" width="22.54296875" style="3980" customWidth="1"/>
    <col min="16134" max="16143" width="8.7265625" style="3980" customWidth="1"/>
    <col min="16144" max="16384" width="9.1796875" style="3980"/>
  </cols>
  <sheetData>
    <row r="1" spans="1:22" ht="12.75" customHeight="1" x14ac:dyDescent="0.25">
      <c r="A1" s="723"/>
      <c r="B1" s="2047"/>
      <c r="C1" s="2047"/>
      <c r="D1" s="2051"/>
      <c r="E1" s="2051"/>
      <c r="F1" s="2051"/>
      <c r="G1" s="2051"/>
      <c r="H1" s="2051"/>
      <c r="I1" s="2051"/>
      <c r="J1" s="2051"/>
      <c r="K1" s="2051"/>
      <c r="L1" s="2051"/>
      <c r="M1" s="2051"/>
      <c r="N1" s="2051"/>
      <c r="O1" s="2051"/>
      <c r="P1" s="2051"/>
      <c r="Q1" s="2051"/>
      <c r="R1" s="2051"/>
      <c r="S1" s="2051"/>
      <c r="T1" s="2051"/>
      <c r="U1" s="2051"/>
    </row>
    <row r="2" spans="1:22" ht="16.5" customHeight="1" x14ac:dyDescent="0.2">
      <c r="A2" s="723">
        <v>1</v>
      </c>
      <c r="B2" s="723" t="s">
        <v>70</v>
      </c>
      <c r="C2" s="723">
        <v>76</v>
      </c>
      <c r="D2" s="4733" t="s">
        <v>1656</v>
      </c>
      <c r="E2" s="4734"/>
      <c r="F2" s="4734"/>
      <c r="G2" s="4734"/>
      <c r="H2" s="4734"/>
      <c r="I2" s="4734"/>
      <c r="J2" s="4734"/>
      <c r="K2" s="4734"/>
      <c r="L2" s="4734"/>
      <c r="M2" s="4734"/>
      <c r="N2" s="4734"/>
      <c r="O2" s="4734"/>
      <c r="P2" s="4734"/>
      <c r="Q2" s="4734"/>
      <c r="R2" s="4734"/>
      <c r="S2" s="4734"/>
      <c r="T2" s="4734"/>
      <c r="U2" s="4735"/>
      <c r="V2" s="3981"/>
    </row>
    <row r="3" spans="1:22" ht="15.75" customHeight="1" x14ac:dyDescent="0.2">
      <c r="A3" s="723">
        <v>2</v>
      </c>
      <c r="B3" s="723" t="s">
        <v>72</v>
      </c>
      <c r="C3" s="723"/>
      <c r="D3" s="4066" t="s">
        <v>1657</v>
      </c>
      <c r="E3" s="3145"/>
      <c r="F3" s="3145"/>
      <c r="G3" s="3145"/>
      <c r="H3" s="3145"/>
      <c r="I3" s="3145"/>
      <c r="J3" s="3145"/>
      <c r="K3" s="3145"/>
      <c r="L3" s="3145"/>
      <c r="M3" s="3145"/>
      <c r="N3" s="3145"/>
      <c r="O3" s="3145"/>
      <c r="P3" s="3145"/>
      <c r="Q3" s="3145"/>
      <c r="R3" s="3145"/>
      <c r="S3" s="3145"/>
      <c r="T3" s="3145"/>
      <c r="U3" s="4067"/>
    </row>
    <row r="4" spans="1:22" ht="27.75" customHeight="1" x14ac:dyDescent="0.2">
      <c r="A4" s="723">
        <v>3</v>
      </c>
      <c r="B4" s="723" t="s">
        <v>4</v>
      </c>
      <c r="C4" s="723"/>
      <c r="D4" s="4733" t="s">
        <v>1658</v>
      </c>
      <c r="E4" s="4734"/>
      <c r="F4" s="4734"/>
      <c r="G4" s="4734"/>
      <c r="H4" s="4734"/>
      <c r="I4" s="4734"/>
      <c r="J4" s="4734"/>
      <c r="K4" s="4734"/>
      <c r="L4" s="4734"/>
      <c r="M4" s="4734"/>
      <c r="N4" s="4734"/>
      <c r="O4" s="4734"/>
      <c r="P4" s="4734"/>
      <c r="Q4" s="4734"/>
      <c r="R4" s="4734"/>
      <c r="S4" s="4734"/>
      <c r="T4" s="4734"/>
      <c r="U4" s="4735"/>
    </row>
    <row r="5" spans="1:22" ht="51.5" customHeight="1" x14ac:dyDescent="0.2">
      <c r="A5" s="723">
        <v>4</v>
      </c>
      <c r="B5" s="723" t="s">
        <v>1659</v>
      </c>
      <c r="C5" s="723"/>
      <c r="D5" s="4733" t="s">
        <v>1660</v>
      </c>
      <c r="E5" s="4734"/>
      <c r="F5" s="4734"/>
      <c r="G5" s="4734"/>
      <c r="H5" s="4734"/>
      <c r="I5" s="4734"/>
      <c r="J5" s="4734"/>
      <c r="K5" s="4734"/>
      <c r="L5" s="4734"/>
      <c r="M5" s="4734"/>
      <c r="N5" s="4734"/>
      <c r="O5" s="4734"/>
      <c r="P5" s="4734"/>
      <c r="Q5" s="4734"/>
      <c r="R5" s="4734"/>
      <c r="S5" s="4734"/>
      <c r="T5" s="4734"/>
      <c r="U5" s="4735"/>
    </row>
    <row r="6" spans="1:22" ht="12.75" customHeight="1" x14ac:dyDescent="0.25">
      <c r="A6" s="4068"/>
      <c r="B6" s="728"/>
      <c r="C6" s="728"/>
      <c r="D6" s="1257"/>
      <c r="E6" s="1257"/>
      <c r="F6" s="1257"/>
      <c r="G6" s="1257"/>
      <c r="H6" s="1257"/>
      <c r="I6" s="1257"/>
      <c r="J6" s="1257"/>
      <c r="K6" s="1257"/>
      <c r="L6" s="1257"/>
      <c r="M6" s="1257"/>
      <c r="N6" s="1257"/>
      <c r="O6" s="1257"/>
      <c r="P6" s="1257"/>
      <c r="Q6" s="1257"/>
      <c r="R6" s="1257"/>
      <c r="S6" s="1257"/>
      <c r="T6" s="2051"/>
      <c r="U6" s="2051"/>
    </row>
    <row r="7" spans="1:22" ht="12.75" customHeight="1" x14ac:dyDescent="0.25">
      <c r="A7" s="723">
        <v>5</v>
      </c>
      <c r="B7" s="728" t="s">
        <v>6</v>
      </c>
      <c r="D7" s="4069" t="s">
        <v>690</v>
      </c>
      <c r="E7" s="1484" t="s">
        <v>1661</v>
      </c>
      <c r="F7" s="1611"/>
      <c r="G7" s="1611"/>
      <c r="H7" s="1611"/>
      <c r="I7" s="1611"/>
      <c r="J7" s="1611"/>
      <c r="K7" s="1611"/>
      <c r="L7" s="1611"/>
      <c r="M7" s="4070"/>
      <c r="N7" s="4070"/>
      <c r="O7" s="4070"/>
      <c r="P7" s="1270"/>
      <c r="Q7" s="1270"/>
      <c r="R7" s="1270"/>
      <c r="S7" s="1270"/>
    </row>
    <row r="8" spans="1:22" ht="19.5" customHeight="1" x14ac:dyDescent="0.25">
      <c r="D8" s="4071"/>
      <c r="E8" s="3539" t="s">
        <v>109</v>
      </c>
      <c r="F8" s="3539" t="s">
        <v>110</v>
      </c>
      <c r="G8" s="3539" t="s">
        <v>111</v>
      </c>
      <c r="H8" s="3539" t="s">
        <v>112</v>
      </c>
      <c r="I8" s="3539" t="s">
        <v>113</v>
      </c>
      <c r="J8" s="1519" t="s">
        <v>114</v>
      </c>
      <c r="K8" s="1519" t="s">
        <v>115</v>
      </c>
      <c r="L8" s="1519" t="s">
        <v>116</v>
      </c>
      <c r="M8" s="1519" t="s">
        <v>117</v>
      </c>
      <c r="N8" s="4072" t="s">
        <v>118</v>
      </c>
      <c r="O8" s="1520" t="s">
        <v>119</v>
      </c>
      <c r="P8" s="4072" t="s">
        <v>120</v>
      </c>
      <c r="Q8" s="4072" t="s">
        <v>121</v>
      </c>
      <c r="R8" s="4072" t="s">
        <v>122</v>
      </c>
      <c r="S8" s="4072" t="s">
        <v>123</v>
      </c>
      <c r="T8" s="4072" t="s">
        <v>125</v>
      </c>
      <c r="U8" s="4072" t="s">
        <v>126</v>
      </c>
      <c r="V8" s="4072" t="s">
        <v>302</v>
      </c>
    </row>
    <row r="9" spans="1:22" ht="13.5" customHeight="1" x14ac:dyDescent="0.2">
      <c r="D9" s="2044" t="s">
        <v>1662</v>
      </c>
      <c r="E9" s="1956">
        <v>27</v>
      </c>
      <c r="F9" s="1956">
        <v>28</v>
      </c>
      <c r="G9" s="1956">
        <v>32</v>
      </c>
      <c r="H9" s="1956">
        <v>37</v>
      </c>
      <c r="I9" s="1956">
        <v>38</v>
      </c>
      <c r="J9" s="1956">
        <v>39</v>
      </c>
      <c r="K9" s="1270">
        <v>43</v>
      </c>
      <c r="L9" s="1270">
        <v>46</v>
      </c>
      <c r="M9" s="1270">
        <v>46</v>
      </c>
      <c r="N9" s="658">
        <v>47</v>
      </c>
      <c r="O9" s="658">
        <v>47</v>
      </c>
      <c r="P9" s="1956">
        <v>47</v>
      </c>
      <c r="Q9" s="1956">
        <v>47</v>
      </c>
      <c r="R9" s="1270">
        <v>47</v>
      </c>
      <c r="S9" s="1270">
        <v>47</v>
      </c>
      <c r="T9" s="1270">
        <v>47</v>
      </c>
      <c r="U9" s="1270">
        <v>47</v>
      </c>
      <c r="V9" s="1270">
        <v>47</v>
      </c>
    </row>
    <row r="10" spans="1:22" ht="13.5" customHeight="1" x14ac:dyDescent="0.2">
      <c r="D10" s="2044" t="s">
        <v>1663</v>
      </c>
      <c r="E10" s="1956">
        <v>10</v>
      </c>
      <c r="F10" s="1956">
        <v>10</v>
      </c>
      <c r="G10" s="1956">
        <v>10</v>
      </c>
      <c r="H10" s="1956">
        <v>10</v>
      </c>
      <c r="I10" s="1956">
        <v>10</v>
      </c>
      <c r="J10" s="1956">
        <v>11</v>
      </c>
      <c r="K10" s="1270">
        <v>11</v>
      </c>
      <c r="L10" s="1270">
        <v>11</v>
      </c>
      <c r="M10" s="1270">
        <v>11</v>
      </c>
      <c r="N10" s="658">
        <v>11</v>
      </c>
      <c r="O10" s="658">
        <v>11</v>
      </c>
      <c r="P10" s="1956">
        <v>11</v>
      </c>
      <c r="Q10" s="1956">
        <v>11</v>
      </c>
      <c r="R10" s="1270">
        <v>11</v>
      </c>
      <c r="S10" s="1270">
        <v>11</v>
      </c>
      <c r="T10" s="1270">
        <v>11</v>
      </c>
      <c r="U10" s="1270">
        <v>10</v>
      </c>
      <c r="V10" s="1270">
        <v>10</v>
      </c>
    </row>
    <row r="11" spans="1:22" ht="13.5" customHeight="1" x14ac:dyDescent="0.2">
      <c r="D11" s="2044" t="s">
        <v>1664</v>
      </c>
      <c r="E11" s="1956">
        <v>22</v>
      </c>
      <c r="F11" s="1956">
        <v>26</v>
      </c>
      <c r="G11" s="1956">
        <v>27</v>
      </c>
      <c r="H11" s="1956">
        <v>27</v>
      </c>
      <c r="I11" s="1956">
        <v>28</v>
      </c>
      <c r="J11" s="1956">
        <v>30</v>
      </c>
      <c r="K11" s="1270">
        <v>31</v>
      </c>
      <c r="L11" s="1270">
        <v>32</v>
      </c>
      <c r="M11" s="1270">
        <v>32</v>
      </c>
      <c r="N11" s="658">
        <v>32</v>
      </c>
      <c r="O11" s="658">
        <v>32</v>
      </c>
      <c r="P11" s="1956">
        <v>32</v>
      </c>
      <c r="Q11" s="1956">
        <v>32</v>
      </c>
      <c r="R11" s="1270">
        <v>32</v>
      </c>
      <c r="S11" s="1270">
        <v>32</v>
      </c>
      <c r="T11" s="1270">
        <v>32</v>
      </c>
      <c r="U11" s="1270">
        <v>32</v>
      </c>
      <c r="V11" s="1270">
        <v>32</v>
      </c>
    </row>
    <row r="12" spans="1:22" ht="13.5" customHeight="1" x14ac:dyDescent="0.2">
      <c r="D12" s="2044" t="s">
        <v>1665</v>
      </c>
      <c r="E12" s="1956">
        <v>6</v>
      </c>
      <c r="F12" s="1956">
        <v>6</v>
      </c>
      <c r="G12" s="1956">
        <v>6</v>
      </c>
      <c r="H12" s="1956">
        <v>7</v>
      </c>
      <c r="I12" s="1956">
        <v>7</v>
      </c>
      <c r="J12" s="1956">
        <v>7</v>
      </c>
      <c r="K12" s="1270">
        <v>7</v>
      </c>
      <c r="L12" s="1270">
        <v>7</v>
      </c>
      <c r="M12" s="1270">
        <v>7</v>
      </c>
      <c r="N12" s="658">
        <v>7</v>
      </c>
      <c r="O12" s="658">
        <v>7</v>
      </c>
      <c r="P12" s="1956">
        <v>7</v>
      </c>
      <c r="Q12" s="1956">
        <v>7</v>
      </c>
      <c r="R12" s="1270">
        <v>7</v>
      </c>
      <c r="S12" s="1270">
        <v>7</v>
      </c>
      <c r="T12" s="1270">
        <v>7</v>
      </c>
      <c r="U12" s="1270">
        <v>7</v>
      </c>
      <c r="V12" s="1270">
        <v>7</v>
      </c>
    </row>
    <row r="13" spans="1:22" ht="13.5" customHeight="1" x14ac:dyDescent="0.2">
      <c r="D13" s="2044" t="s">
        <v>1666</v>
      </c>
      <c r="E13" s="1956">
        <v>26</v>
      </c>
      <c r="F13" s="1956">
        <v>26</v>
      </c>
      <c r="G13" s="1956">
        <v>26</v>
      </c>
      <c r="H13" s="1956">
        <v>26</v>
      </c>
      <c r="I13" s="1956">
        <v>26</v>
      </c>
      <c r="J13" s="1956">
        <v>27</v>
      </c>
      <c r="K13" s="1270">
        <v>27</v>
      </c>
      <c r="L13" s="2151">
        <v>28</v>
      </c>
      <c r="M13" s="2151">
        <v>28</v>
      </c>
      <c r="N13" s="777">
        <v>28</v>
      </c>
      <c r="O13" s="777">
        <v>28</v>
      </c>
      <c r="P13" s="777">
        <v>28</v>
      </c>
      <c r="Q13" s="2151">
        <v>28</v>
      </c>
      <c r="R13" s="2151">
        <v>28</v>
      </c>
      <c r="S13" s="2151">
        <v>27</v>
      </c>
      <c r="T13" s="2151">
        <v>27</v>
      </c>
      <c r="U13" s="2151">
        <v>29</v>
      </c>
      <c r="V13" s="2151">
        <v>29</v>
      </c>
    </row>
    <row r="14" spans="1:22" ht="13.5" customHeight="1" x14ac:dyDescent="0.25">
      <c r="C14" s="4073"/>
      <c r="D14" s="4074" t="s">
        <v>1667</v>
      </c>
      <c r="E14" s="3175">
        <v>91</v>
      </c>
      <c r="F14" s="3175">
        <v>96</v>
      </c>
      <c r="G14" s="3175">
        <v>101</v>
      </c>
      <c r="H14" s="3175">
        <v>107</v>
      </c>
      <c r="I14" s="3175">
        <v>109</v>
      </c>
      <c r="J14" s="3175">
        <v>114</v>
      </c>
      <c r="K14" s="3175">
        <v>119</v>
      </c>
      <c r="L14" s="1514">
        <v>124</v>
      </c>
      <c r="M14" s="1514">
        <v>124</v>
      </c>
      <c r="N14" s="4075">
        <f>SUM(N9:N13)</f>
        <v>125</v>
      </c>
      <c r="O14" s="4075">
        <f>SUM(O9:O13)</f>
        <v>125</v>
      </c>
      <c r="P14" s="4075">
        <f>SUM(P9:P13)</f>
        <v>125</v>
      </c>
      <c r="Q14" s="4075">
        <f>SUM(Q9:Q13)</f>
        <v>125</v>
      </c>
      <c r="R14" s="1514">
        <f>SUM(R9:R13)</f>
        <v>125</v>
      </c>
      <c r="S14" s="1514">
        <v>124</v>
      </c>
      <c r="T14" s="1514">
        <v>124</v>
      </c>
      <c r="U14" s="1514">
        <v>125</v>
      </c>
      <c r="V14" s="1514">
        <v>125</v>
      </c>
    </row>
    <row r="15" spans="1:22" ht="12.75" customHeight="1" x14ac:dyDescent="0.25">
      <c r="C15" s="4073"/>
      <c r="D15" s="1261"/>
      <c r="E15" s="785"/>
      <c r="F15" s="785"/>
      <c r="G15" s="785"/>
      <c r="H15" s="785"/>
      <c r="I15" s="785"/>
      <c r="J15" s="785"/>
      <c r="K15" s="785"/>
      <c r="L15" s="1270"/>
      <c r="M15" s="1270"/>
      <c r="N15" s="658"/>
      <c r="O15" s="658"/>
      <c r="P15" s="1270"/>
      <c r="Q15" s="2044"/>
      <c r="R15" s="1270"/>
      <c r="S15" s="1270"/>
      <c r="T15" s="1265"/>
      <c r="U15" s="1265"/>
      <c r="V15" s="1265"/>
    </row>
    <row r="16" spans="1:22" ht="12.75" customHeight="1" x14ac:dyDescent="0.25">
      <c r="C16" s="4073"/>
      <c r="D16" s="791" t="s">
        <v>521</v>
      </c>
      <c r="E16" s="791" t="s">
        <v>1668</v>
      </c>
      <c r="F16" s="791"/>
      <c r="G16" s="792"/>
      <c r="H16" s="791"/>
      <c r="I16" s="791"/>
      <c r="J16" s="791"/>
      <c r="K16" s="785"/>
      <c r="L16" s="1270"/>
      <c r="M16" s="1270"/>
      <c r="N16" s="658"/>
      <c r="O16" s="658"/>
      <c r="P16" s="1270"/>
      <c r="Q16" s="2044"/>
      <c r="R16" s="1270"/>
      <c r="S16" s="1270"/>
      <c r="T16" s="1265"/>
      <c r="U16" s="1265"/>
      <c r="V16" s="1265"/>
    </row>
    <row r="17" spans="1:22" ht="15" customHeight="1" x14ac:dyDescent="0.25">
      <c r="C17" s="4073"/>
      <c r="D17" s="4076"/>
      <c r="E17" s="3538"/>
      <c r="F17" s="3538"/>
      <c r="G17" s="3539">
        <v>2004</v>
      </c>
      <c r="H17" s="3539">
        <v>2005</v>
      </c>
      <c r="I17" s="3539">
        <v>2006</v>
      </c>
      <c r="J17" s="3539">
        <v>2007</v>
      </c>
      <c r="K17" s="3539">
        <v>2008</v>
      </c>
      <c r="L17" s="3539">
        <v>2009</v>
      </c>
      <c r="M17" s="4077">
        <v>2010</v>
      </c>
      <c r="N17" s="4077">
        <v>2011</v>
      </c>
      <c r="O17" s="4077">
        <v>2012</v>
      </c>
      <c r="P17" s="4077">
        <v>2013</v>
      </c>
      <c r="Q17" s="4077">
        <v>2014</v>
      </c>
      <c r="R17" s="4072">
        <v>2015</v>
      </c>
      <c r="S17" s="4072">
        <v>2016</v>
      </c>
      <c r="T17" s="4072">
        <v>2017</v>
      </c>
      <c r="U17" s="4072">
        <v>2018</v>
      </c>
      <c r="V17" s="4072">
        <v>2019</v>
      </c>
    </row>
    <row r="18" spans="1:22" ht="13.5" customHeight="1" x14ac:dyDescent="0.2">
      <c r="C18" s="4073"/>
      <c r="D18" s="2044" t="s">
        <v>1669</v>
      </c>
      <c r="E18" s="2044"/>
      <c r="F18" s="2044"/>
      <c r="G18" s="756">
        <v>47</v>
      </c>
      <c r="H18" s="756">
        <v>59</v>
      </c>
      <c r="I18" s="756">
        <v>69</v>
      </c>
      <c r="J18" s="756">
        <v>93</v>
      </c>
      <c r="K18" s="1270">
        <v>130</v>
      </c>
      <c r="L18" s="1270">
        <v>133</v>
      </c>
      <c r="M18" s="658">
        <v>83</v>
      </c>
      <c r="N18" s="658">
        <f>17+20</f>
        <v>37</v>
      </c>
      <c r="O18" s="658">
        <f>18+16</f>
        <v>34</v>
      </c>
      <c r="P18" s="658">
        <f>19+0</f>
        <v>19</v>
      </c>
      <c r="Q18" s="658">
        <f>20+21</f>
        <v>41</v>
      </c>
      <c r="R18" s="4078" t="s">
        <v>1670</v>
      </c>
      <c r="S18" s="4078">
        <v>47</v>
      </c>
      <c r="T18" s="4078">
        <v>46</v>
      </c>
      <c r="U18" s="4078">
        <v>9</v>
      </c>
      <c r="V18" s="4078">
        <v>42</v>
      </c>
    </row>
    <row r="19" spans="1:22" ht="13.5" customHeight="1" x14ac:dyDescent="0.2">
      <c r="C19" s="4073"/>
      <c r="D19" s="2044" t="s">
        <v>1671</v>
      </c>
      <c r="E19" s="2044"/>
      <c r="F19" s="2044"/>
      <c r="G19" s="756">
        <v>17</v>
      </c>
      <c r="H19" s="756">
        <v>20</v>
      </c>
      <c r="I19" s="756">
        <v>8</v>
      </c>
      <c r="J19" s="756">
        <v>15</v>
      </c>
      <c r="K19" s="1270">
        <v>14</v>
      </c>
      <c r="L19" s="1270">
        <v>19</v>
      </c>
      <c r="M19" s="658">
        <v>18</v>
      </c>
      <c r="N19" s="658">
        <v>11</v>
      </c>
      <c r="O19" s="658">
        <v>38</v>
      </c>
      <c r="P19" s="658">
        <v>16</v>
      </c>
      <c r="Q19" s="658">
        <v>17</v>
      </c>
      <c r="R19" s="4078">
        <v>20</v>
      </c>
      <c r="S19" s="4078">
        <v>14</v>
      </c>
      <c r="T19" s="4078">
        <v>31</v>
      </c>
      <c r="U19" s="4078">
        <v>12</v>
      </c>
      <c r="V19" s="4078">
        <v>38</v>
      </c>
    </row>
    <row r="20" spans="1:22" ht="13.5" customHeight="1" x14ac:dyDescent="0.35">
      <c r="A20" s="3980"/>
      <c r="B20" s="3980"/>
      <c r="C20" s="4073"/>
      <c r="D20" s="5076" t="s">
        <v>1672</v>
      </c>
      <c r="E20" s="5077"/>
      <c r="F20" s="5077"/>
      <c r="G20" s="803">
        <v>44</v>
      </c>
      <c r="H20" s="803">
        <v>95</v>
      </c>
      <c r="I20" s="803">
        <v>82</v>
      </c>
      <c r="J20" s="803">
        <v>256</v>
      </c>
      <c r="K20" s="803">
        <v>817</v>
      </c>
      <c r="L20" s="803">
        <v>747</v>
      </c>
      <c r="M20" s="748">
        <v>980</v>
      </c>
      <c r="N20" s="748">
        <v>508</v>
      </c>
      <c r="O20" s="748">
        <v>594</v>
      </c>
      <c r="P20" s="748">
        <v>629</v>
      </c>
      <c r="Q20" s="748"/>
      <c r="R20" s="803">
        <v>740</v>
      </c>
      <c r="S20" s="803">
        <v>486</v>
      </c>
      <c r="T20" s="803">
        <v>284</v>
      </c>
      <c r="U20" s="803">
        <v>272</v>
      </c>
      <c r="V20" s="803">
        <v>244</v>
      </c>
    </row>
    <row r="21" spans="1:22" ht="13.5" customHeight="1" x14ac:dyDescent="0.35">
      <c r="A21" s="3980"/>
      <c r="B21" s="3980"/>
      <c r="C21" s="4073"/>
      <c r="D21" s="4079"/>
      <c r="E21" s="4080"/>
      <c r="F21" s="4080"/>
      <c r="G21" s="1956"/>
      <c r="H21" s="756"/>
      <c r="I21" s="756"/>
      <c r="J21" s="756"/>
      <c r="K21" s="756"/>
      <c r="L21" s="756"/>
      <c r="M21" s="756"/>
      <c r="N21" s="738"/>
      <c r="O21" s="738"/>
      <c r="P21" s="756"/>
      <c r="Q21" s="2044"/>
      <c r="R21" s="1270"/>
      <c r="S21" s="1270"/>
    </row>
    <row r="22" spans="1:22" ht="13.5" customHeight="1" x14ac:dyDescent="0.35">
      <c r="A22" s="3980"/>
      <c r="B22" s="3980"/>
      <c r="C22" s="4073"/>
      <c r="D22" s="4079"/>
      <c r="E22" s="4080"/>
      <c r="F22" s="4080"/>
      <c r="G22" s="1956"/>
      <c r="H22" s="756"/>
      <c r="I22" s="756"/>
      <c r="J22" s="756"/>
      <c r="K22" s="756"/>
      <c r="L22" s="756"/>
      <c r="M22" s="756"/>
      <c r="N22" s="738"/>
      <c r="O22" s="738"/>
      <c r="P22" s="756"/>
      <c r="Q22" s="2044"/>
      <c r="R22" s="1270"/>
      <c r="S22" s="1270"/>
    </row>
    <row r="23" spans="1:22" ht="13.5" customHeight="1" x14ac:dyDescent="0.25">
      <c r="A23" s="3980"/>
      <c r="B23" s="3980"/>
      <c r="C23" s="4073"/>
      <c r="D23" s="791" t="s">
        <v>234</v>
      </c>
      <c r="E23" s="791" t="s">
        <v>1673</v>
      </c>
      <c r="F23" s="791"/>
      <c r="G23" s="792"/>
      <c r="H23" s="791"/>
      <c r="I23" s="791"/>
      <c r="J23" s="791"/>
      <c r="K23" s="785"/>
      <c r="L23" s="1270"/>
      <c r="M23" s="1270"/>
      <c r="N23" s="658"/>
      <c r="O23" s="658"/>
      <c r="P23" s="756"/>
      <c r="Q23" s="2044"/>
      <c r="R23" s="1270"/>
      <c r="S23" s="1270"/>
    </row>
    <row r="24" spans="1:22" ht="13.5" customHeight="1" x14ac:dyDescent="0.25">
      <c r="A24" s="3980"/>
      <c r="B24" s="3980"/>
      <c r="C24" s="4073"/>
      <c r="D24" s="4076"/>
      <c r="E24" s="3538"/>
      <c r="F24" s="4076" t="s">
        <v>101</v>
      </c>
      <c r="G24" s="4081" t="s">
        <v>112</v>
      </c>
      <c r="H24" s="3541" t="s">
        <v>113</v>
      </c>
      <c r="I24" s="3541" t="s">
        <v>114</v>
      </c>
      <c r="J24" s="3541" t="s">
        <v>115</v>
      </c>
      <c r="K24" s="3540" t="s">
        <v>116</v>
      </c>
      <c r="L24" s="3540" t="s">
        <v>117</v>
      </c>
      <c r="M24" s="3540" t="s">
        <v>118</v>
      </c>
      <c r="N24" s="4072" t="s">
        <v>119</v>
      </c>
      <c r="O24" s="3540" t="s">
        <v>120</v>
      </c>
      <c r="P24" s="3540" t="s">
        <v>121</v>
      </c>
      <c r="Q24" s="3540" t="s">
        <v>122</v>
      </c>
      <c r="R24" s="3540" t="s">
        <v>123</v>
      </c>
      <c r="S24" s="3540" t="s">
        <v>124</v>
      </c>
      <c r="T24" s="3540" t="s">
        <v>125</v>
      </c>
      <c r="U24" s="3540" t="s">
        <v>126</v>
      </c>
      <c r="V24" s="3540" t="s">
        <v>302</v>
      </c>
    </row>
    <row r="25" spans="1:22" ht="13.5" customHeight="1" x14ac:dyDescent="0.2">
      <c r="A25" s="3980"/>
      <c r="B25" s="3980"/>
      <c r="C25" s="4073"/>
      <c r="D25" s="1956" t="s">
        <v>1674</v>
      </c>
      <c r="E25" s="1956"/>
      <c r="F25" s="4082"/>
      <c r="G25" s="4083">
        <v>113</v>
      </c>
      <c r="H25" s="4084">
        <v>118</v>
      </c>
      <c r="I25" s="4084">
        <v>122</v>
      </c>
      <c r="J25" s="4084">
        <v>121</v>
      </c>
      <c r="K25" s="4084">
        <v>121</v>
      </c>
      <c r="L25" s="4084">
        <v>122</v>
      </c>
      <c r="M25" s="4084">
        <v>125</v>
      </c>
      <c r="N25" s="4085">
        <v>129</v>
      </c>
      <c r="O25" s="4084">
        <v>133</v>
      </c>
      <c r="P25" s="4084">
        <v>136</v>
      </c>
      <c r="Q25" s="4084">
        <v>136</v>
      </c>
      <c r="R25" s="4084">
        <v>150</v>
      </c>
      <c r="S25" s="4084">
        <v>142</v>
      </c>
      <c r="T25" s="4084">
        <v>142</v>
      </c>
      <c r="U25" s="4084">
        <v>143</v>
      </c>
      <c r="V25" s="4084">
        <v>134</v>
      </c>
    </row>
    <row r="26" spans="1:22" ht="13.5" customHeight="1" x14ac:dyDescent="0.2">
      <c r="A26" s="3980"/>
      <c r="B26" s="3980"/>
      <c r="C26" s="4073"/>
      <c r="D26" s="1956" t="s">
        <v>1675</v>
      </c>
      <c r="E26" s="1956"/>
      <c r="F26" s="4082"/>
      <c r="G26" s="4083">
        <v>16</v>
      </c>
      <c r="H26" s="4084">
        <v>11</v>
      </c>
      <c r="I26" s="4084">
        <v>11</v>
      </c>
      <c r="J26" s="4084">
        <v>11</v>
      </c>
      <c r="K26" s="4084" t="s">
        <v>1676</v>
      </c>
      <c r="L26" s="4084">
        <v>16</v>
      </c>
      <c r="M26" s="4084">
        <v>18</v>
      </c>
      <c r="N26" s="4085">
        <v>19</v>
      </c>
      <c r="O26" s="4084">
        <v>19</v>
      </c>
      <c r="P26" s="4084">
        <v>19</v>
      </c>
      <c r="Q26" s="4084">
        <v>19</v>
      </c>
      <c r="R26" s="4084">
        <v>21</v>
      </c>
      <c r="S26" s="4084">
        <v>20</v>
      </c>
      <c r="T26" s="4084">
        <v>20</v>
      </c>
      <c r="U26" s="4084">
        <v>20</v>
      </c>
      <c r="V26" s="4084">
        <v>21</v>
      </c>
    </row>
    <row r="27" spans="1:22" ht="13.5" customHeight="1" x14ac:dyDescent="0.2">
      <c r="A27" s="3980"/>
      <c r="B27" s="3980"/>
      <c r="C27" s="4073"/>
      <c r="D27" s="2044" t="s">
        <v>1677</v>
      </c>
      <c r="E27" s="2044"/>
      <c r="F27" s="4086"/>
      <c r="G27" s="4082">
        <v>53</v>
      </c>
      <c r="H27" s="2392">
        <v>53</v>
      </c>
      <c r="I27" s="2392">
        <v>53</v>
      </c>
      <c r="J27" s="2392">
        <v>53</v>
      </c>
      <c r="K27" s="2392">
        <v>53</v>
      </c>
      <c r="L27" s="2153">
        <v>53</v>
      </c>
      <c r="M27" s="2153">
        <v>52</v>
      </c>
      <c r="N27" s="4087">
        <v>50</v>
      </c>
      <c r="O27" s="2153">
        <v>50</v>
      </c>
      <c r="P27" s="2153">
        <v>57</v>
      </c>
      <c r="Q27" s="2153">
        <v>57</v>
      </c>
      <c r="R27" s="2153">
        <v>57</v>
      </c>
      <c r="S27" s="2153">
        <v>53</v>
      </c>
      <c r="T27" s="2153">
        <v>53</v>
      </c>
      <c r="U27" s="2153">
        <v>53</v>
      </c>
      <c r="V27" s="2153">
        <v>57</v>
      </c>
    </row>
    <row r="28" spans="1:22" ht="13.5" customHeight="1" x14ac:dyDescent="0.2">
      <c r="A28" s="3980"/>
      <c r="B28" s="3980"/>
      <c r="C28" s="4073"/>
      <c r="D28" s="2044" t="s">
        <v>1678</v>
      </c>
      <c r="E28" s="2044"/>
      <c r="F28" s="4086"/>
      <c r="G28" s="4082">
        <v>73</v>
      </c>
      <c r="H28" s="2392">
        <v>73</v>
      </c>
      <c r="I28" s="2392">
        <v>73</v>
      </c>
      <c r="J28" s="2392">
        <v>73</v>
      </c>
      <c r="K28" s="2392">
        <v>73</v>
      </c>
      <c r="L28" s="2153">
        <v>73</v>
      </c>
      <c r="M28" s="2153">
        <v>80</v>
      </c>
      <c r="N28" s="4087">
        <v>82</v>
      </c>
      <c r="O28" s="2153">
        <v>82</v>
      </c>
      <c r="P28" s="2153">
        <v>82</v>
      </c>
      <c r="Q28" s="2153">
        <v>82</v>
      </c>
      <c r="R28" s="2153">
        <v>82</v>
      </c>
      <c r="S28" s="2153">
        <v>79</v>
      </c>
      <c r="T28" s="2153">
        <v>79</v>
      </c>
      <c r="U28" s="2153">
        <v>79</v>
      </c>
      <c r="V28" s="2153">
        <v>78</v>
      </c>
    </row>
    <row r="29" spans="1:22" ht="13.5" customHeight="1" x14ac:dyDescent="0.2">
      <c r="A29" s="3980"/>
      <c r="B29" s="3980"/>
      <c r="C29" s="4073"/>
      <c r="D29" s="2044" t="s">
        <v>1679</v>
      </c>
      <c r="E29" s="2044"/>
      <c r="F29" s="4086"/>
      <c r="G29" s="4082">
        <v>22</v>
      </c>
      <c r="H29" s="2392">
        <v>23</v>
      </c>
      <c r="I29" s="2392">
        <v>23</v>
      </c>
      <c r="J29" s="2392">
        <v>26</v>
      </c>
      <c r="K29" s="2392">
        <v>28</v>
      </c>
      <c r="L29" s="2153">
        <v>31</v>
      </c>
      <c r="M29" s="2153">
        <v>30</v>
      </c>
      <c r="N29" s="4087">
        <v>30</v>
      </c>
      <c r="O29" s="2153">
        <v>30</v>
      </c>
      <c r="P29" s="2153">
        <v>31</v>
      </c>
      <c r="Q29" s="2153">
        <v>31</v>
      </c>
      <c r="R29" s="2153">
        <v>30</v>
      </c>
      <c r="S29" s="2153">
        <v>30</v>
      </c>
      <c r="T29" s="2153">
        <v>30</v>
      </c>
      <c r="U29" s="2153">
        <v>31</v>
      </c>
      <c r="V29" s="2153">
        <v>31</v>
      </c>
    </row>
    <row r="30" spans="1:22" ht="13.5" customHeight="1" x14ac:dyDescent="0.2">
      <c r="A30" s="3980"/>
      <c r="B30" s="3980"/>
      <c r="C30" s="4073"/>
      <c r="D30" s="2044" t="s">
        <v>1680</v>
      </c>
      <c r="E30" s="2044"/>
      <c r="F30" s="4086"/>
      <c r="G30" s="4082">
        <v>1</v>
      </c>
      <c r="H30" s="2392">
        <v>1</v>
      </c>
      <c r="I30" s="2392">
        <v>1</v>
      </c>
      <c r="J30" s="2392">
        <v>1</v>
      </c>
      <c r="K30" s="2392">
        <v>1</v>
      </c>
      <c r="L30" s="2153">
        <v>1</v>
      </c>
      <c r="M30" s="2153">
        <v>1</v>
      </c>
      <c r="N30" s="4087">
        <v>1</v>
      </c>
      <c r="O30" s="2153">
        <v>1</v>
      </c>
      <c r="P30" s="2153">
        <v>1</v>
      </c>
      <c r="Q30" s="2153">
        <v>1</v>
      </c>
      <c r="R30" s="2153">
        <v>1</v>
      </c>
      <c r="S30" s="2153">
        <v>1</v>
      </c>
      <c r="T30" s="2153">
        <v>1</v>
      </c>
      <c r="U30" s="2153">
        <v>1</v>
      </c>
      <c r="V30" s="2153">
        <v>1</v>
      </c>
    </row>
    <row r="31" spans="1:22" ht="23.25" customHeight="1" x14ac:dyDescent="0.25">
      <c r="A31" s="3980"/>
      <c r="B31" s="3980"/>
      <c r="C31" s="4073"/>
      <c r="D31" s="4074" t="s">
        <v>1681</v>
      </c>
      <c r="E31" s="4074"/>
      <c r="F31" s="4088">
        <v>68</v>
      </c>
      <c r="G31" s="4089">
        <f>SUM(G25:G30)</f>
        <v>278</v>
      </c>
      <c r="H31" s="4089">
        <f t="shared" ref="H31:N31" si="0">SUM(H25:H30)</f>
        <v>279</v>
      </c>
      <c r="I31" s="4089">
        <f t="shared" si="0"/>
        <v>283</v>
      </c>
      <c r="J31" s="4089">
        <f t="shared" si="0"/>
        <v>285</v>
      </c>
      <c r="K31" s="4089">
        <v>292</v>
      </c>
      <c r="L31" s="4089">
        <f t="shared" si="0"/>
        <v>296</v>
      </c>
      <c r="M31" s="4089">
        <v>307</v>
      </c>
      <c r="N31" s="4089">
        <f t="shared" si="0"/>
        <v>311</v>
      </c>
      <c r="O31" s="4089">
        <f>SUM(O25:O30)</f>
        <v>315</v>
      </c>
      <c r="P31" s="4089">
        <f>SUM(P25:P30)</f>
        <v>326</v>
      </c>
      <c r="Q31" s="4089">
        <f>SUM(Q25:Q30)</f>
        <v>326</v>
      </c>
      <c r="R31" s="4089">
        <v>341</v>
      </c>
      <c r="S31" s="4089">
        <v>325</v>
      </c>
      <c r="T31" s="4089">
        <v>325</v>
      </c>
      <c r="U31" s="4089">
        <v>327</v>
      </c>
      <c r="V31" s="4089">
        <v>322</v>
      </c>
    </row>
    <row r="32" spans="1:22" ht="13.5" customHeight="1" x14ac:dyDescent="0.35">
      <c r="A32" s="3980"/>
      <c r="B32" s="3980"/>
      <c r="C32" s="4073"/>
      <c r="D32" s="4079"/>
      <c r="E32" s="4080"/>
      <c r="F32" s="4080"/>
      <c r="G32" s="1956"/>
      <c r="H32" s="756"/>
      <c r="I32" s="756"/>
      <c r="J32" s="756"/>
      <c r="K32" s="756"/>
      <c r="L32" s="756"/>
      <c r="M32" s="756"/>
      <c r="N32" s="738"/>
      <c r="O32" s="738"/>
      <c r="P32" s="756"/>
      <c r="Q32" s="4090"/>
      <c r="R32" s="1270"/>
      <c r="S32" s="1270"/>
    </row>
    <row r="33" spans="1:20" ht="13.5" customHeight="1" x14ac:dyDescent="0.35">
      <c r="A33" s="3980"/>
      <c r="B33" s="3980"/>
      <c r="C33" s="4073"/>
      <c r="D33" s="4079"/>
      <c r="E33" s="4080"/>
      <c r="F33" s="4080"/>
      <c r="G33" s="1956"/>
      <c r="H33" s="756"/>
      <c r="I33" s="756"/>
      <c r="J33" s="756"/>
      <c r="K33" s="756"/>
      <c r="L33" s="756"/>
      <c r="M33" s="756"/>
      <c r="N33" s="738"/>
      <c r="O33" s="738"/>
      <c r="P33" s="756"/>
      <c r="Q33" s="2044"/>
      <c r="R33" s="1270"/>
      <c r="S33" s="1270"/>
    </row>
    <row r="34" spans="1:20" ht="13.5" customHeight="1" x14ac:dyDescent="0.35">
      <c r="A34" s="3980"/>
      <c r="B34" s="3980"/>
      <c r="C34" s="4073"/>
      <c r="D34" s="4079"/>
      <c r="E34" s="4080"/>
      <c r="F34" s="4080"/>
      <c r="G34" s="1956"/>
      <c r="H34" s="756"/>
      <c r="I34" s="756"/>
      <c r="J34" s="756"/>
      <c r="K34" s="756"/>
      <c r="L34" s="756"/>
      <c r="M34" s="756"/>
      <c r="N34" s="738"/>
      <c r="O34" s="738"/>
      <c r="P34" s="756"/>
      <c r="Q34" s="2044"/>
      <c r="R34" s="1270"/>
      <c r="S34" s="1270"/>
    </row>
    <row r="35" spans="1:20" ht="13.5" customHeight="1" x14ac:dyDescent="0.35">
      <c r="A35" s="3980"/>
      <c r="B35" s="3980"/>
      <c r="C35" s="4073"/>
      <c r="D35" s="4079"/>
      <c r="E35" s="4080"/>
      <c r="F35" s="4080"/>
      <c r="G35" s="1956"/>
      <c r="H35" s="756"/>
      <c r="I35" s="756"/>
      <c r="J35" s="756"/>
      <c r="K35" s="756"/>
      <c r="L35" s="756"/>
      <c r="M35" s="756"/>
      <c r="N35" s="738"/>
      <c r="O35" s="738"/>
      <c r="P35" s="756"/>
      <c r="Q35" s="2044"/>
      <c r="R35" s="1270"/>
      <c r="S35" s="1270"/>
    </row>
    <row r="36" spans="1:20" ht="13.5" customHeight="1" x14ac:dyDescent="0.35">
      <c r="A36" s="3980"/>
      <c r="B36" s="3980"/>
      <c r="C36" s="4073"/>
      <c r="D36" s="4079"/>
      <c r="E36" s="4080"/>
      <c r="F36" s="4080"/>
      <c r="G36" s="1956"/>
      <c r="H36" s="756"/>
      <c r="I36" s="756"/>
      <c r="J36" s="756"/>
      <c r="K36" s="756"/>
      <c r="L36" s="756"/>
      <c r="M36" s="756"/>
      <c r="N36" s="738"/>
      <c r="O36" s="738"/>
      <c r="P36" s="756"/>
      <c r="Q36" s="2044"/>
      <c r="R36" s="1270"/>
      <c r="S36" s="1270"/>
    </row>
    <row r="37" spans="1:20" ht="13.5" customHeight="1" x14ac:dyDescent="0.35">
      <c r="A37" s="3980"/>
      <c r="B37" s="3980"/>
      <c r="C37" s="4073"/>
      <c r="D37" s="4079"/>
      <c r="E37" s="4080"/>
      <c r="F37" s="4080"/>
      <c r="G37" s="1956"/>
      <c r="H37" s="756"/>
      <c r="I37" s="756"/>
      <c r="J37" s="756"/>
      <c r="K37" s="756"/>
      <c r="L37" s="756"/>
      <c r="M37" s="756"/>
      <c r="N37" s="738"/>
      <c r="O37" s="738"/>
      <c r="P37" s="756"/>
      <c r="Q37" s="2044"/>
      <c r="R37" s="1270"/>
      <c r="S37" s="1270"/>
    </row>
    <row r="38" spans="1:20" ht="13.5" customHeight="1" x14ac:dyDescent="0.35">
      <c r="A38" s="3980"/>
      <c r="B38" s="3980"/>
      <c r="C38" s="4073"/>
      <c r="D38" s="4079"/>
      <c r="E38" s="4080"/>
      <c r="F38" s="4080"/>
      <c r="G38" s="1956"/>
      <c r="H38" s="756"/>
      <c r="I38" s="756"/>
      <c r="J38" s="756"/>
      <c r="K38" s="756"/>
      <c r="L38" s="756"/>
      <c r="M38" s="756"/>
      <c r="N38" s="738"/>
      <c r="O38" s="738"/>
      <c r="P38" s="756"/>
      <c r="Q38" s="2044"/>
      <c r="R38" s="1270"/>
      <c r="S38" s="1270"/>
    </row>
    <row r="39" spans="1:20" ht="13.5" customHeight="1" x14ac:dyDescent="0.35">
      <c r="A39" s="3980"/>
      <c r="B39" s="3980"/>
      <c r="C39" s="4073"/>
      <c r="D39" s="4079"/>
      <c r="E39" s="4080"/>
      <c r="F39" s="4080"/>
      <c r="G39" s="1956"/>
      <c r="H39" s="756"/>
      <c r="I39" s="756"/>
      <c r="J39" s="756"/>
      <c r="K39" s="756"/>
      <c r="L39" s="756"/>
      <c r="M39" s="756"/>
      <c r="N39" s="738"/>
      <c r="O39" s="738"/>
      <c r="P39" s="756"/>
      <c r="Q39" s="2044"/>
      <c r="R39" s="1270"/>
      <c r="S39" s="1270"/>
    </row>
    <row r="40" spans="1:20" ht="13.5" customHeight="1" x14ac:dyDescent="0.35">
      <c r="A40" s="3980"/>
      <c r="B40" s="3980"/>
      <c r="C40" s="4073"/>
      <c r="D40" s="4079"/>
      <c r="E40" s="4080"/>
      <c r="F40" s="4080"/>
      <c r="G40" s="1956"/>
      <c r="H40" s="756"/>
      <c r="I40" s="756"/>
      <c r="J40" s="756"/>
      <c r="K40" s="756"/>
      <c r="L40" s="756"/>
      <c r="M40" s="756"/>
      <c r="N40" s="738"/>
      <c r="O40" s="738"/>
      <c r="P40" s="756"/>
      <c r="Q40" s="2044"/>
      <c r="R40" s="1270"/>
      <c r="S40" s="1270"/>
    </row>
    <row r="41" spans="1:20" ht="13.5" customHeight="1" x14ac:dyDescent="0.35">
      <c r="A41" s="3980"/>
      <c r="B41" s="3980"/>
      <c r="C41" s="4073"/>
      <c r="D41" s="4079"/>
      <c r="E41" s="4080"/>
      <c r="F41" s="4080"/>
      <c r="G41" s="1956"/>
      <c r="H41" s="756"/>
      <c r="I41" s="756"/>
      <c r="J41" s="756"/>
      <c r="K41" s="756"/>
      <c r="L41" s="756"/>
      <c r="M41" s="756"/>
      <c r="N41" s="738"/>
      <c r="O41" s="738"/>
      <c r="P41" s="756"/>
      <c r="Q41" s="2044"/>
      <c r="R41" s="1270"/>
      <c r="S41" s="1270"/>
    </row>
    <row r="42" spans="1:20" ht="13.5" customHeight="1" x14ac:dyDescent="0.35">
      <c r="A42" s="3980"/>
      <c r="B42" s="3980"/>
      <c r="C42" s="4073"/>
      <c r="D42" s="4079"/>
      <c r="E42" s="4080"/>
      <c r="F42" s="4080"/>
      <c r="G42" s="1956"/>
      <c r="H42" s="756"/>
      <c r="I42" s="756"/>
      <c r="J42" s="756"/>
      <c r="K42" s="756"/>
      <c r="L42" s="756"/>
      <c r="M42" s="756"/>
      <c r="N42" s="738"/>
      <c r="O42" s="738"/>
      <c r="P42" s="756"/>
      <c r="Q42" s="2044"/>
      <c r="R42" s="1270"/>
      <c r="S42" s="1270"/>
    </row>
    <row r="43" spans="1:20" ht="13.5" customHeight="1" x14ac:dyDescent="0.35">
      <c r="A43" s="3980"/>
      <c r="B43" s="3980"/>
      <c r="C43" s="4073"/>
      <c r="D43" s="4079"/>
      <c r="E43" s="4080"/>
      <c r="F43" s="4080"/>
      <c r="G43" s="1956"/>
      <c r="H43" s="756"/>
      <c r="I43" s="756"/>
      <c r="J43" s="756"/>
      <c r="K43" s="756"/>
      <c r="L43" s="756"/>
      <c r="M43" s="756"/>
      <c r="N43" s="738"/>
      <c r="O43" s="738"/>
      <c r="P43" s="756"/>
      <c r="Q43" s="2044"/>
      <c r="R43" s="1270"/>
      <c r="S43" s="1270"/>
    </row>
    <row r="44" spans="1:20" ht="13.5" customHeight="1" x14ac:dyDescent="0.35">
      <c r="C44" s="4073"/>
      <c r="D44" s="4079"/>
      <c r="E44" s="4080"/>
      <c r="F44" s="4080"/>
      <c r="G44" s="1956"/>
      <c r="H44" s="756"/>
      <c r="I44" s="756"/>
      <c r="J44" s="756"/>
      <c r="K44" s="756"/>
      <c r="L44" s="756"/>
      <c r="M44" s="756"/>
      <c r="N44" s="738"/>
      <c r="O44" s="738"/>
      <c r="P44" s="756"/>
      <c r="Q44" s="2044"/>
      <c r="R44" s="1270"/>
      <c r="S44" s="1270"/>
    </row>
    <row r="45" spans="1:20" ht="13.5" customHeight="1" x14ac:dyDescent="0.35">
      <c r="C45" s="4073"/>
      <c r="D45" s="4079"/>
      <c r="E45" s="4080"/>
      <c r="F45" s="4080"/>
      <c r="G45" s="1956"/>
      <c r="H45" s="756"/>
      <c r="I45" s="756"/>
      <c r="J45" s="756"/>
      <c r="K45" s="756"/>
      <c r="L45" s="756"/>
      <c r="M45" s="756"/>
      <c r="N45" s="738"/>
      <c r="O45" s="738"/>
      <c r="P45" s="756"/>
      <c r="Q45" s="2044"/>
      <c r="R45" s="1270"/>
      <c r="S45" s="1270"/>
    </row>
    <row r="46" spans="1:20" ht="13.5" customHeight="1" x14ac:dyDescent="0.35">
      <c r="C46" s="4073"/>
      <c r="D46" s="4079"/>
      <c r="E46" s="4080"/>
      <c r="F46" s="4080"/>
      <c r="G46" s="1956"/>
      <c r="H46" s="756"/>
      <c r="I46" s="756"/>
      <c r="J46" s="756"/>
      <c r="K46" s="756"/>
      <c r="L46" s="756"/>
      <c r="M46" s="756"/>
      <c r="N46" s="738"/>
      <c r="O46" s="738"/>
      <c r="P46" s="756"/>
      <c r="Q46" s="2044"/>
      <c r="R46" s="1270"/>
      <c r="S46" s="1270"/>
    </row>
    <row r="47" spans="1:20" ht="12.75" customHeight="1" x14ac:dyDescent="0.25">
      <c r="D47" s="1270"/>
      <c r="G47" s="1270"/>
      <c r="H47" s="1270"/>
      <c r="I47" s="1270"/>
      <c r="J47" s="1270"/>
      <c r="K47" s="785"/>
      <c r="L47" s="785"/>
      <c r="M47" s="1270"/>
      <c r="N47" s="1270"/>
      <c r="O47" s="1270"/>
      <c r="P47" s="1270"/>
      <c r="Q47" s="1270"/>
      <c r="R47" s="1270"/>
      <c r="S47" s="1270"/>
      <c r="T47" s="1956"/>
    </row>
    <row r="48" spans="1:20" ht="14.25" customHeight="1" x14ac:dyDescent="0.2">
      <c r="D48" s="1270"/>
      <c r="E48" s="1270"/>
      <c r="F48" s="1270"/>
      <c r="G48" s="1270"/>
      <c r="H48" s="1270"/>
      <c r="I48" s="1270"/>
      <c r="J48" s="1270"/>
      <c r="K48" s="1270"/>
      <c r="L48" s="1270"/>
      <c r="M48" s="1270"/>
      <c r="N48" s="1270"/>
      <c r="O48" s="1270"/>
      <c r="P48" s="1270"/>
      <c r="Q48" s="1270"/>
      <c r="R48" s="1270"/>
      <c r="S48" s="1270"/>
      <c r="T48" s="1956"/>
    </row>
    <row r="49" spans="1:25" s="2051" customFormat="1" ht="12.75" customHeight="1" x14ac:dyDescent="0.25">
      <c r="A49" s="723">
        <v>7</v>
      </c>
      <c r="B49" s="723" t="s">
        <v>58</v>
      </c>
      <c r="C49" s="723"/>
      <c r="D49" s="4802" t="s">
        <v>1682</v>
      </c>
      <c r="E49" s="5074"/>
      <c r="F49" s="5074"/>
      <c r="G49" s="5074"/>
      <c r="H49" s="5074"/>
      <c r="I49" s="5074"/>
      <c r="J49" s="5074"/>
      <c r="K49" s="5074"/>
      <c r="L49" s="5074"/>
      <c r="M49" s="5074"/>
      <c r="N49" s="5074"/>
      <c r="O49" s="5074"/>
      <c r="P49" s="5074"/>
      <c r="Q49" s="5074"/>
      <c r="R49" s="5075"/>
      <c r="S49" s="724"/>
      <c r="T49" s="725"/>
    </row>
    <row r="50" spans="1:25" s="2051" customFormat="1" ht="65.25" customHeight="1" x14ac:dyDescent="0.25">
      <c r="A50" s="788">
        <v>8</v>
      </c>
      <c r="B50" s="788" t="s">
        <v>60</v>
      </c>
      <c r="C50" s="788"/>
      <c r="D50" s="5078" t="s">
        <v>1683</v>
      </c>
      <c r="E50" s="5079"/>
      <c r="F50" s="5079"/>
      <c r="G50" s="5079"/>
      <c r="H50" s="5079"/>
      <c r="I50" s="5079"/>
      <c r="J50" s="5079"/>
      <c r="K50" s="5079"/>
      <c r="L50" s="5079"/>
      <c r="M50" s="5079"/>
      <c r="N50" s="5079"/>
      <c r="O50" s="5079"/>
      <c r="P50" s="5079"/>
      <c r="Q50" s="5079"/>
      <c r="R50" s="5080"/>
      <c r="S50" s="724"/>
      <c r="T50" s="4091"/>
    </row>
    <row r="51" spans="1:25" ht="32.25" customHeight="1" x14ac:dyDescent="0.2">
      <c r="A51" s="788">
        <v>9</v>
      </c>
      <c r="B51" s="788" t="s">
        <v>64</v>
      </c>
      <c r="D51" s="4802" t="s">
        <v>1684</v>
      </c>
      <c r="E51" s="5074"/>
      <c r="F51" s="5074"/>
      <c r="G51" s="5074"/>
      <c r="H51" s="5074"/>
      <c r="I51" s="5074"/>
      <c r="J51" s="5074"/>
      <c r="K51" s="5074"/>
      <c r="L51" s="5074"/>
      <c r="M51" s="5074"/>
      <c r="N51" s="5074"/>
      <c r="O51" s="5074"/>
      <c r="P51" s="5074"/>
      <c r="Q51" s="5074"/>
      <c r="R51" s="5075"/>
      <c r="S51" s="1270"/>
      <c r="T51" s="1956"/>
    </row>
    <row r="52" spans="1:25" s="2051" customFormat="1" ht="15.75" customHeight="1" x14ac:dyDescent="0.25">
      <c r="A52" s="788">
        <v>10</v>
      </c>
      <c r="B52" s="788" t="s">
        <v>62</v>
      </c>
      <c r="C52" s="723"/>
      <c r="D52" s="4802" t="s">
        <v>1685</v>
      </c>
      <c r="E52" s="5074"/>
      <c r="F52" s="5074"/>
      <c r="G52" s="5074"/>
      <c r="H52" s="5074"/>
      <c r="I52" s="5074"/>
      <c r="J52" s="5074"/>
      <c r="K52" s="5074"/>
      <c r="L52" s="5074"/>
      <c r="M52" s="5074"/>
      <c r="N52" s="5074"/>
      <c r="O52" s="5074"/>
      <c r="P52" s="5074"/>
      <c r="Q52" s="5074"/>
      <c r="R52" s="5075"/>
      <c r="S52" s="724"/>
      <c r="T52" s="725"/>
    </row>
    <row r="53" spans="1:25" x14ac:dyDescent="0.2">
      <c r="D53" s="1265"/>
      <c r="E53" s="1265"/>
      <c r="F53" s="1265"/>
      <c r="G53" s="1265"/>
      <c r="H53" s="1265"/>
      <c r="I53" s="1265"/>
      <c r="J53" s="1265"/>
      <c r="K53" s="1265"/>
      <c r="L53" s="1265"/>
      <c r="M53" s="1265"/>
      <c r="N53" s="1265"/>
      <c r="O53" s="1265"/>
      <c r="P53" s="1270"/>
      <c r="Q53" s="1270"/>
      <c r="R53" s="1270"/>
      <c r="S53" s="1270"/>
      <c r="T53" s="1956"/>
    </row>
    <row r="55" spans="1:25" x14ac:dyDescent="0.25">
      <c r="D55" s="791" t="s">
        <v>234</v>
      </c>
      <c r="E55" s="791" t="s">
        <v>1673</v>
      </c>
      <c r="F55" s="791"/>
      <c r="G55" s="791"/>
      <c r="H55" s="791"/>
      <c r="I55" s="791"/>
      <c r="J55" s="791"/>
      <c r="K55" s="785"/>
      <c r="L55" s="1270"/>
      <c r="M55" s="1270"/>
      <c r="N55" s="658"/>
      <c r="O55" s="658"/>
    </row>
    <row r="56" spans="1:25" x14ac:dyDescent="0.25">
      <c r="D56" s="4076"/>
      <c r="E56" s="3538"/>
      <c r="F56" s="4076" t="s">
        <v>101</v>
      </c>
      <c r="G56" s="4092" t="s">
        <v>109</v>
      </c>
      <c r="H56" s="4092" t="s">
        <v>110</v>
      </c>
      <c r="I56" s="4092" t="s">
        <v>111</v>
      </c>
      <c r="J56" s="4093" t="s">
        <v>112</v>
      </c>
      <c r="K56" s="3541" t="s">
        <v>113</v>
      </c>
      <c r="L56" s="3541" t="s">
        <v>114</v>
      </c>
      <c r="M56" s="3541" t="s">
        <v>115</v>
      </c>
      <c r="N56" s="3540" t="s">
        <v>116</v>
      </c>
      <c r="O56" s="3540" t="s">
        <v>117</v>
      </c>
      <c r="P56" s="3540" t="s">
        <v>118</v>
      </c>
      <c r="Q56" s="4072" t="s">
        <v>119</v>
      </c>
      <c r="R56" s="4072" t="s">
        <v>120</v>
      </c>
      <c r="S56" s="4072" t="s">
        <v>121</v>
      </c>
      <c r="T56" s="4072" t="s">
        <v>122</v>
      </c>
      <c r="U56" s="3539" t="s">
        <v>123</v>
      </c>
      <c r="V56" s="3539" t="s">
        <v>124</v>
      </c>
      <c r="W56" s="3539" t="s">
        <v>125</v>
      </c>
      <c r="X56" s="3539" t="s">
        <v>126</v>
      </c>
      <c r="Y56" s="3539" t="s">
        <v>302</v>
      </c>
    </row>
    <row r="57" spans="1:25" ht="10" x14ac:dyDescent="0.2">
      <c r="A57" s="3980"/>
      <c r="B57" s="3980"/>
      <c r="C57" s="3980"/>
      <c r="D57" s="1956" t="s">
        <v>1674</v>
      </c>
      <c r="E57" s="1956"/>
      <c r="F57" s="4082"/>
      <c r="G57" s="1956"/>
      <c r="H57" s="1956"/>
      <c r="I57" s="1956"/>
      <c r="J57" s="4083">
        <v>113</v>
      </c>
      <c r="K57" s="4084">
        <v>118</v>
      </c>
      <c r="L57" s="4084">
        <v>122</v>
      </c>
      <c r="M57" s="4084">
        <v>121</v>
      </c>
      <c r="N57" s="4084">
        <v>121</v>
      </c>
      <c r="O57" s="4084">
        <v>122</v>
      </c>
      <c r="P57" s="4084">
        <v>125</v>
      </c>
      <c r="Q57" s="4085">
        <v>129</v>
      </c>
      <c r="R57" s="4555"/>
      <c r="S57" s="4085">
        <v>136</v>
      </c>
      <c r="T57" s="4085">
        <v>136</v>
      </c>
      <c r="U57" s="1956">
        <v>150</v>
      </c>
      <c r="V57" s="1956">
        <v>142</v>
      </c>
      <c r="W57" s="1956">
        <v>142</v>
      </c>
      <c r="X57" s="1956">
        <v>143</v>
      </c>
      <c r="Y57" s="3980">
        <v>134</v>
      </c>
    </row>
    <row r="58" spans="1:25" ht="10" x14ac:dyDescent="0.2">
      <c r="A58" s="3980"/>
      <c r="B58" s="3980"/>
      <c r="C58" s="3980"/>
      <c r="D58" s="1956" t="s">
        <v>1675</v>
      </c>
      <c r="E58" s="1956"/>
      <c r="F58" s="4082"/>
      <c r="J58" s="4083">
        <v>16</v>
      </c>
      <c r="K58" s="4084">
        <v>11</v>
      </c>
      <c r="L58" s="4084">
        <v>11</v>
      </c>
      <c r="M58" s="4084">
        <v>11</v>
      </c>
      <c r="N58" s="4084" t="s">
        <v>1676</v>
      </c>
      <c r="O58" s="4084">
        <v>16</v>
      </c>
      <c r="P58" s="4084">
        <v>18</v>
      </c>
      <c r="Q58" s="4085">
        <v>19</v>
      </c>
      <c r="R58" s="4555"/>
      <c r="S58" s="4085">
        <v>19</v>
      </c>
      <c r="T58" s="4085">
        <v>19</v>
      </c>
      <c r="U58" s="3980">
        <v>21</v>
      </c>
      <c r="V58" s="3980">
        <v>20</v>
      </c>
      <c r="W58" s="3980">
        <v>20</v>
      </c>
      <c r="X58" s="3980">
        <v>20</v>
      </c>
      <c r="Y58" s="3980">
        <v>21</v>
      </c>
    </row>
    <row r="59" spans="1:25" ht="10" x14ac:dyDescent="0.2">
      <c r="A59" s="3980"/>
      <c r="B59" s="3980"/>
      <c r="C59" s="3980"/>
      <c r="D59" s="2044" t="s">
        <v>1677</v>
      </c>
      <c r="E59" s="2044"/>
      <c r="F59" s="4086"/>
      <c r="J59" s="4082">
        <v>53</v>
      </c>
      <c r="K59" s="2392">
        <v>53</v>
      </c>
      <c r="L59" s="2392">
        <v>53</v>
      </c>
      <c r="M59" s="2392">
        <v>53</v>
      </c>
      <c r="N59" s="2392">
        <v>53</v>
      </c>
      <c r="O59" s="2153">
        <v>53</v>
      </c>
      <c r="P59" s="2153">
        <v>52</v>
      </c>
      <c r="Q59" s="4087">
        <v>50</v>
      </c>
      <c r="R59" s="4556"/>
      <c r="S59" s="4087">
        <v>57</v>
      </c>
      <c r="T59" s="4087">
        <v>57</v>
      </c>
      <c r="U59" s="3980">
        <v>57</v>
      </c>
      <c r="V59" s="3980">
        <v>53</v>
      </c>
      <c r="W59" s="3980">
        <v>53</v>
      </c>
      <c r="X59" s="3980">
        <v>53</v>
      </c>
      <c r="Y59" s="3980">
        <v>57</v>
      </c>
    </row>
    <row r="60" spans="1:25" ht="10" x14ac:dyDescent="0.2">
      <c r="A60" s="3980"/>
      <c r="B60" s="3980"/>
      <c r="C60" s="3980"/>
      <c r="D60" s="2044" t="s">
        <v>1678</v>
      </c>
      <c r="E60" s="2044"/>
      <c r="F60" s="4086"/>
      <c r="J60" s="4082">
        <v>73</v>
      </c>
      <c r="K60" s="2392">
        <v>73</v>
      </c>
      <c r="L60" s="2392">
        <v>73</v>
      </c>
      <c r="M60" s="2392">
        <v>73</v>
      </c>
      <c r="N60" s="2392">
        <v>73</v>
      </c>
      <c r="O60" s="2153">
        <v>73</v>
      </c>
      <c r="P60" s="2153">
        <v>80</v>
      </c>
      <c r="Q60" s="4087">
        <v>82</v>
      </c>
      <c r="R60" s="4556"/>
      <c r="S60" s="4087">
        <v>82</v>
      </c>
      <c r="T60" s="4087">
        <v>82</v>
      </c>
      <c r="U60" s="3980">
        <v>82</v>
      </c>
      <c r="V60" s="3980">
        <v>79</v>
      </c>
      <c r="W60" s="3980">
        <v>79</v>
      </c>
      <c r="X60" s="3980">
        <v>79</v>
      </c>
      <c r="Y60" s="3980">
        <v>78</v>
      </c>
    </row>
    <row r="61" spans="1:25" ht="10" x14ac:dyDescent="0.2">
      <c r="A61" s="3980"/>
      <c r="B61" s="3980"/>
      <c r="C61" s="3980"/>
      <c r="D61" s="2044" t="s">
        <v>1679</v>
      </c>
      <c r="E61" s="2044"/>
      <c r="F61" s="4086"/>
      <c r="J61" s="4082">
        <v>22</v>
      </c>
      <c r="K61" s="2392">
        <v>23</v>
      </c>
      <c r="L61" s="2392">
        <v>23</v>
      </c>
      <c r="M61" s="2392">
        <v>26</v>
      </c>
      <c r="N61" s="2392">
        <v>28</v>
      </c>
      <c r="O61" s="2153">
        <v>31</v>
      </c>
      <c r="P61" s="2153">
        <v>30</v>
      </c>
      <c r="Q61" s="4087">
        <v>30</v>
      </c>
      <c r="R61" s="4556"/>
      <c r="S61" s="4087">
        <v>31</v>
      </c>
      <c r="T61" s="4087">
        <v>31</v>
      </c>
      <c r="U61" s="3980">
        <v>30</v>
      </c>
      <c r="V61" s="3980">
        <v>30</v>
      </c>
      <c r="W61" s="3980">
        <v>30</v>
      </c>
      <c r="X61" s="3980">
        <v>31</v>
      </c>
      <c r="Y61" s="3980">
        <v>31</v>
      </c>
    </row>
    <row r="62" spans="1:25" ht="10" x14ac:dyDescent="0.2">
      <c r="A62" s="3980"/>
      <c r="B62" s="3980"/>
      <c r="C62" s="3980"/>
      <c r="D62" s="2044" t="s">
        <v>1680</v>
      </c>
      <c r="E62" s="2044"/>
      <c r="F62" s="4086"/>
      <c r="J62" s="4082">
        <v>1</v>
      </c>
      <c r="K62" s="2392">
        <v>1</v>
      </c>
      <c r="L62" s="2392">
        <v>1</v>
      </c>
      <c r="M62" s="2392">
        <v>1</v>
      </c>
      <c r="N62" s="2392">
        <v>1</v>
      </c>
      <c r="O62" s="2153">
        <v>1</v>
      </c>
      <c r="P62" s="2153">
        <v>1</v>
      </c>
      <c r="Q62" s="4087">
        <v>1</v>
      </c>
      <c r="R62" s="4556"/>
      <c r="S62" s="4087">
        <v>1</v>
      </c>
      <c r="T62" s="4087">
        <v>1</v>
      </c>
      <c r="U62" s="3980">
        <v>1</v>
      </c>
      <c r="V62" s="3980">
        <v>1</v>
      </c>
      <c r="W62" s="3980">
        <v>1</v>
      </c>
      <c r="X62" s="3980">
        <v>1</v>
      </c>
      <c r="Y62" s="3980">
        <v>1</v>
      </c>
    </row>
    <row r="63" spans="1:25" ht="21" x14ac:dyDescent="0.25">
      <c r="A63" s="3980"/>
      <c r="B63" s="3980"/>
      <c r="C63" s="3980"/>
      <c r="D63" s="4074" t="s">
        <v>1681</v>
      </c>
      <c r="E63" s="4074"/>
      <c r="F63" s="4088">
        <v>68</v>
      </c>
      <c r="G63" s="4094"/>
      <c r="H63" s="4094"/>
      <c r="I63" s="4094"/>
      <c r="J63" s="4089">
        <f>SUM(J57:J62)</f>
        <v>278</v>
      </c>
      <c r="K63" s="4089">
        <f>SUM(K57:K62)</f>
        <v>279</v>
      </c>
      <c r="L63" s="4089">
        <f>SUM(L57:L62)</f>
        <v>283</v>
      </c>
      <c r="M63" s="4089">
        <f>SUM(M57:M62)</f>
        <v>285</v>
      </c>
      <c r="N63" s="4089">
        <v>292</v>
      </c>
      <c r="O63" s="4089">
        <f>SUM(O57:O62)</f>
        <v>296</v>
      </c>
      <c r="P63" s="4089">
        <v>307</v>
      </c>
      <c r="Q63" s="4089">
        <f>SUM(Q57:Q62)</f>
        <v>311</v>
      </c>
      <c r="R63" s="4089"/>
      <c r="S63" s="4089">
        <f>SUM(S57:S62)</f>
        <v>326</v>
      </c>
      <c r="T63" s="4089">
        <f>SUM(T57:T62)</f>
        <v>326</v>
      </c>
      <c r="U63" s="3555">
        <v>341</v>
      </c>
      <c r="V63" s="3555">
        <v>325</v>
      </c>
      <c r="W63" s="3555">
        <v>325</v>
      </c>
      <c r="X63" s="3555">
        <v>327</v>
      </c>
      <c r="Y63" s="3555">
        <v>322</v>
      </c>
    </row>
    <row r="64" spans="1:25" ht="10" x14ac:dyDescent="0.2">
      <c r="A64" s="3980"/>
      <c r="B64" s="3980"/>
      <c r="C64" s="3980"/>
      <c r="D64" s="4095" t="s">
        <v>1686</v>
      </c>
      <c r="E64" s="4095"/>
      <c r="F64" s="4095"/>
      <c r="G64" s="4095">
        <v>91</v>
      </c>
      <c r="H64" s="4095">
        <v>96</v>
      </c>
      <c r="I64" s="4095">
        <v>101</v>
      </c>
      <c r="J64" s="4095">
        <v>107</v>
      </c>
      <c r="K64" s="4095">
        <v>109</v>
      </c>
      <c r="L64" s="4095">
        <v>114</v>
      </c>
      <c r="M64" s="4095">
        <v>119</v>
      </c>
      <c r="N64" s="4095">
        <v>124</v>
      </c>
      <c r="O64" s="4095">
        <v>124</v>
      </c>
      <c r="P64" s="4095">
        <v>125</v>
      </c>
      <c r="Q64" s="4095">
        <v>125</v>
      </c>
      <c r="R64" s="4095">
        <v>125</v>
      </c>
      <c r="S64" s="4095">
        <v>125</v>
      </c>
      <c r="T64" s="4095">
        <v>125</v>
      </c>
      <c r="U64" s="4095">
        <v>124</v>
      </c>
      <c r="V64" s="4095"/>
      <c r="W64" s="4095">
        <v>124</v>
      </c>
      <c r="X64" s="4095">
        <v>125</v>
      </c>
      <c r="Y64" s="4095">
        <v>125</v>
      </c>
    </row>
    <row r="65" spans="1:20" x14ac:dyDescent="0.25">
      <c r="A65" s="3980"/>
      <c r="B65" s="3980"/>
      <c r="C65" s="3980"/>
      <c r="H65" s="1514"/>
      <c r="I65" s="1514"/>
      <c r="J65" s="1514"/>
      <c r="K65" s="1514"/>
      <c r="L65" s="1514"/>
      <c r="M65" s="1514"/>
      <c r="N65" s="1514"/>
      <c r="O65" s="1514"/>
      <c r="P65" s="1514"/>
      <c r="Q65" s="4075"/>
      <c r="R65" s="4096"/>
      <c r="S65" s="4096"/>
      <c r="T65" s="4096"/>
    </row>
  </sheetData>
  <mergeCells count="8">
    <mergeCell ref="D51:R51"/>
    <mergeCell ref="D52:R52"/>
    <mergeCell ref="D2:U2"/>
    <mergeCell ref="D4:U4"/>
    <mergeCell ref="D5:U5"/>
    <mergeCell ref="D20:F20"/>
    <mergeCell ref="D49:R49"/>
    <mergeCell ref="D50:R50"/>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7" tint="-0.499984740745262"/>
    <pageSetUpPr fitToPage="1"/>
  </sheetPr>
  <dimension ref="A1:X36"/>
  <sheetViews>
    <sheetView showGridLines="0" view="pageBreakPreview" zoomScaleNormal="100" zoomScaleSheetLayoutView="100" workbookViewId="0">
      <selection activeCell="S38" sqref="S38"/>
    </sheetView>
  </sheetViews>
  <sheetFormatPr defaultColWidth="9.1796875" defaultRowHeight="10.5" x14ac:dyDescent="0.2"/>
  <cols>
    <col min="1" max="1" width="3.7265625" style="3982" customWidth="1"/>
    <col min="2" max="2" width="14.453125" style="3983" customWidth="1"/>
    <col min="3" max="3" width="5.453125" style="3983" customWidth="1"/>
    <col min="4" max="4" width="14.1796875" style="3980" customWidth="1"/>
    <col min="5" max="19" width="6" style="3980" customWidth="1"/>
    <col min="20" max="20" width="6.453125" style="3980" customWidth="1"/>
    <col min="21" max="21" width="5.54296875" style="3980" customWidth="1"/>
    <col min="22" max="22" width="6.453125" style="3980" customWidth="1"/>
    <col min="23" max="23" width="6.54296875" style="3980" customWidth="1"/>
    <col min="24" max="24" width="7" style="3980" customWidth="1"/>
    <col min="25" max="257" width="9.1796875" style="3980"/>
    <col min="258" max="258" width="3.7265625" style="3980" customWidth="1"/>
    <col min="259" max="259" width="14.453125" style="3980" customWidth="1"/>
    <col min="260" max="260" width="5.453125" style="3980" customWidth="1"/>
    <col min="261" max="261" width="14.1796875" style="3980" customWidth="1"/>
    <col min="262" max="275" width="6" style="3980" customWidth="1"/>
    <col min="276" max="513" width="9.1796875" style="3980"/>
    <col min="514" max="514" width="3.7265625" style="3980" customWidth="1"/>
    <col min="515" max="515" width="14.453125" style="3980" customWidth="1"/>
    <col min="516" max="516" width="5.453125" style="3980" customWidth="1"/>
    <col min="517" max="517" width="14.1796875" style="3980" customWidth="1"/>
    <col min="518" max="531" width="6" style="3980" customWidth="1"/>
    <col min="532" max="769" width="9.1796875" style="3980"/>
    <col min="770" max="770" width="3.7265625" style="3980" customWidth="1"/>
    <col min="771" max="771" width="14.453125" style="3980" customWidth="1"/>
    <col min="772" max="772" width="5.453125" style="3980" customWidth="1"/>
    <col min="773" max="773" width="14.1796875" style="3980" customWidth="1"/>
    <col min="774" max="787" width="6" style="3980" customWidth="1"/>
    <col min="788" max="1025" width="9.1796875" style="3980"/>
    <col min="1026" max="1026" width="3.7265625" style="3980" customWidth="1"/>
    <col min="1027" max="1027" width="14.453125" style="3980" customWidth="1"/>
    <col min="1028" max="1028" width="5.453125" style="3980" customWidth="1"/>
    <col min="1029" max="1029" width="14.1796875" style="3980" customWidth="1"/>
    <col min="1030" max="1043" width="6" style="3980" customWidth="1"/>
    <col min="1044" max="1281" width="9.1796875" style="3980"/>
    <col min="1282" max="1282" width="3.7265625" style="3980" customWidth="1"/>
    <col min="1283" max="1283" width="14.453125" style="3980" customWidth="1"/>
    <col min="1284" max="1284" width="5.453125" style="3980" customWidth="1"/>
    <col min="1285" max="1285" width="14.1796875" style="3980" customWidth="1"/>
    <col min="1286" max="1299" width="6" style="3980" customWidth="1"/>
    <col min="1300" max="1537" width="9.1796875" style="3980"/>
    <col min="1538" max="1538" width="3.7265625" style="3980" customWidth="1"/>
    <col min="1539" max="1539" width="14.453125" style="3980" customWidth="1"/>
    <col min="1540" max="1540" width="5.453125" style="3980" customWidth="1"/>
    <col min="1541" max="1541" width="14.1796875" style="3980" customWidth="1"/>
    <col min="1542" max="1555" width="6" style="3980" customWidth="1"/>
    <col min="1556" max="1793" width="9.1796875" style="3980"/>
    <col min="1794" max="1794" width="3.7265625" style="3980" customWidth="1"/>
    <col min="1795" max="1795" width="14.453125" style="3980" customWidth="1"/>
    <col min="1796" max="1796" width="5.453125" style="3980" customWidth="1"/>
    <col min="1797" max="1797" width="14.1796875" style="3980" customWidth="1"/>
    <col min="1798" max="1811" width="6" style="3980" customWidth="1"/>
    <col min="1812" max="2049" width="9.1796875" style="3980"/>
    <col min="2050" max="2050" width="3.7265625" style="3980" customWidth="1"/>
    <col min="2051" max="2051" width="14.453125" style="3980" customWidth="1"/>
    <col min="2052" max="2052" width="5.453125" style="3980" customWidth="1"/>
    <col min="2053" max="2053" width="14.1796875" style="3980" customWidth="1"/>
    <col min="2054" max="2067" width="6" style="3980" customWidth="1"/>
    <col min="2068" max="2305" width="9.1796875" style="3980"/>
    <col min="2306" max="2306" width="3.7265625" style="3980" customWidth="1"/>
    <col min="2307" max="2307" width="14.453125" style="3980" customWidth="1"/>
    <col min="2308" max="2308" width="5.453125" style="3980" customWidth="1"/>
    <col min="2309" max="2309" width="14.1796875" style="3980" customWidth="1"/>
    <col min="2310" max="2323" width="6" style="3980" customWidth="1"/>
    <col min="2324" max="2561" width="9.1796875" style="3980"/>
    <col min="2562" max="2562" width="3.7265625" style="3980" customWidth="1"/>
    <col min="2563" max="2563" width="14.453125" style="3980" customWidth="1"/>
    <col min="2564" max="2564" width="5.453125" style="3980" customWidth="1"/>
    <col min="2565" max="2565" width="14.1796875" style="3980" customWidth="1"/>
    <col min="2566" max="2579" width="6" style="3980" customWidth="1"/>
    <col min="2580" max="2817" width="9.1796875" style="3980"/>
    <col min="2818" max="2818" width="3.7265625" style="3980" customWidth="1"/>
    <col min="2819" max="2819" width="14.453125" style="3980" customWidth="1"/>
    <col min="2820" max="2820" width="5.453125" style="3980" customWidth="1"/>
    <col min="2821" max="2821" width="14.1796875" style="3980" customWidth="1"/>
    <col min="2822" max="2835" width="6" style="3980" customWidth="1"/>
    <col min="2836" max="3073" width="9.1796875" style="3980"/>
    <col min="3074" max="3074" width="3.7265625" style="3980" customWidth="1"/>
    <col min="3075" max="3075" width="14.453125" style="3980" customWidth="1"/>
    <col min="3076" max="3076" width="5.453125" style="3980" customWidth="1"/>
    <col min="3077" max="3077" width="14.1796875" style="3980" customWidth="1"/>
    <col min="3078" max="3091" width="6" style="3980" customWidth="1"/>
    <col min="3092" max="3329" width="9.1796875" style="3980"/>
    <col min="3330" max="3330" width="3.7265625" style="3980" customWidth="1"/>
    <col min="3331" max="3331" width="14.453125" style="3980" customWidth="1"/>
    <col min="3332" max="3332" width="5.453125" style="3980" customWidth="1"/>
    <col min="3333" max="3333" width="14.1796875" style="3980" customWidth="1"/>
    <col min="3334" max="3347" width="6" style="3980" customWidth="1"/>
    <col min="3348" max="3585" width="9.1796875" style="3980"/>
    <col min="3586" max="3586" width="3.7265625" style="3980" customWidth="1"/>
    <col min="3587" max="3587" width="14.453125" style="3980" customWidth="1"/>
    <col min="3588" max="3588" width="5.453125" style="3980" customWidth="1"/>
    <col min="3589" max="3589" width="14.1796875" style="3980" customWidth="1"/>
    <col min="3590" max="3603" width="6" style="3980" customWidth="1"/>
    <col min="3604" max="3841" width="9.1796875" style="3980"/>
    <col min="3842" max="3842" width="3.7265625" style="3980" customWidth="1"/>
    <col min="3843" max="3843" width="14.453125" style="3980" customWidth="1"/>
    <col min="3844" max="3844" width="5.453125" style="3980" customWidth="1"/>
    <col min="3845" max="3845" width="14.1796875" style="3980" customWidth="1"/>
    <col min="3846" max="3859" width="6" style="3980" customWidth="1"/>
    <col min="3860" max="4097" width="9.1796875" style="3980"/>
    <col min="4098" max="4098" width="3.7265625" style="3980" customWidth="1"/>
    <col min="4099" max="4099" width="14.453125" style="3980" customWidth="1"/>
    <col min="4100" max="4100" width="5.453125" style="3980" customWidth="1"/>
    <col min="4101" max="4101" width="14.1796875" style="3980" customWidth="1"/>
    <col min="4102" max="4115" width="6" style="3980" customWidth="1"/>
    <col min="4116" max="4353" width="9.1796875" style="3980"/>
    <col min="4354" max="4354" width="3.7265625" style="3980" customWidth="1"/>
    <col min="4355" max="4355" width="14.453125" style="3980" customWidth="1"/>
    <col min="4356" max="4356" width="5.453125" style="3980" customWidth="1"/>
    <col min="4357" max="4357" width="14.1796875" style="3980" customWidth="1"/>
    <col min="4358" max="4371" width="6" style="3980" customWidth="1"/>
    <col min="4372" max="4609" width="9.1796875" style="3980"/>
    <col min="4610" max="4610" width="3.7265625" style="3980" customWidth="1"/>
    <col min="4611" max="4611" width="14.453125" style="3980" customWidth="1"/>
    <col min="4612" max="4612" width="5.453125" style="3980" customWidth="1"/>
    <col min="4613" max="4613" width="14.1796875" style="3980" customWidth="1"/>
    <col min="4614" max="4627" width="6" style="3980" customWidth="1"/>
    <col min="4628" max="4865" width="9.1796875" style="3980"/>
    <col min="4866" max="4866" width="3.7265625" style="3980" customWidth="1"/>
    <col min="4867" max="4867" width="14.453125" style="3980" customWidth="1"/>
    <col min="4868" max="4868" width="5.453125" style="3980" customWidth="1"/>
    <col min="4869" max="4869" width="14.1796875" style="3980" customWidth="1"/>
    <col min="4870" max="4883" width="6" style="3980" customWidth="1"/>
    <col min="4884" max="5121" width="9.1796875" style="3980"/>
    <col min="5122" max="5122" width="3.7265625" style="3980" customWidth="1"/>
    <col min="5123" max="5123" width="14.453125" style="3980" customWidth="1"/>
    <col min="5124" max="5124" width="5.453125" style="3980" customWidth="1"/>
    <col min="5125" max="5125" width="14.1796875" style="3980" customWidth="1"/>
    <col min="5126" max="5139" width="6" style="3980" customWidth="1"/>
    <col min="5140" max="5377" width="9.1796875" style="3980"/>
    <col min="5378" max="5378" width="3.7265625" style="3980" customWidth="1"/>
    <col min="5379" max="5379" width="14.453125" style="3980" customWidth="1"/>
    <col min="5380" max="5380" width="5.453125" style="3980" customWidth="1"/>
    <col min="5381" max="5381" width="14.1796875" style="3980" customWidth="1"/>
    <col min="5382" max="5395" width="6" style="3980" customWidth="1"/>
    <col min="5396" max="5633" width="9.1796875" style="3980"/>
    <col min="5634" max="5634" width="3.7265625" style="3980" customWidth="1"/>
    <col min="5635" max="5635" width="14.453125" style="3980" customWidth="1"/>
    <col min="5636" max="5636" width="5.453125" style="3980" customWidth="1"/>
    <col min="5637" max="5637" width="14.1796875" style="3980" customWidth="1"/>
    <col min="5638" max="5651" width="6" style="3980" customWidth="1"/>
    <col min="5652" max="5889" width="9.1796875" style="3980"/>
    <col min="5890" max="5890" width="3.7265625" style="3980" customWidth="1"/>
    <col min="5891" max="5891" width="14.453125" style="3980" customWidth="1"/>
    <col min="5892" max="5892" width="5.453125" style="3980" customWidth="1"/>
    <col min="5893" max="5893" width="14.1796875" style="3980" customWidth="1"/>
    <col min="5894" max="5907" width="6" style="3980" customWidth="1"/>
    <col min="5908" max="6145" width="9.1796875" style="3980"/>
    <col min="6146" max="6146" width="3.7265625" style="3980" customWidth="1"/>
    <col min="6147" max="6147" width="14.453125" style="3980" customWidth="1"/>
    <col min="6148" max="6148" width="5.453125" style="3980" customWidth="1"/>
    <col min="6149" max="6149" width="14.1796875" style="3980" customWidth="1"/>
    <col min="6150" max="6163" width="6" style="3980" customWidth="1"/>
    <col min="6164" max="6401" width="9.1796875" style="3980"/>
    <col min="6402" max="6402" width="3.7265625" style="3980" customWidth="1"/>
    <col min="6403" max="6403" width="14.453125" style="3980" customWidth="1"/>
    <col min="6404" max="6404" width="5.453125" style="3980" customWidth="1"/>
    <col min="6405" max="6405" width="14.1796875" style="3980" customWidth="1"/>
    <col min="6406" max="6419" width="6" style="3980" customWidth="1"/>
    <col min="6420" max="6657" width="9.1796875" style="3980"/>
    <col min="6658" max="6658" width="3.7265625" style="3980" customWidth="1"/>
    <col min="6659" max="6659" width="14.453125" style="3980" customWidth="1"/>
    <col min="6660" max="6660" width="5.453125" style="3980" customWidth="1"/>
    <col min="6661" max="6661" width="14.1796875" style="3980" customWidth="1"/>
    <col min="6662" max="6675" width="6" style="3980" customWidth="1"/>
    <col min="6676" max="6913" width="9.1796875" style="3980"/>
    <col min="6914" max="6914" width="3.7265625" style="3980" customWidth="1"/>
    <col min="6915" max="6915" width="14.453125" style="3980" customWidth="1"/>
    <col min="6916" max="6916" width="5.453125" style="3980" customWidth="1"/>
    <col min="6917" max="6917" width="14.1796875" style="3980" customWidth="1"/>
    <col min="6918" max="6931" width="6" style="3980" customWidth="1"/>
    <col min="6932" max="7169" width="9.1796875" style="3980"/>
    <col min="7170" max="7170" width="3.7265625" style="3980" customWidth="1"/>
    <col min="7171" max="7171" width="14.453125" style="3980" customWidth="1"/>
    <col min="7172" max="7172" width="5.453125" style="3980" customWidth="1"/>
    <col min="7173" max="7173" width="14.1796875" style="3980" customWidth="1"/>
    <col min="7174" max="7187" width="6" style="3980" customWidth="1"/>
    <col min="7188" max="7425" width="9.1796875" style="3980"/>
    <col min="7426" max="7426" width="3.7265625" style="3980" customWidth="1"/>
    <col min="7427" max="7427" width="14.453125" style="3980" customWidth="1"/>
    <col min="7428" max="7428" width="5.453125" style="3980" customWidth="1"/>
    <col min="7429" max="7429" width="14.1796875" style="3980" customWidth="1"/>
    <col min="7430" max="7443" width="6" style="3980" customWidth="1"/>
    <col min="7444" max="7681" width="9.1796875" style="3980"/>
    <col min="7682" max="7682" width="3.7265625" style="3980" customWidth="1"/>
    <col min="7683" max="7683" width="14.453125" style="3980" customWidth="1"/>
    <col min="7684" max="7684" width="5.453125" style="3980" customWidth="1"/>
    <col min="7685" max="7685" width="14.1796875" style="3980" customWidth="1"/>
    <col min="7686" max="7699" width="6" style="3980" customWidth="1"/>
    <col min="7700" max="7937" width="9.1796875" style="3980"/>
    <col min="7938" max="7938" width="3.7265625" style="3980" customWidth="1"/>
    <col min="7939" max="7939" width="14.453125" style="3980" customWidth="1"/>
    <col min="7940" max="7940" width="5.453125" style="3980" customWidth="1"/>
    <col min="7941" max="7941" width="14.1796875" style="3980" customWidth="1"/>
    <col min="7942" max="7955" width="6" style="3980" customWidth="1"/>
    <col min="7956" max="8193" width="9.1796875" style="3980"/>
    <col min="8194" max="8194" width="3.7265625" style="3980" customWidth="1"/>
    <col min="8195" max="8195" width="14.453125" style="3980" customWidth="1"/>
    <col min="8196" max="8196" width="5.453125" style="3980" customWidth="1"/>
    <col min="8197" max="8197" width="14.1796875" style="3980" customWidth="1"/>
    <col min="8198" max="8211" width="6" style="3980" customWidth="1"/>
    <col min="8212" max="8449" width="9.1796875" style="3980"/>
    <col min="8450" max="8450" width="3.7265625" style="3980" customWidth="1"/>
    <col min="8451" max="8451" width="14.453125" style="3980" customWidth="1"/>
    <col min="8452" max="8452" width="5.453125" style="3980" customWidth="1"/>
    <col min="8453" max="8453" width="14.1796875" style="3980" customWidth="1"/>
    <col min="8454" max="8467" width="6" style="3980" customWidth="1"/>
    <col min="8468" max="8705" width="9.1796875" style="3980"/>
    <col min="8706" max="8706" width="3.7265625" style="3980" customWidth="1"/>
    <col min="8707" max="8707" width="14.453125" style="3980" customWidth="1"/>
    <col min="8708" max="8708" width="5.453125" style="3980" customWidth="1"/>
    <col min="8709" max="8709" width="14.1796875" style="3980" customWidth="1"/>
    <col min="8710" max="8723" width="6" style="3980" customWidth="1"/>
    <col min="8724" max="8961" width="9.1796875" style="3980"/>
    <col min="8962" max="8962" width="3.7265625" style="3980" customWidth="1"/>
    <col min="8963" max="8963" width="14.453125" style="3980" customWidth="1"/>
    <col min="8964" max="8964" width="5.453125" style="3980" customWidth="1"/>
    <col min="8965" max="8965" width="14.1796875" style="3980" customWidth="1"/>
    <col min="8966" max="8979" width="6" style="3980" customWidth="1"/>
    <col min="8980" max="9217" width="9.1796875" style="3980"/>
    <col min="9218" max="9218" width="3.7265625" style="3980" customWidth="1"/>
    <col min="9219" max="9219" width="14.453125" style="3980" customWidth="1"/>
    <col min="9220" max="9220" width="5.453125" style="3980" customWidth="1"/>
    <col min="9221" max="9221" width="14.1796875" style="3980" customWidth="1"/>
    <col min="9222" max="9235" width="6" style="3980" customWidth="1"/>
    <col min="9236" max="9473" width="9.1796875" style="3980"/>
    <col min="9474" max="9474" width="3.7265625" style="3980" customWidth="1"/>
    <col min="9475" max="9475" width="14.453125" style="3980" customWidth="1"/>
    <col min="9476" max="9476" width="5.453125" style="3980" customWidth="1"/>
    <col min="9477" max="9477" width="14.1796875" style="3980" customWidth="1"/>
    <col min="9478" max="9491" width="6" style="3980" customWidth="1"/>
    <col min="9492" max="9729" width="9.1796875" style="3980"/>
    <col min="9730" max="9730" width="3.7265625" style="3980" customWidth="1"/>
    <col min="9731" max="9731" width="14.453125" style="3980" customWidth="1"/>
    <col min="9732" max="9732" width="5.453125" style="3980" customWidth="1"/>
    <col min="9733" max="9733" width="14.1796875" style="3980" customWidth="1"/>
    <col min="9734" max="9747" width="6" style="3980" customWidth="1"/>
    <col min="9748" max="9985" width="9.1796875" style="3980"/>
    <col min="9986" max="9986" width="3.7265625" style="3980" customWidth="1"/>
    <col min="9987" max="9987" width="14.453125" style="3980" customWidth="1"/>
    <col min="9988" max="9988" width="5.453125" style="3980" customWidth="1"/>
    <col min="9989" max="9989" width="14.1796875" style="3980" customWidth="1"/>
    <col min="9990" max="10003" width="6" style="3980" customWidth="1"/>
    <col min="10004" max="10241" width="9.1796875" style="3980"/>
    <col min="10242" max="10242" width="3.7265625" style="3980" customWidth="1"/>
    <col min="10243" max="10243" width="14.453125" style="3980" customWidth="1"/>
    <col min="10244" max="10244" width="5.453125" style="3980" customWidth="1"/>
    <col min="10245" max="10245" width="14.1796875" style="3980" customWidth="1"/>
    <col min="10246" max="10259" width="6" style="3980" customWidth="1"/>
    <col min="10260" max="10497" width="9.1796875" style="3980"/>
    <col min="10498" max="10498" width="3.7265625" style="3980" customWidth="1"/>
    <col min="10499" max="10499" width="14.453125" style="3980" customWidth="1"/>
    <col min="10500" max="10500" width="5.453125" style="3980" customWidth="1"/>
    <col min="10501" max="10501" width="14.1796875" style="3980" customWidth="1"/>
    <col min="10502" max="10515" width="6" style="3980" customWidth="1"/>
    <col min="10516" max="10753" width="9.1796875" style="3980"/>
    <col min="10754" max="10754" width="3.7265625" style="3980" customWidth="1"/>
    <col min="10755" max="10755" width="14.453125" style="3980" customWidth="1"/>
    <col min="10756" max="10756" width="5.453125" style="3980" customWidth="1"/>
    <col min="10757" max="10757" width="14.1796875" style="3980" customWidth="1"/>
    <col min="10758" max="10771" width="6" style="3980" customWidth="1"/>
    <col min="10772" max="11009" width="9.1796875" style="3980"/>
    <col min="11010" max="11010" width="3.7265625" style="3980" customWidth="1"/>
    <col min="11011" max="11011" width="14.453125" style="3980" customWidth="1"/>
    <col min="11012" max="11012" width="5.453125" style="3980" customWidth="1"/>
    <col min="11013" max="11013" width="14.1796875" style="3980" customWidth="1"/>
    <col min="11014" max="11027" width="6" style="3980" customWidth="1"/>
    <col min="11028" max="11265" width="9.1796875" style="3980"/>
    <col min="11266" max="11266" width="3.7265625" style="3980" customWidth="1"/>
    <col min="11267" max="11267" width="14.453125" style="3980" customWidth="1"/>
    <col min="11268" max="11268" width="5.453125" style="3980" customWidth="1"/>
    <col min="11269" max="11269" width="14.1796875" style="3980" customWidth="1"/>
    <col min="11270" max="11283" width="6" style="3980" customWidth="1"/>
    <col min="11284" max="11521" width="9.1796875" style="3980"/>
    <col min="11522" max="11522" width="3.7265625" style="3980" customWidth="1"/>
    <col min="11523" max="11523" width="14.453125" style="3980" customWidth="1"/>
    <col min="11524" max="11524" width="5.453125" style="3980" customWidth="1"/>
    <col min="11525" max="11525" width="14.1796875" style="3980" customWidth="1"/>
    <col min="11526" max="11539" width="6" style="3980" customWidth="1"/>
    <col min="11540" max="11777" width="9.1796875" style="3980"/>
    <col min="11778" max="11778" width="3.7265625" style="3980" customWidth="1"/>
    <col min="11779" max="11779" width="14.453125" style="3980" customWidth="1"/>
    <col min="11780" max="11780" width="5.453125" style="3980" customWidth="1"/>
    <col min="11781" max="11781" width="14.1796875" style="3980" customWidth="1"/>
    <col min="11782" max="11795" width="6" style="3980" customWidth="1"/>
    <col min="11796" max="12033" width="9.1796875" style="3980"/>
    <col min="12034" max="12034" width="3.7265625" style="3980" customWidth="1"/>
    <col min="12035" max="12035" width="14.453125" style="3980" customWidth="1"/>
    <col min="12036" max="12036" width="5.453125" style="3980" customWidth="1"/>
    <col min="12037" max="12037" width="14.1796875" style="3980" customWidth="1"/>
    <col min="12038" max="12051" width="6" style="3980" customWidth="1"/>
    <col min="12052" max="12289" width="9.1796875" style="3980"/>
    <col min="12290" max="12290" width="3.7265625" style="3980" customWidth="1"/>
    <col min="12291" max="12291" width="14.453125" style="3980" customWidth="1"/>
    <col min="12292" max="12292" width="5.453125" style="3980" customWidth="1"/>
    <col min="12293" max="12293" width="14.1796875" style="3980" customWidth="1"/>
    <col min="12294" max="12307" width="6" style="3980" customWidth="1"/>
    <col min="12308" max="12545" width="9.1796875" style="3980"/>
    <col min="12546" max="12546" width="3.7265625" style="3980" customWidth="1"/>
    <col min="12547" max="12547" width="14.453125" style="3980" customWidth="1"/>
    <col min="12548" max="12548" width="5.453125" style="3980" customWidth="1"/>
    <col min="12549" max="12549" width="14.1796875" style="3980" customWidth="1"/>
    <col min="12550" max="12563" width="6" style="3980" customWidth="1"/>
    <col min="12564" max="12801" width="9.1796875" style="3980"/>
    <col min="12802" max="12802" width="3.7265625" style="3980" customWidth="1"/>
    <col min="12803" max="12803" width="14.453125" style="3980" customWidth="1"/>
    <col min="12804" max="12804" width="5.453125" style="3980" customWidth="1"/>
    <col min="12805" max="12805" width="14.1796875" style="3980" customWidth="1"/>
    <col min="12806" max="12819" width="6" style="3980" customWidth="1"/>
    <col min="12820" max="13057" width="9.1796875" style="3980"/>
    <col min="13058" max="13058" width="3.7265625" style="3980" customWidth="1"/>
    <col min="13059" max="13059" width="14.453125" style="3980" customWidth="1"/>
    <col min="13060" max="13060" width="5.453125" style="3980" customWidth="1"/>
    <col min="13061" max="13061" width="14.1796875" style="3980" customWidth="1"/>
    <col min="13062" max="13075" width="6" style="3980" customWidth="1"/>
    <col min="13076" max="13313" width="9.1796875" style="3980"/>
    <col min="13314" max="13314" width="3.7265625" style="3980" customWidth="1"/>
    <col min="13315" max="13315" width="14.453125" style="3980" customWidth="1"/>
    <col min="13316" max="13316" width="5.453125" style="3980" customWidth="1"/>
    <col min="13317" max="13317" width="14.1796875" style="3980" customWidth="1"/>
    <col min="13318" max="13331" width="6" style="3980" customWidth="1"/>
    <col min="13332" max="13569" width="9.1796875" style="3980"/>
    <col min="13570" max="13570" width="3.7265625" style="3980" customWidth="1"/>
    <col min="13571" max="13571" width="14.453125" style="3980" customWidth="1"/>
    <col min="13572" max="13572" width="5.453125" style="3980" customWidth="1"/>
    <col min="13573" max="13573" width="14.1796875" style="3980" customWidth="1"/>
    <col min="13574" max="13587" width="6" style="3980" customWidth="1"/>
    <col min="13588" max="13825" width="9.1796875" style="3980"/>
    <col min="13826" max="13826" width="3.7265625" style="3980" customWidth="1"/>
    <col min="13827" max="13827" width="14.453125" style="3980" customWidth="1"/>
    <col min="13828" max="13828" width="5.453125" style="3980" customWidth="1"/>
    <col min="13829" max="13829" width="14.1796875" style="3980" customWidth="1"/>
    <col min="13830" max="13843" width="6" style="3980" customWidth="1"/>
    <col min="13844" max="14081" width="9.1796875" style="3980"/>
    <col min="14082" max="14082" width="3.7265625" style="3980" customWidth="1"/>
    <col min="14083" max="14083" width="14.453125" style="3980" customWidth="1"/>
    <col min="14084" max="14084" width="5.453125" style="3980" customWidth="1"/>
    <col min="14085" max="14085" width="14.1796875" style="3980" customWidth="1"/>
    <col min="14086" max="14099" width="6" style="3980" customWidth="1"/>
    <col min="14100" max="14337" width="9.1796875" style="3980"/>
    <col min="14338" max="14338" width="3.7265625" style="3980" customWidth="1"/>
    <col min="14339" max="14339" width="14.453125" style="3980" customWidth="1"/>
    <col min="14340" max="14340" width="5.453125" style="3980" customWidth="1"/>
    <col min="14341" max="14341" width="14.1796875" style="3980" customWidth="1"/>
    <col min="14342" max="14355" width="6" style="3980" customWidth="1"/>
    <col min="14356" max="14593" width="9.1796875" style="3980"/>
    <col min="14594" max="14594" width="3.7265625" style="3980" customWidth="1"/>
    <col min="14595" max="14595" width="14.453125" style="3980" customWidth="1"/>
    <col min="14596" max="14596" width="5.453125" style="3980" customWidth="1"/>
    <col min="14597" max="14597" width="14.1796875" style="3980" customWidth="1"/>
    <col min="14598" max="14611" width="6" style="3980" customWidth="1"/>
    <col min="14612" max="14849" width="9.1796875" style="3980"/>
    <col min="14850" max="14850" width="3.7265625" style="3980" customWidth="1"/>
    <col min="14851" max="14851" width="14.453125" style="3980" customWidth="1"/>
    <col min="14852" max="14852" width="5.453125" style="3980" customWidth="1"/>
    <col min="14853" max="14853" width="14.1796875" style="3980" customWidth="1"/>
    <col min="14854" max="14867" width="6" style="3980" customWidth="1"/>
    <col min="14868" max="15105" width="9.1796875" style="3980"/>
    <col min="15106" max="15106" width="3.7265625" style="3980" customWidth="1"/>
    <col min="15107" max="15107" width="14.453125" style="3980" customWidth="1"/>
    <col min="15108" max="15108" width="5.453125" style="3980" customWidth="1"/>
    <col min="15109" max="15109" width="14.1796875" style="3980" customWidth="1"/>
    <col min="15110" max="15123" width="6" style="3980" customWidth="1"/>
    <col min="15124" max="15361" width="9.1796875" style="3980"/>
    <col min="15362" max="15362" width="3.7265625" style="3980" customWidth="1"/>
    <col min="15363" max="15363" width="14.453125" style="3980" customWidth="1"/>
    <col min="15364" max="15364" width="5.453125" style="3980" customWidth="1"/>
    <col min="15365" max="15365" width="14.1796875" style="3980" customWidth="1"/>
    <col min="15366" max="15379" width="6" style="3980" customWidth="1"/>
    <col min="15380" max="15617" width="9.1796875" style="3980"/>
    <col min="15618" max="15618" width="3.7265625" style="3980" customWidth="1"/>
    <col min="15619" max="15619" width="14.453125" style="3980" customWidth="1"/>
    <col min="15620" max="15620" width="5.453125" style="3980" customWidth="1"/>
    <col min="15621" max="15621" width="14.1796875" style="3980" customWidth="1"/>
    <col min="15622" max="15635" width="6" style="3980" customWidth="1"/>
    <col min="15636" max="15873" width="9.1796875" style="3980"/>
    <col min="15874" max="15874" width="3.7265625" style="3980" customWidth="1"/>
    <col min="15875" max="15875" width="14.453125" style="3980" customWidth="1"/>
    <col min="15876" max="15876" width="5.453125" style="3980" customWidth="1"/>
    <col min="15877" max="15877" width="14.1796875" style="3980" customWidth="1"/>
    <col min="15878" max="15891" width="6" style="3980" customWidth="1"/>
    <col min="15892" max="16129" width="9.1796875" style="3980"/>
    <col min="16130" max="16130" width="3.7265625" style="3980" customWidth="1"/>
    <col min="16131" max="16131" width="14.453125" style="3980" customWidth="1"/>
    <col min="16132" max="16132" width="5.453125" style="3980" customWidth="1"/>
    <col min="16133" max="16133" width="14.1796875" style="3980" customWidth="1"/>
    <col min="16134" max="16147" width="6" style="3980" customWidth="1"/>
    <col min="16148" max="16384" width="9.1796875" style="3980"/>
  </cols>
  <sheetData>
    <row r="1" spans="1:24" ht="13" x14ac:dyDescent="0.25">
      <c r="A1" s="723"/>
      <c r="B1" s="3996"/>
      <c r="C1" s="3996"/>
      <c r="D1" s="3997"/>
      <c r="E1" s="3997"/>
      <c r="F1" s="3997"/>
      <c r="G1" s="3997"/>
      <c r="H1" s="3997"/>
      <c r="I1" s="3997"/>
      <c r="J1" s="3997"/>
      <c r="K1" s="3997"/>
      <c r="L1" s="3997"/>
      <c r="M1" s="3997"/>
      <c r="N1" s="3997"/>
      <c r="O1" s="3997"/>
      <c r="P1" s="3997"/>
      <c r="Q1" s="3997"/>
      <c r="R1" s="3997"/>
      <c r="S1" s="3997"/>
      <c r="T1" s="3997"/>
    </row>
    <row r="2" spans="1:24" ht="17.25" customHeight="1" x14ac:dyDescent="0.2">
      <c r="A2" s="723">
        <v>1</v>
      </c>
      <c r="B2" s="723" t="s">
        <v>70</v>
      </c>
      <c r="C2" s="723">
        <f>1+[33]Missions!C2</f>
        <v>77</v>
      </c>
      <c r="D2" s="5068" t="s">
        <v>1687</v>
      </c>
      <c r="E2" s="5069"/>
      <c r="F2" s="5069"/>
      <c r="G2" s="5069"/>
      <c r="H2" s="5069"/>
      <c r="I2" s="5069"/>
      <c r="J2" s="5069"/>
      <c r="K2" s="5069"/>
      <c r="L2" s="5069"/>
      <c r="M2" s="5069"/>
      <c r="N2" s="5069"/>
      <c r="O2" s="5069"/>
      <c r="P2" s="5069"/>
      <c r="Q2" s="5069"/>
      <c r="R2" s="5069"/>
      <c r="S2" s="5069"/>
      <c r="T2" s="5070"/>
    </row>
    <row r="3" spans="1:24" ht="16.5" customHeight="1" x14ac:dyDescent="0.2">
      <c r="A3" s="723">
        <v>2</v>
      </c>
      <c r="B3" s="723" t="s">
        <v>72</v>
      </c>
      <c r="C3" s="723"/>
      <c r="D3" s="5068" t="s">
        <v>1688</v>
      </c>
      <c r="E3" s="5069"/>
      <c r="F3" s="5069"/>
      <c r="G3" s="5069"/>
      <c r="H3" s="5069"/>
      <c r="I3" s="5069"/>
      <c r="J3" s="5069"/>
      <c r="K3" s="5069"/>
      <c r="L3" s="5069"/>
      <c r="M3" s="5069"/>
      <c r="N3" s="5069"/>
      <c r="O3" s="5069"/>
      <c r="P3" s="5069"/>
      <c r="Q3" s="5069"/>
      <c r="R3" s="5069"/>
      <c r="S3" s="5069"/>
      <c r="T3" s="5070"/>
    </row>
    <row r="4" spans="1:24" ht="16.5" customHeight="1" x14ac:dyDescent="0.2">
      <c r="A4" s="723">
        <v>3</v>
      </c>
      <c r="B4" s="723" t="s">
        <v>4</v>
      </c>
      <c r="C4" s="723"/>
      <c r="D4" s="5068" t="s">
        <v>1689</v>
      </c>
      <c r="E4" s="5069"/>
      <c r="F4" s="5069"/>
      <c r="G4" s="5069"/>
      <c r="H4" s="5069"/>
      <c r="I4" s="5069"/>
      <c r="J4" s="5069"/>
      <c r="K4" s="5069"/>
      <c r="L4" s="5069"/>
      <c r="M4" s="5069"/>
      <c r="N4" s="5069"/>
      <c r="O4" s="5069"/>
      <c r="P4" s="5069"/>
      <c r="Q4" s="5069"/>
      <c r="R4" s="5069"/>
      <c r="S4" s="5069"/>
      <c r="T4" s="5070"/>
    </row>
    <row r="5" spans="1:24" ht="13" x14ac:dyDescent="0.25">
      <c r="C5" s="723"/>
      <c r="D5" s="3997"/>
      <c r="E5" s="3997"/>
      <c r="F5" s="3997"/>
      <c r="G5" s="3997"/>
      <c r="H5" s="3997"/>
      <c r="I5" s="3997"/>
      <c r="J5" s="3997"/>
      <c r="K5" s="3997"/>
      <c r="L5" s="3997"/>
      <c r="M5" s="3997"/>
      <c r="N5" s="3997"/>
      <c r="O5" s="3997"/>
      <c r="P5" s="3997"/>
      <c r="Q5" s="3997"/>
      <c r="R5" s="3997"/>
      <c r="S5" s="3997"/>
      <c r="T5" s="3997"/>
    </row>
    <row r="6" spans="1:24" ht="13" x14ac:dyDescent="0.25">
      <c r="A6" s="4068"/>
      <c r="B6" s="723"/>
      <c r="C6" s="723"/>
      <c r="D6" s="3997"/>
      <c r="E6" s="3997"/>
      <c r="F6" s="3997"/>
      <c r="G6" s="3997"/>
      <c r="H6" s="3997"/>
      <c r="I6" s="3997"/>
      <c r="J6" s="3997"/>
      <c r="K6" s="3997"/>
      <c r="L6" s="3997"/>
      <c r="M6" s="3997"/>
      <c r="N6" s="3997"/>
      <c r="O6" s="3997"/>
      <c r="P6" s="3997"/>
      <c r="Q6" s="3997"/>
      <c r="R6" s="3997"/>
      <c r="S6" s="3997"/>
      <c r="T6" s="3997"/>
    </row>
    <row r="7" spans="1:24" ht="13" x14ac:dyDescent="0.25">
      <c r="A7" s="723">
        <v>4</v>
      </c>
      <c r="B7" s="723" t="s">
        <v>6</v>
      </c>
      <c r="D7" s="801" t="s">
        <v>85</v>
      </c>
      <c r="E7" s="801" t="s">
        <v>1690</v>
      </c>
      <c r="F7" s="801"/>
      <c r="G7" s="801"/>
      <c r="H7" s="801"/>
      <c r="I7" s="801"/>
      <c r="J7" s="801"/>
      <c r="K7" s="801"/>
      <c r="L7" s="809"/>
    </row>
    <row r="8" spans="1:24" x14ac:dyDescent="0.25">
      <c r="D8" s="4026" t="s">
        <v>1691</v>
      </c>
      <c r="E8" s="4097">
        <v>2000</v>
      </c>
      <c r="F8" s="4097">
        <v>2001</v>
      </c>
      <c r="G8" s="4097">
        <v>2002</v>
      </c>
      <c r="H8" s="4097">
        <v>2003</v>
      </c>
      <c r="I8" s="4097">
        <v>2004</v>
      </c>
      <c r="J8" s="4097">
        <v>2005</v>
      </c>
      <c r="K8" s="4097">
        <v>2006</v>
      </c>
      <c r="L8" s="4097">
        <v>2007</v>
      </c>
      <c r="M8" s="4098">
        <v>2008</v>
      </c>
      <c r="N8" s="4098">
        <v>2009</v>
      </c>
      <c r="O8" s="4098">
        <v>2010</v>
      </c>
      <c r="P8" s="4098">
        <v>2011</v>
      </c>
      <c r="Q8" s="4098">
        <v>2012</v>
      </c>
      <c r="R8" s="4098">
        <v>2013</v>
      </c>
      <c r="S8" s="4098">
        <v>2014</v>
      </c>
      <c r="T8" s="4098">
        <v>2015</v>
      </c>
      <c r="U8" s="3539">
        <v>2016</v>
      </c>
      <c r="V8" s="3539">
        <v>2017</v>
      </c>
      <c r="W8" s="3539">
        <v>2018</v>
      </c>
      <c r="X8" s="3539">
        <v>2019</v>
      </c>
    </row>
    <row r="9" spans="1:24" ht="11.25" customHeight="1" x14ac:dyDescent="0.2">
      <c r="D9" s="4022" t="s">
        <v>1692</v>
      </c>
      <c r="E9" s="4099">
        <v>12</v>
      </c>
      <c r="F9" s="4099">
        <v>13</v>
      </c>
      <c r="G9" s="4099">
        <v>8</v>
      </c>
      <c r="H9" s="4099">
        <v>10</v>
      </c>
      <c r="I9" s="4099">
        <v>2</v>
      </c>
      <c r="J9" s="4099">
        <v>4</v>
      </c>
      <c r="K9" s="4099">
        <v>9</v>
      </c>
      <c r="L9" s="4099">
        <v>7</v>
      </c>
      <c r="M9" s="4099">
        <v>11</v>
      </c>
      <c r="N9" s="4099">
        <v>4</v>
      </c>
      <c r="O9" s="4099">
        <v>6</v>
      </c>
      <c r="P9" s="4099">
        <v>9</v>
      </c>
      <c r="Q9" s="4099">
        <v>5</v>
      </c>
      <c r="R9" s="4099">
        <v>8</v>
      </c>
      <c r="S9" s="4099">
        <v>6</v>
      </c>
      <c r="T9" s="4099">
        <v>5</v>
      </c>
      <c r="U9" s="4031">
        <v>7</v>
      </c>
      <c r="V9" s="4031">
        <v>10</v>
      </c>
      <c r="W9" s="4031">
        <v>6</v>
      </c>
      <c r="X9" s="4031">
        <v>7</v>
      </c>
    </row>
    <row r="10" spans="1:24" ht="11.25" customHeight="1" x14ac:dyDescent="0.2">
      <c r="D10" s="3989" t="s">
        <v>1693</v>
      </c>
      <c r="E10" s="4100">
        <v>125</v>
      </c>
      <c r="F10" s="4100">
        <v>108</v>
      </c>
      <c r="G10" s="4100">
        <v>97</v>
      </c>
      <c r="H10" s="4100">
        <v>92</v>
      </c>
      <c r="I10" s="4100">
        <v>109</v>
      </c>
      <c r="J10" s="4100">
        <v>120</v>
      </c>
      <c r="K10" s="4100">
        <v>102</v>
      </c>
      <c r="L10" s="4100">
        <v>85</v>
      </c>
      <c r="M10" s="4100">
        <v>69</v>
      </c>
      <c r="N10" s="4100">
        <v>67</v>
      </c>
      <c r="O10" s="4100">
        <v>80</v>
      </c>
      <c r="P10" s="4100">
        <v>84</v>
      </c>
      <c r="Q10" s="4100">
        <v>61</v>
      </c>
      <c r="R10" s="4100">
        <v>81</v>
      </c>
      <c r="S10" s="4100">
        <v>45</v>
      </c>
      <c r="T10" s="4100">
        <v>61</v>
      </c>
      <c r="U10" s="4101">
        <v>71</v>
      </c>
      <c r="V10" s="4101">
        <v>59</v>
      </c>
      <c r="W10" s="4101">
        <v>48</v>
      </c>
      <c r="X10" s="4101">
        <v>22</v>
      </c>
    </row>
    <row r="11" spans="1:24" ht="10" x14ac:dyDescent="0.2">
      <c r="A11" s="3983"/>
      <c r="D11" s="4022"/>
    </row>
    <row r="12" spans="1:24" ht="14.25" customHeight="1" x14ac:dyDescent="0.2">
      <c r="A12" s="723">
        <v>5</v>
      </c>
      <c r="B12" s="723" t="s">
        <v>56</v>
      </c>
    </row>
    <row r="13" spans="1:24" ht="13" x14ac:dyDescent="0.2">
      <c r="A13" s="3983"/>
      <c r="C13" s="723"/>
    </row>
    <row r="16" spans="1:24" ht="10" x14ac:dyDescent="0.2">
      <c r="A16" s="3980"/>
      <c r="B16" s="3980"/>
      <c r="C16" s="3980"/>
      <c r="M16" s="4026"/>
      <c r="N16" s="4026"/>
    </row>
    <row r="17" spans="1:14" ht="10" x14ac:dyDescent="0.2">
      <c r="A17" s="3980"/>
      <c r="B17" s="3980"/>
      <c r="C17" s="3980"/>
      <c r="M17" s="4026"/>
      <c r="N17" s="4026"/>
    </row>
    <row r="18" spans="1:14" ht="10" x14ac:dyDescent="0.2">
      <c r="A18" s="3980"/>
      <c r="B18" s="3980"/>
      <c r="C18" s="3980"/>
      <c r="M18" s="4026"/>
      <c r="N18" s="4026"/>
    </row>
    <row r="19" spans="1:14" ht="10" x14ac:dyDescent="0.2">
      <c r="A19" s="3980"/>
      <c r="B19" s="3980"/>
      <c r="C19" s="3980"/>
      <c r="M19" s="4026"/>
      <c r="N19" s="4026"/>
    </row>
    <row r="20" spans="1:14" ht="10" x14ac:dyDescent="0.2">
      <c r="A20" s="3980"/>
      <c r="B20" s="3980"/>
      <c r="C20" s="3980"/>
      <c r="M20" s="4026"/>
      <c r="N20" s="4026"/>
    </row>
    <row r="21" spans="1:14" ht="10" x14ac:dyDescent="0.2">
      <c r="A21" s="3980"/>
      <c r="B21" s="3980"/>
      <c r="C21" s="3980"/>
      <c r="M21" s="4026"/>
      <c r="N21" s="4026"/>
    </row>
    <row r="22" spans="1:14" ht="10" x14ac:dyDescent="0.2">
      <c r="A22" s="3980"/>
      <c r="B22" s="3980"/>
      <c r="C22" s="3980"/>
      <c r="M22" s="4026"/>
      <c r="N22" s="4026"/>
    </row>
    <row r="23" spans="1:14" ht="10" x14ac:dyDescent="0.2">
      <c r="A23" s="3980"/>
      <c r="B23" s="3980"/>
      <c r="C23" s="3980"/>
      <c r="M23" s="4026"/>
      <c r="N23" s="4026"/>
    </row>
    <row r="24" spans="1:14" ht="10" x14ac:dyDescent="0.2">
      <c r="A24" s="3980"/>
      <c r="B24" s="3980"/>
      <c r="C24" s="3980"/>
    </row>
    <row r="25" spans="1:14" ht="10" x14ac:dyDescent="0.2">
      <c r="A25" s="3980"/>
      <c r="B25" s="3980"/>
      <c r="C25" s="3980"/>
    </row>
    <row r="26" spans="1:14" ht="10" x14ac:dyDescent="0.2">
      <c r="A26" s="3980"/>
      <c r="B26" s="3980"/>
      <c r="C26" s="3980"/>
    </row>
    <row r="27" spans="1:14" ht="10" x14ac:dyDescent="0.2">
      <c r="A27" s="3980"/>
      <c r="B27" s="3980"/>
      <c r="C27" s="3980"/>
    </row>
    <row r="28" spans="1:14" ht="10" x14ac:dyDescent="0.2">
      <c r="A28" s="3980"/>
      <c r="B28" s="3980"/>
      <c r="C28" s="3980"/>
    </row>
    <row r="29" spans="1:14" ht="10" x14ac:dyDescent="0.2">
      <c r="A29" s="3980"/>
      <c r="B29" s="3980"/>
      <c r="C29" s="3980"/>
    </row>
    <row r="30" spans="1:14" ht="10" x14ac:dyDescent="0.2">
      <c r="A30" s="3980"/>
      <c r="B30" s="3980"/>
      <c r="C30" s="3980"/>
    </row>
    <row r="31" spans="1:14" ht="10" x14ac:dyDescent="0.2">
      <c r="A31" s="3980"/>
      <c r="B31" s="3980"/>
      <c r="C31" s="3980"/>
    </row>
    <row r="33" spans="1:20" s="3997" customFormat="1" ht="13.15" customHeight="1" x14ac:dyDescent="0.25">
      <c r="A33" s="723">
        <v>6</v>
      </c>
      <c r="B33" s="723" t="s">
        <v>58</v>
      </c>
      <c r="C33" s="723"/>
      <c r="D33" s="5068" t="s">
        <v>1694</v>
      </c>
      <c r="E33" s="5069"/>
      <c r="F33" s="5069"/>
      <c r="G33" s="5069"/>
      <c r="H33" s="5069"/>
      <c r="I33" s="5069"/>
      <c r="J33" s="5069"/>
      <c r="K33" s="5069"/>
      <c r="L33" s="5069"/>
      <c r="M33" s="5069"/>
      <c r="N33" s="5069"/>
      <c r="O33" s="5069"/>
      <c r="P33" s="5069"/>
      <c r="Q33" s="5069"/>
      <c r="R33" s="5069"/>
      <c r="S33" s="5069"/>
      <c r="T33" s="5070"/>
    </row>
    <row r="34" spans="1:20" s="3997" customFormat="1" ht="13.15" customHeight="1" x14ac:dyDescent="0.25">
      <c r="A34" s="788">
        <v>7</v>
      </c>
      <c r="B34" s="788" t="s">
        <v>60</v>
      </c>
      <c r="C34" s="788"/>
      <c r="D34" s="5081" t="s">
        <v>1695</v>
      </c>
      <c r="E34" s="5082"/>
      <c r="F34" s="5082"/>
      <c r="G34" s="5082"/>
      <c r="H34" s="5082"/>
      <c r="I34" s="5082"/>
      <c r="J34" s="5082"/>
      <c r="K34" s="5082"/>
      <c r="L34" s="5082"/>
      <c r="M34" s="5082"/>
      <c r="N34" s="5082"/>
      <c r="O34" s="5082"/>
      <c r="P34" s="5082"/>
      <c r="Q34" s="5082"/>
      <c r="R34" s="5082"/>
      <c r="S34" s="5082"/>
      <c r="T34" s="5083"/>
    </row>
    <row r="35" spans="1:20" s="3997" customFormat="1" ht="44.25" customHeight="1" x14ac:dyDescent="0.25">
      <c r="A35" s="723">
        <v>8</v>
      </c>
      <c r="B35" s="723" t="s">
        <v>64</v>
      </c>
      <c r="C35" s="723"/>
      <c r="D35" s="5081" t="s">
        <v>1696</v>
      </c>
      <c r="E35" s="5082"/>
      <c r="F35" s="5082"/>
      <c r="G35" s="5082"/>
      <c r="H35" s="5082"/>
      <c r="I35" s="5082"/>
      <c r="J35" s="5082"/>
      <c r="K35" s="5082"/>
      <c r="L35" s="5082"/>
      <c r="M35" s="5082"/>
      <c r="N35" s="5082"/>
      <c r="O35" s="5082"/>
      <c r="P35" s="5082"/>
      <c r="Q35" s="5082"/>
      <c r="R35" s="5082"/>
      <c r="S35" s="5082"/>
      <c r="T35" s="5083"/>
    </row>
    <row r="36" spans="1:20" s="3997" customFormat="1" ht="12.75" customHeight="1" x14ac:dyDescent="0.25">
      <c r="A36" s="788">
        <v>9</v>
      </c>
      <c r="B36" s="723" t="s">
        <v>62</v>
      </c>
      <c r="C36" s="723"/>
      <c r="D36" s="5081" t="s">
        <v>1697</v>
      </c>
      <c r="E36" s="5082"/>
      <c r="F36" s="5082"/>
      <c r="G36" s="5082"/>
      <c r="H36" s="5082"/>
      <c r="I36" s="5082"/>
      <c r="J36" s="5082"/>
      <c r="K36" s="5082"/>
      <c r="L36" s="5082"/>
      <c r="M36" s="5082"/>
      <c r="N36" s="5082"/>
      <c r="O36" s="5082"/>
      <c r="P36" s="5082"/>
      <c r="Q36" s="5082"/>
      <c r="R36" s="5082"/>
      <c r="S36" s="5082"/>
      <c r="T36" s="5083"/>
    </row>
  </sheetData>
  <mergeCells count="7">
    <mergeCell ref="D36:T36"/>
    <mergeCell ref="D2:T2"/>
    <mergeCell ref="D3:T3"/>
    <mergeCell ref="D4:T4"/>
    <mergeCell ref="D33:T33"/>
    <mergeCell ref="D34:T34"/>
    <mergeCell ref="D35:T35"/>
  </mergeCells>
  <pageMargins left="0.74803149606299213" right="0.74803149606299213" top="0.98425196850393704" bottom="0.98425196850393704" header="0.51181102362204722" footer="0.51181102362204722"/>
  <pageSetup paperSize="9" scale="7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FA56B-09ED-464E-BE8D-DB93BCC8E20A}">
  <sheetPr>
    <tabColor theme="8"/>
    <pageSetUpPr fitToPage="1"/>
  </sheetPr>
  <dimension ref="A1:AD76"/>
  <sheetViews>
    <sheetView showGridLines="0" tabSelected="1" view="pageBreakPreview" zoomScaleNormal="100" zoomScaleSheetLayoutView="100" workbookViewId="0">
      <selection activeCell="Y38" sqref="Y38"/>
    </sheetView>
  </sheetViews>
  <sheetFormatPr defaultColWidth="9.1796875" defaultRowHeight="11.5" x14ac:dyDescent="0.25"/>
  <cols>
    <col min="1" max="1" width="3.7265625" style="3000" customWidth="1"/>
    <col min="2" max="2" width="10.1796875" style="3001" customWidth="1"/>
    <col min="3" max="3" width="3.7265625" style="3001" customWidth="1"/>
    <col min="4" max="4" width="20.7265625" style="767" customWidth="1"/>
    <col min="5" max="5" width="4.1796875" style="4136" customWidth="1"/>
    <col min="6" max="13" width="10" style="767" bestFit="1" customWidth="1"/>
    <col min="14" max="19" width="9.7265625" style="767" bestFit="1" customWidth="1"/>
    <col min="20" max="20" width="10.7265625" style="767" bestFit="1" customWidth="1"/>
    <col min="21" max="21" width="10.26953125" style="767" customWidth="1"/>
    <col min="22" max="22" width="10.7265625" style="767" bestFit="1" customWidth="1"/>
    <col min="23" max="23" width="11.54296875" style="767" bestFit="1" customWidth="1"/>
    <col min="24" max="25" width="9.54296875" style="767" bestFit="1" customWidth="1"/>
    <col min="26" max="26" width="11" style="767" bestFit="1" customWidth="1"/>
    <col min="27" max="27" width="10.90625" style="767" customWidth="1"/>
    <col min="28" max="28" width="10" style="767" bestFit="1" customWidth="1"/>
    <col min="29" max="29" width="10" style="767" customWidth="1"/>
    <col min="30" max="258" width="9.1796875" style="767"/>
    <col min="259" max="259" width="3.7265625" style="767" customWidth="1"/>
    <col min="260" max="260" width="12.7265625" style="767" customWidth="1"/>
    <col min="261" max="261" width="3.7265625" style="767" customWidth="1"/>
    <col min="262" max="262" width="20.7265625" style="767" customWidth="1"/>
    <col min="263" max="263" width="4.1796875" style="767" customWidth="1"/>
    <col min="264" max="277" width="8.7265625" style="767" customWidth="1"/>
    <col min="278" max="278" width="10.1796875" style="767" customWidth="1"/>
    <col min="279" max="514" width="9.1796875" style="767"/>
    <col min="515" max="515" width="3.7265625" style="767" customWidth="1"/>
    <col min="516" max="516" width="12.7265625" style="767" customWidth="1"/>
    <col min="517" max="517" width="3.7265625" style="767" customWidth="1"/>
    <col min="518" max="518" width="20.7265625" style="767" customWidth="1"/>
    <col min="519" max="519" width="4.1796875" style="767" customWidth="1"/>
    <col min="520" max="533" width="8.7265625" style="767" customWidth="1"/>
    <col min="534" max="534" width="10.1796875" style="767" customWidth="1"/>
    <col min="535" max="770" width="9.1796875" style="767"/>
    <col min="771" max="771" width="3.7265625" style="767" customWidth="1"/>
    <col min="772" max="772" width="12.7265625" style="767" customWidth="1"/>
    <col min="773" max="773" width="3.7265625" style="767" customWidth="1"/>
    <col min="774" max="774" width="20.7265625" style="767" customWidth="1"/>
    <col min="775" max="775" width="4.1796875" style="767" customWidth="1"/>
    <col min="776" max="789" width="8.7265625" style="767" customWidth="1"/>
    <col min="790" max="790" width="10.1796875" style="767" customWidth="1"/>
    <col min="791" max="1026" width="9.1796875" style="767"/>
    <col min="1027" max="1027" width="3.7265625" style="767" customWidth="1"/>
    <col min="1028" max="1028" width="12.7265625" style="767" customWidth="1"/>
    <col min="1029" max="1029" width="3.7265625" style="767" customWidth="1"/>
    <col min="1030" max="1030" width="20.7265625" style="767" customWidth="1"/>
    <col min="1031" max="1031" width="4.1796875" style="767" customWidth="1"/>
    <col min="1032" max="1045" width="8.7265625" style="767" customWidth="1"/>
    <col min="1046" max="1046" width="10.1796875" style="767" customWidth="1"/>
    <col min="1047" max="1282" width="9.1796875" style="767"/>
    <col min="1283" max="1283" width="3.7265625" style="767" customWidth="1"/>
    <col min="1284" max="1284" width="12.7265625" style="767" customWidth="1"/>
    <col min="1285" max="1285" width="3.7265625" style="767" customWidth="1"/>
    <col min="1286" max="1286" width="20.7265625" style="767" customWidth="1"/>
    <col min="1287" max="1287" width="4.1796875" style="767" customWidth="1"/>
    <col min="1288" max="1301" width="8.7265625" style="767" customWidth="1"/>
    <col min="1302" max="1302" width="10.1796875" style="767" customWidth="1"/>
    <col min="1303" max="1538" width="9.1796875" style="767"/>
    <col min="1539" max="1539" width="3.7265625" style="767" customWidth="1"/>
    <col min="1540" max="1540" width="12.7265625" style="767" customWidth="1"/>
    <col min="1541" max="1541" width="3.7265625" style="767" customWidth="1"/>
    <col min="1542" max="1542" width="20.7265625" style="767" customWidth="1"/>
    <col min="1543" max="1543" width="4.1796875" style="767" customWidth="1"/>
    <col min="1544" max="1557" width="8.7265625" style="767" customWidth="1"/>
    <col min="1558" max="1558" width="10.1796875" style="767" customWidth="1"/>
    <col min="1559" max="1794" width="9.1796875" style="767"/>
    <col min="1795" max="1795" width="3.7265625" style="767" customWidth="1"/>
    <col min="1796" max="1796" width="12.7265625" style="767" customWidth="1"/>
    <col min="1797" max="1797" width="3.7265625" style="767" customWidth="1"/>
    <col min="1798" max="1798" width="20.7265625" style="767" customWidth="1"/>
    <col min="1799" max="1799" width="4.1796875" style="767" customWidth="1"/>
    <col min="1800" max="1813" width="8.7265625" style="767" customWidth="1"/>
    <col min="1814" max="1814" width="10.1796875" style="767" customWidth="1"/>
    <col min="1815" max="2050" width="9.1796875" style="767"/>
    <col min="2051" max="2051" width="3.7265625" style="767" customWidth="1"/>
    <col min="2052" max="2052" width="12.7265625" style="767" customWidth="1"/>
    <col min="2053" max="2053" width="3.7265625" style="767" customWidth="1"/>
    <col min="2054" max="2054" width="20.7265625" style="767" customWidth="1"/>
    <col min="2055" max="2055" width="4.1796875" style="767" customWidth="1"/>
    <col min="2056" max="2069" width="8.7265625" style="767" customWidth="1"/>
    <col min="2070" max="2070" width="10.1796875" style="767" customWidth="1"/>
    <col min="2071" max="2306" width="9.1796875" style="767"/>
    <col min="2307" max="2307" width="3.7265625" style="767" customWidth="1"/>
    <col min="2308" max="2308" width="12.7265625" style="767" customWidth="1"/>
    <col min="2309" max="2309" width="3.7265625" style="767" customWidth="1"/>
    <col min="2310" max="2310" width="20.7265625" style="767" customWidth="1"/>
    <col min="2311" max="2311" width="4.1796875" style="767" customWidth="1"/>
    <col min="2312" max="2325" width="8.7265625" style="767" customWidth="1"/>
    <col min="2326" max="2326" width="10.1796875" style="767" customWidth="1"/>
    <col min="2327" max="2562" width="9.1796875" style="767"/>
    <col min="2563" max="2563" width="3.7265625" style="767" customWidth="1"/>
    <col min="2564" max="2564" width="12.7265625" style="767" customWidth="1"/>
    <col min="2565" max="2565" width="3.7265625" style="767" customWidth="1"/>
    <col min="2566" max="2566" width="20.7265625" style="767" customWidth="1"/>
    <col min="2567" max="2567" width="4.1796875" style="767" customWidth="1"/>
    <col min="2568" max="2581" width="8.7265625" style="767" customWidth="1"/>
    <col min="2582" max="2582" width="10.1796875" style="767" customWidth="1"/>
    <col min="2583" max="2818" width="9.1796875" style="767"/>
    <col min="2819" max="2819" width="3.7265625" style="767" customWidth="1"/>
    <col min="2820" max="2820" width="12.7265625" style="767" customWidth="1"/>
    <col min="2821" max="2821" width="3.7265625" style="767" customWidth="1"/>
    <col min="2822" max="2822" width="20.7265625" style="767" customWidth="1"/>
    <col min="2823" max="2823" width="4.1796875" style="767" customWidth="1"/>
    <col min="2824" max="2837" width="8.7265625" style="767" customWidth="1"/>
    <col min="2838" max="2838" width="10.1796875" style="767" customWidth="1"/>
    <col min="2839" max="3074" width="9.1796875" style="767"/>
    <col min="3075" max="3075" width="3.7265625" style="767" customWidth="1"/>
    <col min="3076" max="3076" width="12.7265625" style="767" customWidth="1"/>
    <col min="3077" max="3077" width="3.7265625" style="767" customWidth="1"/>
    <col min="3078" max="3078" width="20.7265625" style="767" customWidth="1"/>
    <col min="3079" max="3079" width="4.1796875" style="767" customWidth="1"/>
    <col min="3080" max="3093" width="8.7265625" style="767" customWidth="1"/>
    <col min="3094" max="3094" width="10.1796875" style="767" customWidth="1"/>
    <col min="3095" max="3330" width="9.1796875" style="767"/>
    <col min="3331" max="3331" width="3.7265625" style="767" customWidth="1"/>
    <col min="3332" max="3332" width="12.7265625" style="767" customWidth="1"/>
    <col min="3333" max="3333" width="3.7265625" style="767" customWidth="1"/>
    <col min="3334" max="3334" width="20.7265625" style="767" customWidth="1"/>
    <col min="3335" max="3335" width="4.1796875" style="767" customWidth="1"/>
    <col min="3336" max="3349" width="8.7265625" style="767" customWidth="1"/>
    <col min="3350" max="3350" width="10.1796875" style="767" customWidth="1"/>
    <col min="3351" max="3586" width="9.1796875" style="767"/>
    <col min="3587" max="3587" width="3.7265625" style="767" customWidth="1"/>
    <col min="3588" max="3588" width="12.7265625" style="767" customWidth="1"/>
    <col min="3589" max="3589" width="3.7265625" style="767" customWidth="1"/>
    <col min="3590" max="3590" width="20.7265625" style="767" customWidth="1"/>
    <col min="3591" max="3591" width="4.1796875" style="767" customWidth="1"/>
    <col min="3592" max="3605" width="8.7265625" style="767" customWidth="1"/>
    <col min="3606" max="3606" width="10.1796875" style="767" customWidth="1"/>
    <col min="3607" max="3842" width="9.1796875" style="767"/>
    <col min="3843" max="3843" width="3.7265625" style="767" customWidth="1"/>
    <col min="3844" max="3844" width="12.7265625" style="767" customWidth="1"/>
    <col min="3845" max="3845" width="3.7265625" style="767" customWidth="1"/>
    <col min="3846" max="3846" width="20.7265625" style="767" customWidth="1"/>
    <col min="3847" max="3847" width="4.1796875" style="767" customWidth="1"/>
    <col min="3848" max="3861" width="8.7265625" style="767" customWidth="1"/>
    <col min="3862" max="3862" width="10.1796875" style="767" customWidth="1"/>
    <col min="3863" max="4098" width="9.1796875" style="767"/>
    <col min="4099" max="4099" width="3.7265625" style="767" customWidth="1"/>
    <col min="4100" max="4100" width="12.7265625" style="767" customWidth="1"/>
    <col min="4101" max="4101" width="3.7265625" style="767" customWidth="1"/>
    <col min="4102" max="4102" width="20.7265625" style="767" customWidth="1"/>
    <col min="4103" max="4103" width="4.1796875" style="767" customWidth="1"/>
    <col min="4104" max="4117" width="8.7265625" style="767" customWidth="1"/>
    <col min="4118" max="4118" width="10.1796875" style="767" customWidth="1"/>
    <col min="4119" max="4354" width="9.1796875" style="767"/>
    <col min="4355" max="4355" width="3.7265625" style="767" customWidth="1"/>
    <col min="4356" max="4356" width="12.7265625" style="767" customWidth="1"/>
    <col min="4357" max="4357" width="3.7265625" style="767" customWidth="1"/>
    <col min="4358" max="4358" width="20.7265625" style="767" customWidth="1"/>
    <col min="4359" max="4359" width="4.1796875" style="767" customWidth="1"/>
    <col min="4360" max="4373" width="8.7265625" style="767" customWidth="1"/>
    <col min="4374" max="4374" width="10.1796875" style="767" customWidth="1"/>
    <col min="4375" max="4610" width="9.1796875" style="767"/>
    <col min="4611" max="4611" width="3.7265625" style="767" customWidth="1"/>
    <col min="4612" max="4612" width="12.7265625" style="767" customWidth="1"/>
    <col min="4613" max="4613" width="3.7265625" style="767" customWidth="1"/>
    <col min="4614" max="4614" width="20.7265625" style="767" customWidth="1"/>
    <col min="4615" max="4615" width="4.1796875" style="767" customWidth="1"/>
    <col min="4616" max="4629" width="8.7265625" style="767" customWidth="1"/>
    <col min="4630" max="4630" width="10.1796875" style="767" customWidth="1"/>
    <col min="4631" max="4866" width="9.1796875" style="767"/>
    <col min="4867" max="4867" width="3.7265625" style="767" customWidth="1"/>
    <col min="4868" max="4868" width="12.7265625" style="767" customWidth="1"/>
    <col min="4869" max="4869" width="3.7265625" style="767" customWidth="1"/>
    <col min="4870" max="4870" width="20.7265625" style="767" customWidth="1"/>
    <col min="4871" max="4871" width="4.1796875" style="767" customWidth="1"/>
    <col min="4872" max="4885" width="8.7265625" style="767" customWidth="1"/>
    <col min="4886" max="4886" width="10.1796875" style="767" customWidth="1"/>
    <col min="4887" max="5122" width="9.1796875" style="767"/>
    <col min="5123" max="5123" width="3.7265625" style="767" customWidth="1"/>
    <col min="5124" max="5124" width="12.7265625" style="767" customWidth="1"/>
    <col min="5125" max="5125" width="3.7265625" style="767" customWidth="1"/>
    <col min="5126" max="5126" width="20.7265625" style="767" customWidth="1"/>
    <col min="5127" max="5127" width="4.1796875" style="767" customWidth="1"/>
    <col min="5128" max="5141" width="8.7265625" style="767" customWidth="1"/>
    <col min="5142" max="5142" width="10.1796875" style="767" customWidth="1"/>
    <col min="5143" max="5378" width="9.1796875" style="767"/>
    <col min="5379" max="5379" width="3.7265625" style="767" customWidth="1"/>
    <col min="5380" max="5380" width="12.7265625" style="767" customWidth="1"/>
    <col min="5381" max="5381" width="3.7265625" style="767" customWidth="1"/>
    <col min="5382" max="5382" width="20.7265625" style="767" customWidth="1"/>
    <col min="5383" max="5383" width="4.1796875" style="767" customWidth="1"/>
    <col min="5384" max="5397" width="8.7265625" style="767" customWidth="1"/>
    <col min="5398" max="5398" width="10.1796875" style="767" customWidth="1"/>
    <col min="5399" max="5634" width="9.1796875" style="767"/>
    <col min="5635" max="5635" width="3.7265625" style="767" customWidth="1"/>
    <col min="5636" max="5636" width="12.7265625" style="767" customWidth="1"/>
    <col min="5637" max="5637" width="3.7265625" style="767" customWidth="1"/>
    <col min="5638" max="5638" width="20.7265625" style="767" customWidth="1"/>
    <col min="5639" max="5639" width="4.1796875" style="767" customWidth="1"/>
    <col min="5640" max="5653" width="8.7265625" style="767" customWidth="1"/>
    <col min="5654" max="5654" width="10.1796875" style="767" customWidth="1"/>
    <col min="5655" max="5890" width="9.1796875" style="767"/>
    <col min="5891" max="5891" width="3.7265625" style="767" customWidth="1"/>
    <col min="5892" max="5892" width="12.7265625" style="767" customWidth="1"/>
    <col min="5893" max="5893" width="3.7265625" style="767" customWidth="1"/>
    <col min="5894" max="5894" width="20.7265625" style="767" customWidth="1"/>
    <col min="5895" max="5895" width="4.1796875" style="767" customWidth="1"/>
    <col min="5896" max="5909" width="8.7265625" style="767" customWidth="1"/>
    <col min="5910" max="5910" width="10.1796875" style="767" customWidth="1"/>
    <col min="5911" max="6146" width="9.1796875" style="767"/>
    <col min="6147" max="6147" width="3.7265625" style="767" customWidth="1"/>
    <col min="6148" max="6148" width="12.7265625" style="767" customWidth="1"/>
    <col min="6149" max="6149" width="3.7265625" style="767" customWidth="1"/>
    <col min="6150" max="6150" width="20.7265625" style="767" customWidth="1"/>
    <col min="6151" max="6151" width="4.1796875" style="767" customWidth="1"/>
    <col min="6152" max="6165" width="8.7265625" style="767" customWidth="1"/>
    <col min="6166" max="6166" width="10.1796875" style="767" customWidth="1"/>
    <col min="6167" max="6402" width="9.1796875" style="767"/>
    <col min="6403" max="6403" width="3.7265625" style="767" customWidth="1"/>
    <col min="6404" max="6404" width="12.7265625" style="767" customWidth="1"/>
    <col min="6405" max="6405" width="3.7265625" style="767" customWidth="1"/>
    <col min="6406" max="6406" width="20.7265625" style="767" customWidth="1"/>
    <col min="6407" max="6407" width="4.1796875" style="767" customWidth="1"/>
    <col min="6408" max="6421" width="8.7265625" style="767" customWidth="1"/>
    <col min="6422" max="6422" width="10.1796875" style="767" customWidth="1"/>
    <col min="6423" max="6658" width="9.1796875" style="767"/>
    <col min="6659" max="6659" width="3.7265625" style="767" customWidth="1"/>
    <col min="6660" max="6660" width="12.7265625" style="767" customWidth="1"/>
    <col min="6661" max="6661" width="3.7265625" style="767" customWidth="1"/>
    <col min="6662" max="6662" width="20.7265625" style="767" customWidth="1"/>
    <col min="6663" max="6663" width="4.1796875" style="767" customWidth="1"/>
    <col min="6664" max="6677" width="8.7265625" style="767" customWidth="1"/>
    <col min="6678" max="6678" width="10.1796875" style="767" customWidth="1"/>
    <col min="6679" max="6914" width="9.1796875" style="767"/>
    <col min="6915" max="6915" width="3.7265625" style="767" customWidth="1"/>
    <col min="6916" max="6916" width="12.7265625" style="767" customWidth="1"/>
    <col min="6917" max="6917" width="3.7265625" style="767" customWidth="1"/>
    <col min="6918" max="6918" width="20.7265625" style="767" customWidth="1"/>
    <col min="6919" max="6919" width="4.1796875" style="767" customWidth="1"/>
    <col min="6920" max="6933" width="8.7265625" style="767" customWidth="1"/>
    <col min="6934" max="6934" width="10.1796875" style="767" customWidth="1"/>
    <col min="6935" max="7170" width="9.1796875" style="767"/>
    <col min="7171" max="7171" width="3.7265625" style="767" customWidth="1"/>
    <col min="7172" max="7172" width="12.7265625" style="767" customWidth="1"/>
    <col min="7173" max="7173" width="3.7265625" style="767" customWidth="1"/>
    <col min="7174" max="7174" width="20.7265625" style="767" customWidth="1"/>
    <col min="7175" max="7175" width="4.1796875" style="767" customWidth="1"/>
    <col min="7176" max="7189" width="8.7265625" style="767" customWidth="1"/>
    <col min="7190" max="7190" width="10.1796875" style="767" customWidth="1"/>
    <col min="7191" max="7426" width="9.1796875" style="767"/>
    <col min="7427" max="7427" width="3.7265625" style="767" customWidth="1"/>
    <col min="7428" max="7428" width="12.7265625" style="767" customWidth="1"/>
    <col min="7429" max="7429" width="3.7265625" style="767" customWidth="1"/>
    <col min="7430" max="7430" width="20.7265625" style="767" customWidth="1"/>
    <col min="7431" max="7431" width="4.1796875" style="767" customWidth="1"/>
    <col min="7432" max="7445" width="8.7265625" style="767" customWidth="1"/>
    <col min="7446" max="7446" width="10.1796875" style="767" customWidth="1"/>
    <col min="7447" max="7682" width="9.1796875" style="767"/>
    <col min="7683" max="7683" width="3.7265625" style="767" customWidth="1"/>
    <col min="7684" max="7684" width="12.7265625" style="767" customWidth="1"/>
    <col min="7685" max="7685" width="3.7265625" style="767" customWidth="1"/>
    <col min="7686" max="7686" width="20.7265625" style="767" customWidth="1"/>
    <col min="7687" max="7687" width="4.1796875" style="767" customWidth="1"/>
    <col min="7688" max="7701" width="8.7265625" style="767" customWidth="1"/>
    <col min="7702" max="7702" width="10.1796875" style="767" customWidth="1"/>
    <col min="7703" max="7938" width="9.1796875" style="767"/>
    <col min="7939" max="7939" width="3.7265625" style="767" customWidth="1"/>
    <col min="7940" max="7940" width="12.7265625" style="767" customWidth="1"/>
    <col min="7941" max="7941" width="3.7265625" style="767" customWidth="1"/>
    <col min="7942" max="7942" width="20.7265625" style="767" customWidth="1"/>
    <col min="7943" max="7943" width="4.1796875" style="767" customWidth="1"/>
    <col min="7944" max="7957" width="8.7265625" style="767" customWidth="1"/>
    <col min="7958" max="7958" width="10.1796875" style="767" customWidth="1"/>
    <col min="7959" max="8194" width="9.1796875" style="767"/>
    <col min="8195" max="8195" width="3.7265625" style="767" customWidth="1"/>
    <col min="8196" max="8196" width="12.7265625" style="767" customWidth="1"/>
    <col min="8197" max="8197" width="3.7265625" style="767" customWidth="1"/>
    <col min="8198" max="8198" width="20.7265625" style="767" customWidth="1"/>
    <col min="8199" max="8199" width="4.1796875" style="767" customWidth="1"/>
    <col min="8200" max="8213" width="8.7265625" style="767" customWidth="1"/>
    <col min="8214" max="8214" width="10.1796875" style="767" customWidth="1"/>
    <col min="8215" max="8450" width="9.1796875" style="767"/>
    <col min="8451" max="8451" width="3.7265625" style="767" customWidth="1"/>
    <col min="8452" max="8452" width="12.7265625" style="767" customWidth="1"/>
    <col min="8453" max="8453" width="3.7265625" style="767" customWidth="1"/>
    <col min="8454" max="8454" width="20.7265625" style="767" customWidth="1"/>
    <col min="8455" max="8455" width="4.1796875" style="767" customWidth="1"/>
    <col min="8456" max="8469" width="8.7265625" style="767" customWidth="1"/>
    <col min="8470" max="8470" width="10.1796875" style="767" customWidth="1"/>
    <col min="8471" max="8706" width="9.1796875" style="767"/>
    <col min="8707" max="8707" width="3.7265625" style="767" customWidth="1"/>
    <col min="8708" max="8708" width="12.7265625" style="767" customWidth="1"/>
    <col min="8709" max="8709" width="3.7265625" style="767" customWidth="1"/>
    <col min="8710" max="8710" width="20.7265625" style="767" customWidth="1"/>
    <col min="8711" max="8711" width="4.1796875" style="767" customWidth="1"/>
    <col min="8712" max="8725" width="8.7265625" style="767" customWidth="1"/>
    <col min="8726" max="8726" width="10.1796875" style="767" customWidth="1"/>
    <col min="8727" max="8962" width="9.1796875" style="767"/>
    <col min="8963" max="8963" width="3.7265625" style="767" customWidth="1"/>
    <col min="8964" max="8964" width="12.7265625" style="767" customWidth="1"/>
    <col min="8965" max="8965" width="3.7265625" style="767" customWidth="1"/>
    <col min="8966" max="8966" width="20.7265625" style="767" customWidth="1"/>
    <col min="8967" max="8967" width="4.1796875" style="767" customWidth="1"/>
    <col min="8968" max="8981" width="8.7265625" style="767" customWidth="1"/>
    <col min="8982" max="8982" width="10.1796875" style="767" customWidth="1"/>
    <col min="8983" max="9218" width="9.1796875" style="767"/>
    <col min="9219" max="9219" width="3.7265625" style="767" customWidth="1"/>
    <col min="9220" max="9220" width="12.7265625" style="767" customWidth="1"/>
    <col min="9221" max="9221" width="3.7265625" style="767" customWidth="1"/>
    <col min="9222" max="9222" width="20.7265625" style="767" customWidth="1"/>
    <col min="9223" max="9223" width="4.1796875" style="767" customWidth="1"/>
    <col min="9224" max="9237" width="8.7265625" style="767" customWidth="1"/>
    <col min="9238" max="9238" width="10.1796875" style="767" customWidth="1"/>
    <col min="9239" max="9474" width="9.1796875" style="767"/>
    <col min="9475" max="9475" width="3.7265625" style="767" customWidth="1"/>
    <col min="9476" max="9476" width="12.7265625" style="767" customWidth="1"/>
    <col min="9477" max="9477" width="3.7265625" style="767" customWidth="1"/>
    <col min="9478" max="9478" width="20.7265625" style="767" customWidth="1"/>
    <col min="9479" max="9479" width="4.1796875" style="767" customWidth="1"/>
    <col min="9480" max="9493" width="8.7265625" style="767" customWidth="1"/>
    <col min="9494" max="9494" width="10.1796875" style="767" customWidth="1"/>
    <col min="9495" max="9730" width="9.1796875" style="767"/>
    <col min="9731" max="9731" width="3.7265625" style="767" customWidth="1"/>
    <col min="9732" max="9732" width="12.7265625" style="767" customWidth="1"/>
    <col min="9733" max="9733" width="3.7265625" style="767" customWidth="1"/>
    <col min="9734" max="9734" width="20.7265625" style="767" customWidth="1"/>
    <col min="9735" max="9735" width="4.1796875" style="767" customWidth="1"/>
    <col min="9736" max="9749" width="8.7265625" style="767" customWidth="1"/>
    <col min="9750" max="9750" width="10.1796875" style="767" customWidth="1"/>
    <col min="9751" max="9986" width="9.1796875" style="767"/>
    <col min="9987" max="9987" width="3.7265625" style="767" customWidth="1"/>
    <col min="9988" max="9988" width="12.7265625" style="767" customWidth="1"/>
    <col min="9989" max="9989" width="3.7265625" style="767" customWidth="1"/>
    <col min="9990" max="9990" width="20.7265625" style="767" customWidth="1"/>
    <col min="9991" max="9991" width="4.1796875" style="767" customWidth="1"/>
    <col min="9992" max="10005" width="8.7265625" style="767" customWidth="1"/>
    <col min="10006" max="10006" width="10.1796875" style="767" customWidth="1"/>
    <col min="10007" max="10242" width="9.1796875" style="767"/>
    <col min="10243" max="10243" width="3.7265625" style="767" customWidth="1"/>
    <col min="10244" max="10244" width="12.7265625" style="767" customWidth="1"/>
    <col min="10245" max="10245" width="3.7265625" style="767" customWidth="1"/>
    <col min="10246" max="10246" width="20.7265625" style="767" customWidth="1"/>
    <col min="10247" max="10247" width="4.1796875" style="767" customWidth="1"/>
    <col min="10248" max="10261" width="8.7265625" style="767" customWidth="1"/>
    <col min="10262" max="10262" width="10.1796875" style="767" customWidth="1"/>
    <col min="10263" max="10498" width="9.1796875" style="767"/>
    <col min="10499" max="10499" width="3.7265625" style="767" customWidth="1"/>
    <col min="10500" max="10500" width="12.7265625" style="767" customWidth="1"/>
    <col min="10501" max="10501" width="3.7265625" style="767" customWidth="1"/>
    <col min="10502" max="10502" width="20.7265625" style="767" customWidth="1"/>
    <col min="10503" max="10503" width="4.1796875" style="767" customWidth="1"/>
    <col min="10504" max="10517" width="8.7265625" style="767" customWidth="1"/>
    <col min="10518" max="10518" width="10.1796875" style="767" customWidth="1"/>
    <col min="10519" max="10754" width="9.1796875" style="767"/>
    <col min="10755" max="10755" width="3.7265625" style="767" customWidth="1"/>
    <col min="10756" max="10756" width="12.7265625" style="767" customWidth="1"/>
    <col min="10757" max="10757" width="3.7265625" style="767" customWidth="1"/>
    <col min="10758" max="10758" width="20.7265625" style="767" customWidth="1"/>
    <col min="10759" max="10759" width="4.1796875" style="767" customWidth="1"/>
    <col min="10760" max="10773" width="8.7265625" style="767" customWidth="1"/>
    <col min="10774" max="10774" width="10.1796875" style="767" customWidth="1"/>
    <col min="10775" max="11010" width="9.1796875" style="767"/>
    <col min="11011" max="11011" width="3.7265625" style="767" customWidth="1"/>
    <col min="11012" max="11012" width="12.7265625" style="767" customWidth="1"/>
    <col min="11013" max="11013" width="3.7265625" style="767" customWidth="1"/>
    <col min="11014" max="11014" width="20.7265625" style="767" customWidth="1"/>
    <col min="11015" max="11015" width="4.1796875" style="767" customWidth="1"/>
    <col min="11016" max="11029" width="8.7265625" style="767" customWidth="1"/>
    <col min="11030" max="11030" width="10.1796875" style="767" customWidth="1"/>
    <col min="11031" max="11266" width="9.1796875" style="767"/>
    <col min="11267" max="11267" width="3.7265625" style="767" customWidth="1"/>
    <col min="11268" max="11268" width="12.7265625" style="767" customWidth="1"/>
    <col min="11269" max="11269" width="3.7265625" style="767" customWidth="1"/>
    <col min="11270" max="11270" width="20.7265625" style="767" customWidth="1"/>
    <col min="11271" max="11271" width="4.1796875" style="767" customWidth="1"/>
    <col min="11272" max="11285" width="8.7265625" style="767" customWidth="1"/>
    <col min="11286" max="11286" width="10.1796875" style="767" customWidth="1"/>
    <col min="11287" max="11522" width="9.1796875" style="767"/>
    <col min="11523" max="11523" width="3.7265625" style="767" customWidth="1"/>
    <col min="11524" max="11524" width="12.7265625" style="767" customWidth="1"/>
    <col min="11525" max="11525" width="3.7265625" style="767" customWidth="1"/>
    <col min="11526" max="11526" width="20.7265625" style="767" customWidth="1"/>
    <col min="11527" max="11527" width="4.1796875" style="767" customWidth="1"/>
    <col min="11528" max="11541" width="8.7265625" style="767" customWidth="1"/>
    <col min="11542" max="11542" width="10.1796875" style="767" customWidth="1"/>
    <col min="11543" max="11778" width="9.1796875" style="767"/>
    <col min="11779" max="11779" width="3.7265625" style="767" customWidth="1"/>
    <col min="11780" max="11780" width="12.7265625" style="767" customWidth="1"/>
    <col min="11781" max="11781" width="3.7265625" style="767" customWidth="1"/>
    <col min="11782" max="11782" width="20.7265625" style="767" customWidth="1"/>
    <col min="11783" max="11783" width="4.1796875" style="767" customWidth="1"/>
    <col min="11784" max="11797" width="8.7265625" style="767" customWidth="1"/>
    <col min="11798" max="11798" width="10.1796875" style="767" customWidth="1"/>
    <col min="11799" max="12034" width="9.1796875" style="767"/>
    <col min="12035" max="12035" width="3.7265625" style="767" customWidth="1"/>
    <col min="12036" max="12036" width="12.7265625" style="767" customWidth="1"/>
    <col min="12037" max="12037" width="3.7265625" style="767" customWidth="1"/>
    <col min="12038" max="12038" width="20.7265625" style="767" customWidth="1"/>
    <col min="12039" max="12039" width="4.1796875" style="767" customWidth="1"/>
    <col min="12040" max="12053" width="8.7265625" style="767" customWidth="1"/>
    <col min="12054" max="12054" width="10.1796875" style="767" customWidth="1"/>
    <col min="12055" max="12290" width="9.1796875" style="767"/>
    <col min="12291" max="12291" width="3.7265625" style="767" customWidth="1"/>
    <col min="12292" max="12292" width="12.7265625" style="767" customWidth="1"/>
    <col min="12293" max="12293" width="3.7265625" style="767" customWidth="1"/>
    <col min="12294" max="12294" width="20.7265625" style="767" customWidth="1"/>
    <col min="12295" max="12295" width="4.1796875" style="767" customWidth="1"/>
    <col min="12296" max="12309" width="8.7265625" style="767" customWidth="1"/>
    <col min="12310" max="12310" width="10.1796875" style="767" customWidth="1"/>
    <col min="12311" max="12546" width="9.1796875" style="767"/>
    <col min="12547" max="12547" width="3.7265625" style="767" customWidth="1"/>
    <col min="12548" max="12548" width="12.7265625" style="767" customWidth="1"/>
    <col min="12549" max="12549" width="3.7265625" style="767" customWidth="1"/>
    <col min="12550" max="12550" width="20.7265625" style="767" customWidth="1"/>
    <col min="12551" max="12551" width="4.1796875" style="767" customWidth="1"/>
    <col min="12552" max="12565" width="8.7265625" style="767" customWidth="1"/>
    <col min="12566" max="12566" width="10.1796875" style="767" customWidth="1"/>
    <col min="12567" max="12802" width="9.1796875" style="767"/>
    <col min="12803" max="12803" width="3.7265625" style="767" customWidth="1"/>
    <col min="12804" max="12804" width="12.7265625" style="767" customWidth="1"/>
    <col min="12805" max="12805" width="3.7265625" style="767" customWidth="1"/>
    <col min="12806" max="12806" width="20.7265625" style="767" customWidth="1"/>
    <col min="12807" max="12807" width="4.1796875" style="767" customWidth="1"/>
    <col min="12808" max="12821" width="8.7265625" style="767" customWidth="1"/>
    <col min="12822" max="12822" width="10.1796875" style="767" customWidth="1"/>
    <col min="12823" max="13058" width="9.1796875" style="767"/>
    <col min="13059" max="13059" width="3.7265625" style="767" customWidth="1"/>
    <col min="13060" max="13060" width="12.7265625" style="767" customWidth="1"/>
    <col min="13061" max="13061" width="3.7265625" style="767" customWidth="1"/>
    <col min="13062" max="13062" width="20.7265625" style="767" customWidth="1"/>
    <col min="13063" max="13063" width="4.1796875" style="767" customWidth="1"/>
    <col min="13064" max="13077" width="8.7265625" style="767" customWidth="1"/>
    <col min="13078" max="13078" width="10.1796875" style="767" customWidth="1"/>
    <col min="13079" max="13314" width="9.1796875" style="767"/>
    <col min="13315" max="13315" width="3.7265625" style="767" customWidth="1"/>
    <col min="13316" max="13316" width="12.7265625" style="767" customWidth="1"/>
    <col min="13317" max="13317" width="3.7265625" style="767" customWidth="1"/>
    <col min="13318" max="13318" width="20.7265625" style="767" customWidth="1"/>
    <col min="13319" max="13319" width="4.1796875" style="767" customWidth="1"/>
    <col min="13320" max="13333" width="8.7265625" style="767" customWidth="1"/>
    <col min="13334" max="13334" width="10.1796875" style="767" customWidth="1"/>
    <col min="13335" max="13570" width="9.1796875" style="767"/>
    <col min="13571" max="13571" width="3.7265625" style="767" customWidth="1"/>
    <col min="13572" max="13572" width="12.7265625" style="767" customWidth="1"/>
    <col min="13573" max="13573" width="3.7265625" style="767" customWidth="1"/>
    <col min="13574" max="13574" width="20.7265625" style="767" customWidth="1"/>
    <col min="13575" max="13575" width="4.1796875" style="767" customWidth="1"/>
    <col min="13576" max="13589" width="8.7265625" style="767" customWidth="1"/>
    <col min="13590" max="13590" width="10.1796875" style="767" customWidth="1"/>
    <col min="13591" max="13826" width="9.1796875" style="767"/>
    <col min="13827" max="13827" width="3.7265625" style="767" customWidth="1"/>
    <col min="13828" max="13828" width="12.7265625" style="767" customWidth="1"/>
    <col min="13829" max="13829" width="3.7265625" style="767" customWidth="1"/>
    <col min="13830" max="13830" width="20.7265625" style="767" customWidth="1"/>
    <col min="13831" max="13831" width="4.1796875" style="767" customWidth="1"/>
    <col min="13832" max="13845" width="8.7265625" style="767" customWidth="1"/>
    <col min="13846" max="13846" width="10.1796875" style="767" customWidth="1"/>
    <col min="13847" max="14082" width="9.1796875" style="767"/>
    <col min="14083" max="14083" width="3.7265625" style="767" customWidth="1"/>
    <col min="14084" max="14084" width="12.7265625" style="767" customWidth="1"/>
    <col min="14085" max="14085" width="3.7265625" style="767" customWidth="1"/>
    <col min="14086" max="14086" width="20.7265625" style="767" customWidth="1"/>
    <col min="14087" max="14087" width="4.1796875" style="767" customWidth="1"/>
    <col min="14088" max="14101" width="8.7265625" style="767" customWidth="1"/>
    <col min="14102" max="14102" width="10.1796875" style="767" customWidth="1"/>
    <col min="14103" max="14338" width="9.1796875" style="767"/>
    <col min="14339" max="14339" width="3.7265625" style="767" customWidth="1"/>
    <col min="14340" max="14340" width="12.7265625" style="767" customWidth="1"/>
    <col min="14341" max="14341" width="3.7265625" style="767" customWidth="1"/>
    <col min="14342" max="14342" width="20.7265625" style="767" customWidth="1"/>
    <col min="14343" max="14343" width="4.1796875" style="767" customWidth="1"/>
    <col min="14344" max="14357" width="8.7265625" style="767" customWidth="1"/>
    <col min="14358" max="14358" width="10.1796875" style="767" customWidth="1"/>
    <col min="14359" max="14594" width="9.1796875" style="767"/>
    <col min="14595" max="14595" width="3.7265625" style="767" customWidth="1"/>
    <col min="14596" max="14596" width="12.7265625" style="767" customWidth="1"/>
    <col min="14597" max="14597" width="3.7265625" style="767" customWidth="1"/>
    <col min="14598" max="14598" width="20.7265625" style="767" customWidth="1"/>
    <col min="14599" max="14599" width="4.1796875" style="767" customWidth="1"/>
    <col min="14600" max="14613" width="8.7265625" style="767" customWidth="1"/>
    <col min="14614" max="14614" width="10.1796875" style="767" customWidth="1"/>
    <col min="14615" max="14850" width="9.1796875" style="767"/>
    <col min="14851" max="14851" width="3.7265625" style="767" customWidth="1"/>
    <col min="14852" max="14852" width="12.7265625" style="767" customWidth="1"/>
    <col min="14853" max="14853" width="3.7265625" style="767" customWidth="1"/>
    <col min="14854" max="14854" width="20.7265625" style="767" customWidth="1"/>
    <col min="14855" max="14855" width="4.1796875" style="767" customWidth="1"/>
    <col min="14856" max="14869" width="8.7265625" style="767" customWidth="1"/>
    <col min="14870" max="14870" width="10.1796875" style="767" customWidth="1"/>
    <col min="14871" max="15106" width="9.1796875" style="767"/>
    <col min="15107" max="15107" width="3.7265625" style="767" customWidth="1"/>
    <col min="15108" max="15108" width="12.7265625" style="767" customWidth="1"/>
    <col min="15109" max="15109" width="3.7265625" style="767" customWidth="1"/>
    <col min="15110" max="15110" width="20.7265625" style="767" customWidth="1"/>
    <col min="15111" max="15111" width="4.1796875" style="767" customWidth="1"/>
    <col min="15112" max="15125" width="8.7265625" style="767" customWidth="1"/>
    <col min="15126" max="15126" width="10.1796875" style="767" customWidth="1"/>
    <col min="15127" max="15362" width="9.1796875" style="767"/>
    <col min="15363" max="15363" width="3.7265625" style="767" customWidth="1"/>
    <col min="15364" max="15364" width="12.7265625" style="767" customWidth="1"/>
    <col min="15365" max="15365" width="3.7265625" style="767" customWidth="1"/>
    <col min="15366" max="15366" width="20.7265625" style="767" customWidth="1"/>
    <col min="15367" max="15367" width="4.1796875" style="767" customWidth="1"/>
    <col min="15368" max="15381" width="8.7265625" style="767" customWidth="1"/>
    <col min="15382" max="15382" width="10.1796875" style="767" customWidth="1"/>
    <col min="15383" max="15618" width="9.1796875" style="767"/>
    <col min="15619" max="15619" width="3.7265625" style="767" customWidth="1"/>
    <col min="15620" max="15620" width="12.7265625" style="767" customWidth="1"/>
    <col min="15621" max="15621" width="3.7265625" style="767" customWidth="1"/>
    <col min="15622" max="15622" width="20.7265625" style="767" customWidth="1"/>
    <col min="15623" max="15623" width="4.1796875" style="767" customWidth="1"/>
    <col min="15624" max="15637" width="8.7265625" style="767" customWidth="1"/>
    <col min="15638" max="15638" width="10.1796875" style="767" customWidth="1"/>
    <col min="15639" max="15874" width="9.1796875" style="767"/>
    <col min="15875" max="15875" width="3.7265625" style="767" customWidth="1"/>
    <col min="15876" max="15876" width="12.7265625" style="767" customWidth="1"/>
    <col min="15877" max="15877" width="3.7265625" style="767" customWidth="1"/>
    <col min="15878" max="15878" width="20.7265625" style="767" customWidth="1"/>
    <col min="15879" max="15879" width="4.1796875" style="767" customWidth="1"/>
    <col min="15880" max="15893" width="8.7265625" style="767" customWidth="1"/>
    <col min="15894" max="15894" width="10.1796875" style="767" customWidth="1"/>
    <col min="15895" max="16130" width="9.1796875" style="767"/>
    <col min="16131" max="16131" width="3.7265625" style="767" customWidth="1"/>
    <col min="16132" max="16132" width="12.7265625" style="767" customWidth="1"/>
    <col min="16133" max="16133" width="3.7265625" style="767" customWidth="1"/>
    <col min="16134" max="16134" width="20.7265625" style="767" customWidth="1"/>
    <col min="16135" max="16135" width="4.1796875" style="767" customWidth="1"/>
    <col min="16136" max="16149" width="8.7265625" style="767" customWidth="1"/>
    <col min="16150" max="16150" width="10.1796875" style="767" customWidth="1"/>
    <col min="16151" max="16384" width="9.1796875" style="767"/>
  </cols>
  <sheetData>
    <row r="1" spans="1:30" s="1764" customFormat="1" ht="14" x14ac:dyDescent="0.3">
      <c r="A1" s="2070"/>
      <c r="B1" s="1768"/>
      <c r="C1" s="1768"/>
      <c r="E1" s="2220"/>
    </row>
    <row r="2" spans="1:30" s="1764" customFormat="1" ht="15" customHeight="1" x14ac:dyDescent="0.3">
      <c r="A2" s="1255">
        <v>1</v>
      </c>
      <c r="B2" s="1255" t="s">
        <v>0</v>
      </c>
      <c r="C2" s="1255">
        <v>78</v>
      </c>
      <c r="D2" s="4733" t="s">
        <v>1698</v>
      </c>
      <c r="E2" s="4734"/>
      <c r="F2" s="4734"/>
      <c r="G2" s="4734"/>
      <c r="H2" s="4734"/>
      <c r="I2" s="4734"/>
      <c r="J2" s="4734"/>
      <c r="K2" s="4734"/>
      <c r="L2" s="4734"/>
      <c r="M2" s="4734"/>
      <c r="N2" s="4734"/>
      <c r="O2" s="4734"/>
      <c r="P2" s="4734"/>
      <c r="Q2" s="4734"/>
      <c r="R2" s="4734"/>
      <c r="S2" s="4734"/>
      <c r="T2" s="4734"/>
      <c r="U2" s="4734"/>
      <c r="V2" s="4734"/>
      <c r="W2" s="4734"/>
      <c r="X2" s="4734"/>
      <c r="Y2" s="4734"/>
      <c r="Z2" s="4734"/>
      <c r="AA2" s="4734"/>
      <c r="AB2" s="4735"/>
      <c r="AC2" s="1513"/>
    </row>
    <row r="3" spans="1:30" s="1764" customFormat="1" ht="14.25" customHeight="1" x14ac:dyDescent="0.3">
      <c r="A3" s="1255">
        <v>2</v>
      </c>
      <c r="B3" s="1255" t="s">
        <v>2</v>
      </c>
      <c r="C3" s="1255"/>
      <c r="D3" s="4733" t="s">
        <v>1699</v>
      </c>
      <c r="E3" s="4734"/>
      <c r="F3" s="4734"/>
      <c r="G3" s="4734"/>
      <c r="H3" s="4734"/>
      <c r="I3" s="4734"/>
      <c r="J3" s="4734"/>
      <c r="K3" s="4734"/>
      <c r="L3" s="4734"/>
      <c r="M3" s="4734"/>
      <c r="N3" s="4734"/>
      <c r="O3" s="4734"/>
      <c r="P3" s="4734"/>
      <c r="Q3" s="4734"/>
      <c r="R3" s="4734"/>
      <c r="S3" s="4734"/>
      <c r="T3" s="4734"/>
      <c r="U3" s="4734"/>
      <c r="V3" s="4734"/>
      <c r="W3" s="4734"/>
      <c r="X3" s="4734"/>
      <c r="Y3" s="4734"/>
      <c r="Z3" s="4734"/>
      <c r="AA3" s="4734"/>
      <c r="AB3" s="4735"/>
      <c r="AC3" s="1513"/>
    </row>
    <row r="4" spans="1:30" s="1764" customFormat="1" ht="14.25" customHeight="1" x14ac:dyDescent="0.3">
      <c r="A4" s="1255">
        <v>3</v>
      </c>
      <c r="B4" s="1255" t="s">
        <v>4</v>
      </c>
      <c r="C4" s="1255"/>
      <c r="D4" s="4733" t="s">
        <v>1700</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5"/>
      <c r="AC4" s="1513"/>
    </row>
    <row r="5" spans="1:30" s="1764" customFormat="1" ht="14.25" customHeight="1" x14ac:dyDescent="0.3">
      <c r="A5" s="1255"/>
      <c r="B5" s="1255"/>
      <c r="C5" s="1255"/>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row>
    <row r="6" spans="1:30" s="1265" customFormat="1" ht="20.25" customHeight="1" x14ac:dyDescent="0.3">
      <c r="A6" s="1255">
        <v>4</v>
      </c>
      <c r="B6" s="728" t="s">
        <v>6</v>
      </c>
      <c r="C6" s="1260"/>
      <c r="D6" s="1770" t="s">
        <v>85</v>
      </c>
      <c r="E6" s="1515" t="s">
        <v>1701</v>
      </c>
      <c r="F6" s="1770"/>
      <c r="G6" s="1770"/>
      <c r="H6" s="3092"/>
      <c r="I6" s="3092"/>
      <c r="J6" s="4102"/>
      <c r="K6" s="4103"/>
      <c r="L6" s="4103"/>
      <c r="M6" s="4103"/>
      <c r="N6" s="4103"/>
      <c r="O6" s="4103"/>
      <c r="P6" s="4103"/>
      <c r="Q6" s="4103"/>
      <c r="R6" s="4103"/>
      <c r="S6" s="4103"/>
      <c r="T6" s="4103"/>
      <c r="U6" s="4103"/>
      <c r="V6" s="4103"/>
      <c r="W6" s="4104"/>
    </row>
    <row r="7" spans="1:30" s="1265" customFormat="1" ht="20.25" customHeight="1" x14ac:dyDescent="0.25">
      <c r="A7" s="1259"/>
      <c r="B7" s="1260"/>
      <c r="C7" s="1260"/>
      <c r="D7" s="2471"/>
      <c r="E7" s="2239"/>
      <c r="F7" s="4105" t="s">
        <v>104</v>
      </c>
      <c r="G7" s="4105" t="s">
        <v>105</v>
      </c>
      <c r="H7" s="4105" t="s">
        <v>106</v>
      </c>
      <c r="I7" s="4105" t="s">
        <v>107</v>
      </c>
      <c r="J7" s="4106" t="s">
        <v>108</v>
      </c>
      <c r="K7" s="4105" t="s">
        <v>109</v>
      </c>
      <c r="L7" s="4105" t="s">
        <v>110</v>
      </c>
      <c r="M7" s="4105" t="s">
        <v>111</v>
      </c>
      <c r="N7" s="4105" t="s">
        <v>112</v>
      </c>
      <c r="O7" s="4105" t="s">
        <v>113</v>
      </c>
      <c r="P7" s="4105" t="s">
        <v>114</v>
      </c>
      <c r="Q7" s="4105" t="s">
        <v>115</v>
      </c>
      <c r="R7" s="4105" t="s">
        <v>116</v>
      </c>
      <c r="S7" s="4105" t="s">
        <v>117</v>
      </c>
      <c r="T7" s="4107" t="s">
        <v>118</v>
      </c>
      <c r="U7" s="4107" t="s">
        <v>119</v>
      </c>
      <c r="V7" s="4107" t="s">
        <v>120</v>
      </c>
      <c r="W7" s="4107" t="s">
        <v>121</v>
      </c>
      <c r="X7" s="4107" t="s">
        <v>122</v>
      </c>
      <c r="Y7" s="4108" t="s">
        <v>123</v>
      </c>
      <c r="Z7" s="4109" t="s">
        <v>124</v>
      </c>
      <c r="AA7" s="4109" t="s">
        <v>125</v>
      </c>
      <c r="AB7" s="4109" t="s">
        <v>126</v>
      </c>
      <c r="AC7" s="4109" t="s">
        <v>302</v>
      </c>
    </row>
    <row r="8" spans="1:30" s="1265" customFormat="1" ht="20.25" customHeight="1" x14ac:dyDescent="0.25">
      <c r="A8" s="1259"/>
      <c r="B8" s="1260"/>
      <c r="C8" s="1260"/>
      <c r="D8" s="1270"/>
      <c r="E8" s="1622"/>
      <c r="F8" s="4110"/>
      <c r="G8" s="4110"/>
      <c r="H8" s="4110"/>
      <c r="I8" s="4110"/>
      <c r="J8" s="4110"/>
      <c r="K8" s="4110"/>
      <c r="L8" s="4110"/>
      <c r="M8" s="4110"/>
      <c r="N8" s="3057"/>
      <c r="O8" s="3057"/>
      <c r="P8" s="3057"/>
      <c r="Q8" s="3057"/>
      <c r="R8" s="3057"/>
      <c r="S8" s="3057"/>
      <c r="T8" s="3057"/>
      <c r="U8" s="3057"/>
      <c r="V8" s="3057"/>
      <c r="W8" s="3057"/>
      <c r="X8" s="3057"/>
      <c r="Y8" s="4111"/>
      <c r="Z8" s="4112"/>
      <c r="AA8" s="4112"/>
      <c r="AB8" s="4112"/>
      <c r="AC8" s="4112"/>
    </row>
    <row r="9" spans="1:30" s="1265" customFormat="1" ht="10.5" x14ac:dyDescent="0.2">
      <c r="A9" s="1259"/>
      <c r="B9" s="1260"/>
      <c r="C9" s="1260"/>
      <c r="D9" s="1804" t="s">
        <v>1702</v>
      </c>
      <c r="E9" s="1268" t="s">
        <v>1703</v>
      </c>
      <c r="F9" s="2373">
        <v>3870</v>
      </c>
      <c r="G9" s="2373">
        <v>1592</v>
      </c>
      <c r="H9" s="2373">
        <v>3338.1</v>
      </c>
      <c r="I9" s="2373">
        <v>-3573.7999999999997</v>
      </c>
      <c r="J9" s="2373">
        <v>-8476.6</v>
      </c>
      <c r="K9" s="2373">
        <v>-6055</v>
      </c>
      <c r="L9" s="2373">
        <v>-15165</v>
      </c>
      <c r="M9" s="2373">
        <v>-15057</v>
      </c>
      <c r="N9" s="2373">
        <v>-2300</v>
      </c>
      <c r="O9" s="2373">
        <v>-9380.7000000000007</v>
      </c>
      <c r="P9" s="2373">
        <v>-19127</v>
      </c>
      <c r="Q9" s="2373">
        <v>-12400</v>
      </c>
      <c r="R9" s="2373">
        <v>-10500</v>
      </c>
      <c r="S9" s="2373">
        <v>-4575</v>
      </c>
      <c r="T9" s="2373">
        <v>-449.98999999999978</v>
      </c>
      <c r="U9" s="2373">
        <v>-4115</v>
      </c>
      <c r="V9" s="2373">
        <v>-2307.7999999999993</v>
      </c>
      <c r="W9" s="2373">
        <v>-2411.6319999999996</v>
      </c>
      <c r="X9" s="2373">
        <v>-5575</v>
      </c>
      <c r="Y9" s="2373">
        <v>8275.3150000000005</v>
      </c>
      <c r="Z9" s="3114">
        <v>4989.8599999999997</v>
      </c>
      <c r="AA9" s="4113">
        <v>28024</v>
      </c>
      <c r="AB9" s="4113">
        <v>36000</v>
      </c>
      <c r="AC9" s="4113">
        <v>15000</v>
      </c>
      <c r="AD9" s="4017"/>
    </row>
    <row r="10" spans="1:30" s="1265" customFormat="1" ht="11.25" customHeight="1" x14ac:dyDescent="0.2">
      <c r="A10" s="1259"/>
      <c r="B10" s="4114"/>
      <c r="C10" s="1260"/>
      <c r="D10" s="4115" t="s">
        <v>1704</v>
      </c>
      <c r="E10" s="2899" t="s">
        <v>1705</v>
      </c>
      <c r="F10" s="2373">
        <f t="shared" ref="F10:AB10" si="0">SUM(F11:F13)</f>
        <v>2762688</v>
      </c>
      <c r="G10" s="2373">
        <f t="shared" si="0"/>
        <v>3023930</v>
      </c>
      <c r="H10" s="2373">
        <f t="shared" si="0"/>
        <v>3260567</v>
      </c>
      <c r="I10" s="2373">
        <f t="shared" si="0"/>
        <v>3637717</v>
      </c>
      <c r="J10" s="2373">
        <f t="shared" si="0"/>
        <v>4163792</v>
      </c>
      <c r="K10" s="2373">
        <f t="shared" si="0"/>
        <v>4637811</v>
      </c>
      <c r="L10" s="2373">
        <f t="shared" si="0"/>
        <v>4484919</v>
      </c>
      <c r="M10" s="2373">
        <f t="shared" si="0"/>
        <v>4878211</v>
      </c>
      <c r="N10" s="2373">
        <f t="shared" si="0"/>
        <v>5367396</v>
      </c>
      <c r="O10" s="2373">
        <f t="shared" si="0"/>
        <v>5876112</v>
      </c>
      <c r="P10" s="2373">
        <f t="shared" si="0"/>
        <v>6357421</v>
      </c>
      <c r="Q10" s="2373">
        <f t="shared" si="0"/>
        <v>7173554</v>
      </c>
      <c r="R10" s="2373">
        <f t="shared" si="0"/>
        <v>7766915</v>
      </c>
      <c r="S10" s="2373">
        <f t="shared" si="0"/>
        <v>8131422</v>
      </c>
      <c r="T10" s="2373">
        <f t="shared" si="0"/>
        <v>12751006</v>
      </c>
      <c r="U10" s="2373">
        <f t="shared" si="0"/>
        <v>16039801</v>
      </c>
      <c r="V10" s="2373">
        <f t="shared" si="0"/>
        <v>17926869</v>
      </c>
      <c r="W10" s="2373">
        <f t="shared" si="0"/>
        <v>19787304</v>
      </c>
      <c r="X10" s="2373">
        <f t="shared" si="0"/>
        <v>21452507</v>
      </c>
      <c r="Y10" s="2373">
        <f t="shared" si="0"/>
        <v>22693978</v>
      </c>
      <c r="Z10" s="2373">
        <f t="shared" si="0"/>
        <v>24057574</v>
      </c>
      <c r="AA10" s="2373">
        <f t="shared" si="0"/>
        <v>24447134</v>
      </c>
      <c r="AB10" s="2373">
        <f t="shared" si="0"/>
        <v>24549170</v>
      </c>
      <c r="AC10" s="2373">
        <f>SUM(AC11:AC13)</f>
        <v>25832536</v>
      </c>
      <c r="AD10" s="4116"/>
    </row>
    <row r="11" spans="1:30" s="1265" customFormat="1" ht="10.5" x14ac:dyDescent="0.2">
      <c r="A11" s="1259"/>
      <c r="B11" s="4114"/>
      <c r="C11" s="1260"/>
      <c r="D11" s="4117" t="s">
        <v>1706</v>
      </c>
      <c r="E11" s="4118"/>
      <c r="F11" s="4119">
        <v>2158080</v>
      </c>
      <c r="G11" s="4119">
        <v>2334751</v>
      </c>
      <c r="H11" s="4120">
        <v>2485703</v>
      </c>
      <c r="I11" s="4120">
        <v>2617458</v>
      </c>
      <c r="J11" s="4120">
        <v>2985095</v>
      </c>
      <c r="K11" s="4120">
        <v>3321041</v>
      </c>
      <c r="L11" s="4120">
        <v>3415432</v>
      </c>
      <c r="M11" s="4120">
        <v>3777005</v>
      </c>
      <c r="N11" s="4120">
        <v>4115293</v>
      </c>
      <c r="O11" s="4120">
        <v>4476261</v>
      </c>
      <c r="P11" s="4120">
        <v>4764105</v>
      </c>
      <c r="Q11" s="4120">
        <v>5204805</v>
      </c>
      <c r="R11" s="4121">
        <v>5540646</v>
      </c>
      <c r="S11" s="4121">
        <v>5920612</v>
      </c>
      <c r="T11" s="4121">
        <v>10346175</v>
      </c>
      <c r="U11" s="4121">
        <v>13703717</v>
      </c>
      <c r="V11" s="4121">
        <v>15418920</v>
      </c>
      <c r="W11" s="4121">
        <v>16779711</v>
      </c>
      <c r="X11" s="4121">
        <v>18185538</v>
      </c>
      <c r="Y11" s="4121">
        <v>19075270</v>
      </c>
      <c r="Z11" s="4116">
        <v>19980110</v>
      </c>
      <c r="AA11" s="4116">
        <v>20953564</v>
      </c>
      <c r="AB11" s="4116">
        <v>22170546</v>
      </c>
      <c r="AC11" s="4116">
        <v>22919701</v>
      </c>
      <c r="AD11" s="4116"/>
    </row>
    <row r="12" spans="1:30" s="1265" customFormat="1" ht="10.5" x14ac:dyDescent="0.2">
      <c r="A12" s="1259"/>
      <c r="B12" s="1260"/>
      <c r="C12" s="1260"/>
      <c r="D12" s="4117" t="s">
        <v>1707</v>
      </c>
      <c r="E12" s="4118"/>
      <c r="F12" s="4119">
        <v>604608</v>
      </c>
      <c r="G12" s="4119">
        <v>689179</v>
      </c>
      <c r="H12" s="4120">
        <v>774864</v>
      </c>
      <c r="I12" s="4119">
        <v>839591</v>
      </c>
      <c r="J12" s="4119">
        <v>976720</v>
      </c>
      <c r="K12" s="4119">
        <v>1081788</v>
      </c>
      <c r="L12" s="4119">
        <v>814894</v>
      </c>
      <c r="M12" s="4119">
        <v>817381</v>
      </c>
      <c r="N12" s="4119">
        <v>933136</v>
      </c>
      <c r="O12" s="4119">
        <v>1054969</v>
      </c>
      <c r="P12" s="4119">
        <v>1218905</v>
      </c>
      <c r="Q12" s="4119">
        <v>1584002</v>
      </c>
      <c r="R12" s="4122">
        <v>1834009</v>
      </c>
      <c r="S12" s="4121">
        <v>1878856</v>
      </c>
      <c r="T12" s="4121">
        <v>2078182</v>
      </c>
      <c r="U12" s="4121">
        <v>2034719</v>
      </c>
      <c r="V12" s="4121">
        <v>2195883</v>
      </c>
      <c r="W12" s="4121">
        <v>2685405</v>
      </c>
      <c r="X12" s="4121">
        <v>2935385</v>
      </c>
      <c r="Y12" s="4121">
        <v>3278708</v>
      </c>
      <c r="Z12" s="4116">
        <v>3732416</v>
      </c>
      <c r="AA12" s="4116">
        <v>3131983</v>
      </c>
      <c r="AB12" s="4116">
        <v>2020763</v>
      </c>
      <c r="AC12" s="4116">
        <v>2548975</v>
      </c>
      <c r="AD12" s="4116"/>
    </row>
    <row r="13" spans="1:30" s="1265" customFormat="1" ht="10.5" x14ac:dyDescent="0.2">
      <c r="A13" s="1259"/>
      <c r="B13" s="1260"/>
      <c r="C13" s="1260"/>
      <c r="D13" s="4117" t="s">
        <v>1708</v>
      </c>
      <c r="E13" s="756"/>
      <c r="F13" s="2411"/>
      <c r="G13" s="2411"/>
      <c r="H13" s="4120"/>
      <c r="I13" s="4119">
        <v>180668</v>
      </c>
      <c r="J13" s="4119">
        <v>201977</v>
      </c>
      <c r="K13" s="4119">
        <v>234982</v>
      </c>
      <c r="L13" s="4119">
        <v>254593</v>
      </c>
      <c r="M13" s="4119">
        <v>283825</v>
      </c>
      <c r="N13" s="4119">
        <v>318967</v>
      </c>
      <c r="O13" s="4119">
        <v>344882</v>
      </c>
      <c r="P13" s="4119">
        <v>374411</v>
      </c>
      <c r="Q13" s="4119">
        <v>384747</v>
      </c>
      <c r="R13" s="4122">
        <v>392260</v>
      </c>
      <c r="S13" s="4121">
        <v>331954</v>
      </c>
      <c r="T13" s="4121">
        <v>326649</v>
      </c>
      <c r="U13" s="4121">
        <v>301365</v>
      </c>
      <c r="V13" s="4121">
        <v>312066</v>
      </c>
      <c r="W13" s="4121">
        <v>322188</v>
      </c>
      <c r="X13" s="4121">
        <v>331584</v>
      </c>
      <c r="Y13" s="4121">
        <v>340000</v>
      </c>
      <c r="Z13" s="4116">
        <v>345048</v>
      </c>
      <c r="AA13" s="4116">
        <v>361587</v>
      </c>
      <c r="AB13" s="4116">
        <v>357861</v>
      </c>
      <c r="AC13" s="4116">
        <v>363860</v>
      </c>
      <c r="AD13" s="4116"/>
    </row>
    <row r="14" spans="1:30" s="1265" customFormat="1" ht="10.5" x14ac:dyDescent="0.2">
      <c r="A14" s="1259"/>
      <c r="B14" s="1260"/>
      <c r="C14" s="1260"/>
      <c r="D14" s="2044" t="s">
        <v>1709</v>
      </c>
      <c r="E14" s="4118"/>
      <c r="F14" s="4119">
        <v>606829</v>
      </c>
      <c r="G14" s="4118">
        <v>449257</v>
      </c>
      <c r="H14" s="4120">
        <v>478002</v>
      </c>
      <c r="I14" s="4120">
        <v>424020</v>
      </c>
      <c r="J14" s="4120">
        <v>450630</v>
      </c>
      <c r="K14" s="4120">
        <v>479666</v>
      </c>
      <c r="L14" s="4120">
        <v>506098</v>
      </c>
      <c r="M14" s="4120">
        <v>536281</v>
      </c>
      <c r="N14" s="4120">
        <v>578138</v>
      </c>
      <c r="O14" s="4120">
        <v>633703</v>
      </c>
      <c r="P14" s="4120">
        <v>677153</v>
      </c>
      <c r="Q14" s="4120">
        <v>745487</v>
      </c>
      <c r="R14" s="4120">
        <v>737885</v>
      </c>
      <c r="S14" s="4120">
        <v>685523</v>
      </c>
      <c r="T14" s="4120">
        <v>664267</v>
      </c>
      <c r="U14" s="4120">
        <v>652349</v>
      </c>
      <c r="V14" s="4120">
        <v>650540</v>
      </c>
      <c r="W14" s="4120">
        <v>662194</v>
      </c>
      <c r="X14" s="4120">
        <v>679274</v>
      </c>
      <c r="Y14" s="4120">
        <v>706874</v>
      </c>
      <c r="Z14" s="4120">
        <v>742388</v>
      </c>
      <c r="AA14" s="4120">
        <v>760615</v>
      </c>
      <c r="AB14" s="4120">
        <v>802957</v>
      </c>
      <c r="AC14" s="4116">
        <v>831821</v>
      </c>
      <c r="AD14" s="4116"/>
    </row>
    <row r="15" spans="1:30" s="1265" customFormat="1" ht="10.5" x14ac:dyDescent="0.2">
      <c r="A15" s="1259"/>
      <c r="B15" s="1260"/>
      <c r="C15" s="1260"/>
      <c r="D15" s="4115"/>
      <c r="E15" s="2899"/>
      <c r="F15" s="2373"/>
      <c r="G15" s="2373"/>
      <c r="H15" s="2373"/>
      <c r="I15" s="2373"/>
      <c r="J15" s="2373"/>
      <c r="K15" s="2373"/>
      <c r="L15" s="2373"/>
      <c r="M15" s="2373"/>
      <c r="N15" s="2373"/>
      <c r="O15" s="2373"/>
      <c r="P15" s="2373"/>
      <c r="Q15" s="2373"/>
      <c r="R15" s="2373"/>
      <c r="S15" s="2373"/>
      <c r="T15" s="2373"/>
      <c r="U15" s="2373"/>
      <c r="V15" s="2373"/>
      <c r="W15" s="2373"/>
      <c r="X15" s="2373"/>
      <c r="Y15" s="2373"/>
      <c r="Z15" s="2373"/>
      <c r="AA15" s="2373"/>
      <c r="AB15" s="2373"/>
      <c r="AC15" s="2373"/>
    </row>
    <row r="16" spans="1:30" s="1265" customFormat="1" ht="11.25" customHeight="1" x14ac:dyDescent="0.25">
      <c r="A16" s="1259"/>
      <c r="B16" s="1260"/>
      <c r="C16" s="1260"/>
      <c r="D16" s="1772" t="s">
        <v>1698</v>
      </c>
      <c r="E16" s="1282" t="s">
        <v>1710</v>
      </c>
      <c r="F16" s="1933"/>
      <c r="G16" s="1933"/>
      <c r="H16" s="1933"/>
      <c r="I16" s="1933"/>
      <c r="J16" s="1933"/>
      <c r="K16" s="1933"/>
      <c r="L16" s="1933"/>
      <c r="M16" s="1933"/>
      <c r="N16" s="1933"/>
      <c r="O16" s="1933"/>
      <c r="P16" s="1933"/>
      <c r="Q16" s="1933"/>
      <c r="R16" s="4121"/>
      <c r="S16" s="4121"/>
      <c r="T16" s="4121"/>
      <c r="U16" s="4121"/>
      <c r="V16" s="4121"/>
      <c r="W16" s="4121"/>
      <c r="X16" s="4121"/>
      <c r="Y16" s="4111"/>
      <c r="Z16" s="4121"/>
      <c r="AA16" s="4111"/>
      <c r="AB16" s="4123"/>
      <c r="AC16" s="4123"/>
    </row>
    <row r="17" spans="1:29" s="1265" customFormat="1" ht="11.25" customHeight="1" x14ac:dyDescent="0.2">
      <c r="A17" s="1259"/>
      <c r="B17" s="1260"/>
      <c r="C17" s="1260"/>
      <c r="D17" s="1264" t="s">
        <v>1711</v>
      </c>
      <c r="E17" s="756"/>
      <c r="F17" s="4124">
        <v>59519.830999999998</v>
      </c>
      <c r="G17" s="4124">
        <v>68342.381999999998</v>
      </c>
      <c r="H17" s="4124">
        <v>77733.899999999994</v>
      </c>
      <c r="I17" s="4124">
        <v>85883.786999999997</v>
      </c>
      <c r="J17" s="4124">
        <v>86477.998000000007</v>
      </c>
      <c r="K17" s="4124">
        <v>90389.505000000005</v>
      </c>
      <c r="L17" s="4124">
        <v>94336.679000000004</v>
      </c>
      <c r="M17" s="4124">
        <v>98495.13</v>
      </c>
      <c r="N17" s="4124">
        <v>111696.561</v>
      </c>
      <c r="O17" s="4124">
        <v>126416.367</v>
      </c>
      <c r="P17" s="4124">
        <v>141397.08000000002</v>
      </c>
      <c r="Q17" s="4124">
        <v>169539.25300000003</v>
      </c>
      <c r="R17" s="4124">
        <v>196068.03700000001</v>
      </c>
      <c r="S17" s="4124">
        <v>206483.53338388007</v>
      </c>
      <c r="T17" s="4124">
        <v>228096.11159448003</v>
      </c>
      <c r="U17" s="4124">
        <v>251339.14729868999</v>
      </c>
      <c r="V17" s="4124">
        <v>276678.57430246007</v>
      </c>
      <c r="W17" s="4124">
        <v>310928.99241367</v>
      </c>
      <c r="X17" s="4124">
        <v>353918.10976956994</v>
      </c>
      <c r="Y17" s="4124">
        <v>389279.70173759997</v>
      </c>
      <c r="Z17" s="4123">
        <v>425924.06663148006</v>
      </c>
      <c r="AA17" s="4123">
        <v>462903.13275247999</v>
      </c>
      <c r="AB17" s="4123">
        <v>493828.77995540999</v>
      </c>
      <c r="AC17" s="4116">
        <v>529172</v>
      </c>
    </row>
    <row r="18" spans="1:29" s="1265" customFormat="1" ht="11.25" customHeight="1" x14ac:dyDescent="0.2">
      <c r="A18" s="1259"/>
      <c r="B18" s="1260"/>
      <c r="C18" s="1260"/>
      <c r="D18" s="1264" t="s">
        <v>1712</v>
      </c>
      <c r="E18" s="756"/>
      <c r="F18" s="4124">
        <v>16985.002</v>
      </c>
      <c r="G18" s="4124">
        <v>19696.403999999999</v>
      </c>
      <c r="H18" s="4124">
        <v>20388</v>
      </c>
      <c r="I18" s="4124">
        <v>20971.607</v>
      </c>
      <c r="J18" s="4124">
        <v>29491.826000000001</v>
      </c>
      <c r="K18" s="4124">
        <v>42354.472000000002</v>
      </c>
      <c r="L18" s="4124">
        <v>55745.053999999996</v>
      </c>
      <c r="M18" s="4124">
        <v>60880.803</v>
      </c>
      <c r="N18" s="4124">
        <v>71629.360000000015</v>
      </c>
      <c r="O18" s="4124">
        <v>87326.989999999991</v>
      </c>
      <c r="P18" s="4124">
        <v>120111.44</v>
      </c>
      <c r="Q18" s="4124">
        <v>141635.435</v>
      </c>
      <c r="R18" s="4124">
        <v>167202.23999999999</v>
      </c>
      <c r="S18" s="4124">
        <v>136977.93176756997</v>
      </c>
      <c r="T18" s="4124">
        <v>134635.07949267002</v>
      </c>
      <c r="U18" s="4124">
        <v>153272.17884887999</v>
      </c>
      <c r="V18" s="4124">
        <v>160895.79553077999</v>
      </c>
      <c r="W18" s="4124">
        <v>179520.12193793</v>
      </c>
      <c r="X18" s="4124">
        <v>186621.55362948001</v>
      </c>
      <c r="Y18" s="4124">
        <v>193385.29987314003</v>
      </c>
      <c r="Z18" s="4123">
        <v>207027.3</v>
      </c>
      <c r="AA18" s="4123">
        <v>220238.55604764001</v>
      </c>
      <c r="AB18" s="4123">
        <v>214388.37708902001</v>
      </c>
      <c r="AC18" s="4116">
        <v>214986</v>
      </c>
    </row>
    <row r="19" spans="1:29" s="1265" customFormat="1" ht="11.25" customHeight="1" x14ac:dyDescent="0.2">
      <c r="A19" s="1259"/>
      <c r="B19" s="1260"/>
      <c r="C19" s="1260"/>
      <c r="D19" s="1264" t="s">
        <v>1713</v>
      </c>
      <c r="E19" s="756"/>
      <c r="F19" s="4124">
        <v>35902.887000000002</v>
      </c>
      <c r="G19" s="4124">
        <v>40095.641000000003</v>
      </c>
      <c r="H19" s="4124">
        <v>43985.4</v>
      </c>
      <c r="I19" s="4124">
        <v>48376.84</v>
      </c>
      <c r="J19" s="4124">
        <v>54455.192999999999</v>
      </c>
      <c r="K19" s="4124">
        <v>61056.608999999997</v>
      </c>
      <c r="L19" s="4124">
        <v>70149.851999999999</v>
      </c>
      <c r="M19" s="4124">
        <v>80681.755000000005</v>
      </c>
      <c r="N19" s="4124">
        <v>98157.875</v>
      </c>
      <c r="O19" s="4124">
        <v>114351.63799999998</v>
      </c>
      <c r="P19" s="4124">
        <v>134462.59899999999</v>
      </c>
      <c r="Q19" s="4124">
        <v>150442.84899999999</v>
      </c>
      <c r="R19" s="4124">
        <v>154343.12100000001</v>
      </c>
      <c r="S19" s="4124">
        <v>147941.32226163996</v>
      </c>
      <c r="T19" s="4124">
        <v>183571.43947361002</v>
      </c>
      <c r="U19" s="4124">
        <v>191020.19853625001</v>
      </c>
      <c r="V19" s="4124">
        <v>215023.03517332999</v>
      </c>
      <c r="W19" s="4124">
        <v>237666.57887254003</v>
      </c>
      <c r="X19" s="4124">
        <v>261294.78794094999</v>
      </c>
      <c r="Y19" s="4124">
        <v>281111.41002235992</v>
      </c>
      <c r="Z19" s="4123">
        <v>289166.72246190003</v>
      </c>
      <c r="AA19" s="4123">
        <v>297997.59999999998</v>
      </c>
      <c r="AB19" s="4123">
        <v>324765.9613356</v>
      </c>
      <c r="AC19" s="4116">
        <v>346761</v>
      </c>
    </row>
    <row r="20" spans="1:29" s="1265" customFormat="1" ht="11.25" customHeight="1" x14ac:dyDescent="0.2">
      <c r="A20" s="1259"/>
      <c r="B20" s="1260"/>
      <c r="C20" s="1260"/>
      <c r="D20" s="1264" t="s">
        <v>1714</v>
      </c>
      <c r="E20" s="756"/>
      <c r="F20" s="4124">
        <v>7200.4589999999998</v>
      </c>
      <c r="G20" s="4124">
        <v>5638.5659999999998</v>
      </c>
      <c r="H20" s="4124">
        <v>6052.5</v>
      </c>
      <c r="I20" s="4124">
        <v>6778.0690000000004</v>
      </c>
      <c r="J20" s="4124">
        <v>8226.5769999999993</v>
      </c>
      <c r="K20" s="4124">
        <v>8680.1290000000008</v>
      </c>
      <c r="L20" s="4124">
        <v>9619.759</v>
      </c>
      <c r="M20" s="4124">
        <v>8414.2780000000002</v>
      </c>
      <c r="N20" s="4124">
        <v>12888.365</v>
      </c>
      <c r="O20" s="4124">
        <v>18303.465</v>
      </c>
      <c r="P20" s="4124">
        <v>23697.003000000001</v>
      </c>
      <c r="Q20" s="4124">
        <v>26469.759999999998</v>
      </c>
      <c r="R20" s="4124">
        <v>22751.023000000001</v>
      </c>
      <c r="S20" s="4124">
        <v>19577.114634760001</v>
      </c>
      <c r="T20" s="4124">
        <v>26637.437791249999</v>
      </c>
      <c r="U20" s="4124">
        <v>34197.900631880002</v>
      </c>
      <c r="V20" s="4124">
        <v>38997.93341148</v>
      </c>
      <c r="W20" s="4124">
        <v>44178.728258979994</v>
      </c>
      <c r="X20" s="4124">
        <v>40678.794854979998</v>
      </c>
      <c r="Y20" s="4124">
        <v>46250.125479700015</v>
      </c>
      <c r="Z20" s="4123">
        <v>45579.082852109997</v>
      </c>
      <c r="AA20" s="4123">
        <v>49151.7</v>
      </c>
      <c r="AB20" s="4123">
        <v>54968.055080710001</v>
      </c>
      <c r="AC20" s="4116">
        <v>55428</v>
      </c>
    </row>
    <row r="21" spans="1:29" s="1265" customFormat="1" ht="11.25" customHeight="1" x14ac:dyDescent="0.2">
      <c r="A21" s="1259"/>
      <c r="B21" s="1260"/>
      <c r="C21" s="1260"/>
      <c r="D21" s="1264" t="s">
        <v>1715</v>
      </c>
      <c r="E21" s="756"/>
      <c r="F21" s="4124">
        <v>27724.160000000003</v>
      </c>
      <c r="G21" s="4124">
        <v>31554.447000000015</v>
      </c>
      <c r="H21" s="4124">
        <v>36683.800000000017</v>
      </c>
      <c r="I21" s="4124">
        <v>39375.679000000004</v>
      </c>
      <c r="J21" s="4124">
        <v>41682.559000000008</v>
      </c>
      <c r="K21" s="4124">
        <v>49817.583999999973</v>
      </c>
      <c r="L21" s="4124">
        <v>52358.309999999969</v>
      </c>
      <c r="M21" s="4124">
        <v>54035.543000000005</v>
      </c>
      <c r="N21" s="4124">
        <v>60605.877999999968</v>
      </c>
      <c r="O21" s="4124">
        <v>70797.258622029913</v>
      </c>
      <c r="P21" s="4124">
        <v>75881.034530130099</v>
      </c>
      <c r="Q21" s="4124">
        <v>84727.221093109925</v>
      </c>
      <c r="R21" s="4124">
        <v>84735.746398760006</v>
      </c>
      <c r="S21" s="4124">
        <v>87725.541454540042</v>
      </c>
      <c r="T21" s="4124">
        <v>101243.07753865025</v>
      </c>
      <c r="U21" s="4124">
        <v>112820.28786277992</v>
      </c>
      <c r="V21" s="4124">
        <v>122230.47644532006</v>
      </c>
      <c r="W21" s="4124">
        <v>127720.29897502984</v>
      </c>
      <c r="X21" s="4124">
        <v>143781.77298686979</v>
      </c>
      <c r="Y21" s="4124">
        <v>159956.03369855997</v>
      </c>
      <c r="Z21" s="4123">
        <v>176383.8</v>
      </c>
      <c r="AA21" s="4123">
        <v>186173</v>
      </c>
      <c r="AB21" s="4123">
        <v>199739.06791325999</v>
      </c>
      <c r="AC21" s="4116">
        <v>209419</v>
      </c>
    </row>
    <row r="22" spans="1:29" s="1265" customFormat="1" ht="10.5" x14ac:dyDescent="0.25">
      <c r="A22" s="1259"/>
      <c r="B22" s="1260"/>
      <c r="C22" s="1260"/>
      <c r="D22" s="4125" t="s">
        <v>232</v>
      </c>
      <c r="E22" s="1489"/>
      <c r="F22" s="4126">
        <v>147.33233900000002</v>
      </c>
      <c r="G22" s="4126">
        <v>165.32744</v>
      </c>
      <c r="H22" s="4126">
        <v>184.84450000000001</v>
      </c>
      <c r="I22" s="4126">
        <v>201.38604999999998</v>
      </c>
      <c r="J22" s="4126">
        <v>220.33414599999998</v>
      </c>
      <c r="K22" s="4126">
        <v>252.29831000000007</v>
      </c>
      <c r="L22" s="4126">
        <v>281.91052255345011</v>
      </c>
      <c r="M22" s="4126">
        <v>302.44255008468997</v>
      </c>
      <c r="N22" s="4126">
        <v>354.97803882381993</v>
      </c>
      <c r="O22" s="4126">
        <v>417.19517872505008</v>
      </c>
      <c r="P22" s="4126">
        <v>495.54861673687003</v>
      </c>
      <c r="Q22" s="4126">
        <v>572.8145204818901</v>
      </c>
      <c r="R22" s="4126">
        <v>625.10016497885999</v>
      </c>
      <c r="S22" s="4126">
        <v>598.70544350239004</v>
      </c>
      <c r="T22" s="4126">
        <v>674.18314589066006</v>
      </c>
      <c r="U22" s="4126">
        <v>742.64971317847994</v>
      </c>
      <c r="V22" s="4126">
        <v>813.82581486336994</v>
      </c>
      <c r="W22" s="4126">
        <v>900.01472045816081</v>
      </c>
      <c r="X22" s="4126">
        <v>986.3</v>
      </c>
      <c r="Y22" s="4126">
        <v>1070</v>
      </c>
      <c r="Z22" s="4127">
        <v>1144</v>
      </c>
      <c r="AA22" s="4127">
        <v>1216.46</v>
      </c>
      <c r="AB22" s="4127">
        <v>1287.7</v>
      </c>
      <c r="AC22" s="4126">
        <v>1355.8</v>
      </c>
    </row>
    <row r="23" spans="1:29" s="1265" customFormat="1" ht="10.5" x14ac:dyDescent="0.25">
      <c r="A23" s="1259"/>
      <c r="B23" s="1260"/>
      <c r="C23" s="1260"/>
      <c r="D23" s="1772"/>
      <c r="E23" s="756"/>
      <c r="F23" s="4128"/>
      <c r="G23" s="4128">
        <f t="shared" ref="G23:X23" si="1">G22/F22-1</f>
        <v>0.1221395188737211</v>
      </c>
      <c r="H23" s="4128">
        <f t="shared" si="1"/>
        <v>0.11805094181582931</v>
      </c>
      <c r="I23" s="4128">
        <f t="shared" si="1"/>
        <v>8.9489002918669236E-2</v>
      </c>
      <c r="J23" s="4128">
        <f t="shared" si="1"/>
        <v>9.4088423701641721E-2</v>
      </c>
      <c r="K23" s="4128">
        <f t="shared" si="1"/>
        <v>0.1450713136401478</v>
      </c>
      <c r="L23" s="4128">
        <f t="shared" si="1"/>
        <v>0.11736984109584414</v>
      </c>
      <c r="M23" s="4128">
        <f t="shared" si="1"/>
        <v>7.2831717472862323E-2</v>
      </c>
      <c r="N23" s="4128">
        <f t="shared" si="1"/>
        <v>0.1737040265148504</v>
      </c>
      <c r="O23" s="4128">
        <f t="shared" si="1"/>
        <v>0.17527039167656588</v>
      </c>
      <c r="P23" s="4128">
        <f t="shared" si="1"/>
        <v>0.18781002755417342</v>
      </c>
      <c r="Q23" s="4128">
        <f t="shared" si="1"/>
        <v>0.15591992618969863</v>
      </c>
      <c r="R23" s="4128">
        <f t="shared" si="1"/>
        <v>9.1278490030217263E-2</v>
      </c>
      <c r="S23" s="4128">
        <f t="shared" si="1"/>
        <v>-4.2224787250476181E-2</v>
      </c>
      <c r="T23" s="4128">
        <f t="shared" si="1"/>
        <v>0.12606817460474407</v>
      </c>
      <c r="U23" s="4128">
        <f t="shared" si="1"/>
        <v>0.10155484856769759</v>
      </c>
      <c r="V23" s="4128">
        <f t="shared" si="1"/>
        <v>9.5840744865115735E-2</v>
      </c>
      <c r="W23" s="4128">
        <f t="shared" si="1"/>
        <v>0.1059058388425056</v>
      </c>
      <c r="X23" s="4128">
        <f t="shared" si="1"/>
        <v>9.5870964752570842E-2</v>
      </c>
      <c r="Y23" s="4128">
        <f>Y22/X22-1</f>
        <v>8.4862617864747136E-2</v>
      </c>
      <c r="Z23" s="4129">
        <f>Z22/Y22-1</f>
        <v>6.9158878504672838E-2</v>
      </c>
      <c r="AA23" s="4129">
        <f>AA22/Z22-1</f>
        <v>6.3339160839160913E-2</v>
      </c>
      <c r="AB23" s="4129">
        <f>AB22/AA22-1</f>
        <v>5.8563372408463987E-2</v>
      </c>
      <c r="AC23" s="4129">
        <f>AC22/AB22-1</f>
        <v>5.2884988739613226E-2</v>
      </c>
    </row>
    <row r="24" spans="1:29" s="1265" customFormat="1" x14ac:dyDescent="0.25">
      <c r="A24" s="1259"/>
      <c r="B24" s="1260"/>
      <c r="C24" s="1260"/>
      <c r="D24" s="1772"/>
      <c r="E24" s="756"/>
      <c r="F24" s="4130"/>
      <c r="G24" s="4130"/>
      <c r="H24" s="4130"/>
      <c r="I24" s="4130"/>
      <c r="J24" s="4130"/>
      <c r="K24" s="4130"/>
      <c r="L24" s="4130"/>
      <c r="M24" s="4130"/>
      <c r="N24" s="4130"/>
      <c r="O24" s="4130"/>
      <c r="P24" s="4131"/>
      <c r="Q24" s="4131"/>
      <c r="R24" s="4131"/>
      <c r="S24" s="4132"/>
      <c r="T24" s="4132"/>
      <c r="U24" s="4132"/>
      <c r="W24" s="4133"/>
      <c r="X24" s="4134"/>
      <c r="Z24" s="4135"/>
      <c r="AA24" s="4135"/>
      <c r="AB24" s="4135"/>
      <c r="AC24" s="4135"/>
    </row>
    <row r="25" spans="1:29" ht="13" x14ac:dyDescent="0.25">
      <c r="A25" s="1255">
        <v>5</v>
      </c>
      <c r="B25" s="1255" t="s">
        <v>56</v>
      </c>
      <c r="C25" s="1255"/>
      <c r="V25" s="4137"/>
      <c r="W25" s="4133"/>
    </row>
    <row r="26" spans="1:29" x14ac:dyDescent="0.25">
      <c r="V26" s="4137"/>
      <c r="W26" s="4133"/>
    </row>
    <row r="27" spans="1:29" x14ac:dyDescent="0.25">
      <c r="M27" s="766"/>
      <c r="V27" s="4138"/>
      <c r="W27" s="4137"/>
    </row>
    <row r="28" spans="1:29" x14ac:dyDescent="0.25">
      <c r="M28" s="787"/>
      <c r="V28" s="4139"/>
      <c r="W28" s="4140"/>
    </row>
    <row r="29" spans="1:29" x14ac:dyDescent="0.25">
      <c r="M29" s="787"/>
      <c r="W29" s="4141"/>
    </row>
    <row r="30" spans="1:29" x14ac:dyDescent="0.25">
      <c r="M30" s="787"/>
      <c r="W30" s="4141"/>
    </row>
    <row r="31" spans="1:29" x14ac:dyDescent="0.25">
      <c r="M31" s="787"/>
    </row>
    <row r="32" spans="1:29" x14ac:dyDescent="0.25">
      <c r="M32" s="787"/>
      <c r="W32" s="4142"/>
      <c r="AA32" s="4143"/>
    </row>
    <row r="33" spans="1:29" x14ac:dyDescent="0.25">
      <c r="M33" s="787"/>
      <c r="W33" s="4142"/>
      <c r="AA33" s="4143"/>
    </row>
    <row r="34" spans="1:29" x14ac:dyDescent="0.25">
      <c r="M34" s="787"/>
      <c r="W34" s="4142"/>
      <c r="AA34" s="4143"/>
    </row>
    <row r="35" spans="1:29" x14ac:dyDescent="0.25">
      <c r="M35" s="787"/>
      <c r="AA35" s="4143"/>
    </row>
    <row r="36" spans="1:29" x14ac:dyDescent="0.25">
      <c r="B36" s="3006"/>
      <c r="M36" s="787"/>
    </row>
    <row r="37" spans="1:29" x14ac:dyDescent="0.25">
      <c r="M37" s="787"/>
    </row>
    <row r="38" spans="1:29" ht="12.5" x14ac:dyDescent="0.25">
      <c r="M38" s="787"/>
      <c r="W38" s="4144"/>
    </row>
    <row r="39" spans="1:29" x14ac:dyDescent="0.25">
      <c r="M39" s="787"/>
    </row>
    <row r="40" spans="1:29" x14ac:dyDescent="0.25">
      <c r="M40" s="787"/>
    </row>
    <row r="41" spans="1:29" x14ac:dyDescent="0.25">
      <c r="M41" s="787"/>
    </row>
    <row r="42" spans="1:29" x14ac:dyDescent="0.25">
      <c r="M42" s="787"/>
    </row>
    <row r="43" spans="1:29" x14ac:dyDescent="0.25">
      <c r="M43" s="787"/>
    </row>
    <row r="44" spans="1:29" x14ac:dyDescent="0.25">
      <c r="M44" s="787"/>
    </row>
    <row r="45" spans="1:29" x14ac:dyDescent="0.25">
      <c r="M45" s="787"/>
    </row>
    <row r="46" spans="1:29" s="1764" customFormat="1" ht="14.25" customHeight="1" x14ac:dyDescent="0.3">
      <c r="A46" s="1255">
        <v>6</v>
      </c>
      <c r="B46" s="1255" t="s">
        <v>58</v>
      </c>
      <c r="C46" s="1255"/>
      <c r="D46" s="4733" t="s">
        <v>1716</v>
      </c>
      <c r="E46" s="4734"/>
      <c r="F46" s="4734"/>
      <c r="G46" s="4734"/>
      <c r="H46" s="4734"/>
      <c r="I46" s="4734"/>
      <c r="J46" s="4734"/>
      <c r="K46" s="4734"/>
      <c r="L46" s="4734"/>
      <c r="M46" s="4734"/>
      <c r="N46" s="4734"/>
      <c r="O46" s="4734"/>
      <c r="P46" s="4734"/>
      <c r="Q46" s="4734"/>
      <c r="R46" s="4734"/>
      <c r="S46" s="4734"/>
      <c r="T46" s="4734"/>
      <c r="U46" s="4734"/>
      <c r="V46" s="4734"/>
      <c r="W46" s="4734"/>
      <c r="X46" s="4734"/>
      <c r="Y46" s="4734"/>
      <c r="Z46" s="4734"/>
      <c r="AA46" s="4734"/>
      <c r="AB46" s="4735"/>
      <c r="AC46" s="1513"/>
    </row>
    <row r="47" spans="1:29" s="1764" customFormat="1" ht="27" customHeight="1" x14ac:dyDescent="0.3">
      <c r="A47" s="1306">
        <v>7</v>
      </c>
      <c r="B47" s="1306" t="s">
        <v>60</v>
      </c>
      <c r="C47" s="1306"/>
      <c r="D47" s="4733" t="s">
        <v>1717</v>
      </c>
      <c r="E47" s="4734"/>
      <c r="F47" s="4734"/>
      <c r="G47" s="4734"/>
      <c r="H47" s="4734"/>
      <c r="I47" s="4734"/>
      <c r="J47" s="4734"/>
      <c r="K47" s="4734"/>
      <c r="L47" s="4734"/>
      <c r="M47" s="4734"/>
      <c r="N47" s="4734"/>
      <c r="O47" s="4734"/>
      <c r="P47" s="4734"/>
      <c r="Q47" s="4734"/>
      <c r="R47" s="4734"/>
      <c r="S47" s="4734"/>
      <c r="T47" s="4734"/>
      <c r="U47" s="4734"/>
      <c r="V47" s="4734"/>
      <c r="W47" s="4734"/>
      <c r="X47" s="4734"/>
      <c r="Y47" s="4734"/>
      <c r="Z47" s="4734"/>
      <c r="AA47" s="4734"/>
      <c r="AB47" s="4735"/>
      <c r="AC47" s="1513"/>
    </row>
    <row r="48" spans="1:29" s="1764" customFormat="1" ht="15.75" customHeight="1" x14ac:dyDescent="0.3">
      <c r="A48" s="1255">
        <v>8</v>
      </c>
      <c r="B48" s="1255" t="s">
        <v>62</v>
      </c>
      <c r="C48" s="1255"/>
      <c r="D48" s="4733" t="s">
        <v>1718</v>
      </c>
      <c r="E48" s="4734"/>
      <c r="F48" s="4734"/>
      <c r="G48" s="4734"/>
      <c r="H48" s="4734"/>
      <c r="I48" s="4734"/>
      <c r="J48" s="4734"/>
      <c r="K48" s="4734"/>
      <c r="L48" s="4734"/>
      <c r="M48" s="4734"/>
      <c r="N48" s="4734"/>
      <c r="O48" s="4734"/>
      <c r="P48" s="4734"/>
      <c r="Q48" s="4734"/>
      <c r="R48" s="4734"/>
      <c r="S48" s="4734"/>
      <c r="T48" s="4734"/>
      <c r="U48" s="4734"/>
      <c r="V48" s="4734"/>
      <c r="W48" s="4734"/>
      <c r="X48" s="4734"/>
      <c r="Y48" s="4734"/>
      <c r="Z48" s="4734"/>
      <c r="AA48" s="4734"/>
      <c r="AB48" s="4735"/>
      <c r="AC48" s="1513"/>
    </row>
    <row r="49" spans="1:29" s="1764" customFormat="1" ht="38.25" customHeight="1" x14ac:dyDescent="0.3">
      <c r="A49" s="1255">
        <v>9</v>
      </c>
      <c r="B49" s="1255" t="s">
        <v>278</v>
      </c>
      <c r="C49" s="1255"/>
      <c r="D49" s="4733" t="s">
        <v>1719</v>
      </c>
      <c r="E49" s="4734"/>
      <c r="F49" s="4734"/>
      <c r="G49" s="4734"/>
      <c r="H49" s="4734"/>
      <c r="I49" s="4734"/>
      <c r="J49" s="4734"/>
      <c r="K49" s="4734"/>
      <c r="L49" s="4734"/>
      <c r="M49" s="4734"/>
      <c r="N49" s="4734"/>
      <c r="O49" s="4734"/>
      <c r="P49" s="4734"/>
      <c r="Q49" s="4734"/>
      <c r="R49" s="4734"/>
      <c r="S49" s="4734"/>
      <c r="T49" s="4734"/>
      <c r="U49" s="4734"/>
      <c r="V49" s="4734"/>
      <c r="W49" s="4734"/>
      <c r="X49" s="4734"/>
      <c r="Y49" s="4734"/>
      <c r="Z49" s="4734"/>
      <c r="AA49" s="4734"/>
      <c r="AB49" s="4735"/>
      <c r="AC49" s="1513"/>
    </row>
    <row r="51" spans="1:29" ht="12.5" x14ac:dyDescent="0.25">
      <c r="D51" s="4792"/>
      <c r="E51" s="4793"/>
      <c r="F51" s="4793"/>
      <c r="G51" s="4793"/>
      <c r="H51" s="4793"/>
      <c r="I51" s="4793"/>
      <c r="J51" s="4793"/>
      <c r="K51" s="4793"/>
      <c r="L51" s="4793"/>
      <c r="M51" s="4793"/>
      <c r="N51" s="4793"/>
      <c r="O51" s="4793"/>
      <c r="P51" s="4793"/>
      <c r="Q51" s="4793"/>
      <c r="R51" s="4793"/>
      <c r="S51" s="4793"/>
      <c r="T51" s="4793"/>
      <c r="U51" s="4793"/>
      <c r="V51" s="4793"/>
      <c r="W51" s="4793"/>
      <c r="X51" s="4793"/>
      <c r="Y51" s="4793"/>
      <c r="Z51" s="4793"/>
      <c r="AA51" s="4793"/>
      <c r="AB51" s="4794"/>
      <c r="AC51" s="5109"/>
    </row>
    <row r="67" spans="4:29" x14ac:dyDescent="0.25">
      <c r="D67" s="1772" t="s">
        <v>1698</v>
      </c>
      <c r="E67" s="1282" t="s">
        <v>1720</v>
      </c>
      <c r="F67" s="4105" t="s">
        <v>104</v>
      </c>
      <c r="G67" s="4105" t="s">
        <v>105</v>
      </c>
      <c r="H67" s="4105" t="s">
        <v>106</v>
      </c>
      <c r="I67" s="4105" t="s">
        <v>107</v>
      </c>
      <c r="J67" s="4106" t="s">
        <v>108</v>
      </c>
      <c r="K67" s="4105" t="s">
        <v>109</v>
      </c>
      <c r="L67" s="4105" t="s">
        <v>110</v>
      </c>
      <c r="M67" s="4105" t="s">
        <v>111</v>
      </c>
      <c r="N67" s="4105" t="s">
        <v>112</v>
      </c>
      <c r="O67" s="4105" t="s">
        <v>113</v>
      </c>
      <c r="P67" s="4105" t="s">
        <v>114</v>
      </c>
      <c r="Q67" s="4105" t="s">
        <v>115</v>
      </c>
      <c r="R67" s="4105" t="s">
        <v>116</v>
      </c>
      <c r="S67" s="4105" t="s">
        <v>117</v>
      </c>
      <c r="T67" s="4107" t="s">
        <v>118</v>
      </c>
      <c r="U67" s="4107" t="s">
        <v>119</v>
      </c>
      <c r="V67" s="4107" t="s">
        <v>120</v>
      </c>
      <c r="W67" s="4107" t="s">
        <v>121</v>
      </c>
      <c r="X67" s="4107" t="s">
        <v>122</v>
      </c>
      <c r="Y67" s="4108" t="s">
        <v>123</v>
      </c>
      <c r="Z67" s="4109" t="s">
        <v>124</v>
      </c>
      <c r="AA67" s="4109" t="s">
        <v>125</v>
      </c>
      <c r="AB67" s="4109" t="s">
        <v>126</v>
      </c>
      <c r="AC67" s="4109" t="s">
        <v>302</v>
      </c>
    </row>
    <row r="68" spans="4:29" x14ac:dyDescent="0.25">
      <c r="D68" s="1264" t="s">
        <v>1711</v>
      </c>
      <c r="E68" s="756"/>
      <c r="F68" s="4145">
        <f>F17/1000</f>
        <v>59.519830999999996</v>
      </c>
      <c r="G68" s="4145">
        <f t="shared" ref="G68:AC72" si="2">G17/1000</f>
        <v>68.342382000000001</v>
      </c>
      <c r="H68" s="4145">
        <f t="shared" si="2"/>
        <v>77.733899999999991</v>
      </c>
      <c r="I68" s="4145">
        <f t="shared" si="2"/>
        <v>85.883786999999998</v>
      </c>
      <c r="J68" s="4145">
        <f t="shared" si="2"/>
        <v>86.477998000000014</v>
      </c>
      <c r="K68" s="4145">
        <f t="shared" si="2"/>
        <v>90.389505</v>
      </c>
      <c r="L68" s="4145">
        <f t="shared" si="2"/>
        <v>94.336679000000004</v>
      </c>
      <c r="M68" s="4145">
        <f t="shared" si="2"/>
        <v>98.495130000000003</v>
      </c>
      <c r="N68" s="4145">
        <f t="shared" si="2"/>
        <v>111.696561</v>
      </c>
      <c r="O68" s="4145">
        <f t="shared" si="2"/>
        <v>126.41636699999999</v>
      </c>
      <c r="P68" s="4145">
        <f t="shared" si="2"/>
        <v>141.39708000000002</v>
      </c>
      <c r="Q68" s="4145">
        <f t="shared" si="2"/>
        <v>169.53925300000003</v>
      </c>
      <c r="R68" s="4145">
        <f t="shared" si="2"/>
        <v>196.068037</v>
      </c>
      <c r="S68" s="4145">
        <f t="shared" si="2"/>
        <v>206.48353338388009</v>
      </c>
      <c r="T68" s="4145">
        <f t="shared" si="2"/>
        <v>228.09611159448002</v>
      </c>
      <c r="U68" s="4145">
        <f t="shared" si="2"/>
        <v>251.33914729868999</v>
      </c>
      <c r="V68" s="4145">
        <f t="shared" si="2"/>
        <v>276.67857430246005</v>
      </c>
      <c r="W68" s="4145">
        <f t="shared" si="2"/>
        <v>310.92899241367002</v>
      </c>
      <c r="X68" s="4145">
        <f t="shared" si="2"/>
        <v>353.91810976956992</v>
      </c>
      <c r="Y68" s="4145">
        <f t="shared" si="2"/>
        <v>389.27970173759996</v>
      </c>
      <c r="Z68" s="4145">
        <f t="shared" si="2"/>
        <v>425.92406663148006</v>
      </c>
      <c r="AA68" s="4145">
        <f t="shared" si="2"/>
        <v>462.90313275247996</v>
      </c>
      <c r="AB68" s="4145">
        <f t="shared" si="2"/>
        <v>493.82877995540997</v>
      </c>
      <c r="AC68" s="4145">
        <f t="shared" si="2"/>
        <v>529.17200000000003</v>
      </c>
    </row>
    <row r="69" spans="4:29" x14ac:dyDescent="0.25">
      <c r="D69" s="1264" t="s">
        <v>1712</v>
      </c>
      <c r="E69" s="756"/>
      <c r="F69" s="4145">
        <f>F18/1000</f>
        <v>16.985002000000001</v>
      </c>
      <c r="G69" s="4145">
        <f t="shared" si="2"/>
        <v>19.696403999999998</v>
      </c>
      <c r="H69" s="4145">
        <f t="shared" si="2"/>
        <v>20.388000000000002</v>
      </c>
      <c r="I69" s="4145">
        <f t="shared" si="2"/>
        <v>20.971606999999999</v>
      </c>
      <c r="J69" s="4145">
        <f t="shared" si="2"/>
        <v>29.491826</v>
      </c>
      <c r="K69" s="4145">
        <f t="shared" si="2"/>
        <v>42.354472000000001</v>
      </c>
      <c r="L69" s="4145">
        <f t="shared" si="2"/>
        <v>55.745053999999996</v>
      </c>
      <c r="M69" s="4145">
        <f t="shared" si="2"/>
        <v>60.880803</v>
      </c>
      <c r="N69" s="4145">
        <f t="shared" si="2"/>
        <v>71.62936000000002</v>
      </c>
      <c r="O69" s="4145">
        <f t="shared" si="2"/>
        <v>87.326989999999995</v>
      </c>
      <c r="P69" s="4145">
        <f t="shared" si="2"/>
        <v>120.11144</v>
      </c>
      <c r="Q69" s="4145">
        <f t="shared" si="2"/>
        <v>141.635435</v>
      </c>
      <c r="R69" s="4145">
        <f t="shared" si="2"/>
        <v>167.20223999999999</v>
      </c>
      <c r="S69" s="4145">
        <f t="shared" si="2"/>
        <v>136.97793176756997</v>
      </c>
      <c r="T69" s="4145">
        <f t="shared" si="2"/>
        <v>134.63507949267003</v>
      </c>
      <c r="U69" s="4145">
        <f t="shared" si="2"/>
        <v>153.27217884888</v>
      </c>
      <c r="V69" s="4145">
        <f t="shared" si="2"/>
        <v>160.89579553077999</v>
      </c>
      <c r="W69" s="4145">
        <f t="shared" si="2"/>
        <v>179.52012193793001</v>
      </c>
      <c r="X69" s="4145">
        <f t="shared" si="2"/>
        <v>186.62155362948002</v>
      </c>
      <c r="Y69" s="4145">
        <f t="shared" si="2"/>
        <v>193.38529987314004</v>
      </c>
      <c r="Z69" s="4145">
        <f t="shared" si="2"/>
        <v>207.0273</v>
      </c>
      <c r="AA69" s="4145">
        <f t="shared" si="2"/>
        <v>220.23855604764</v>
      </c>
      <c r="AB69" s="4145">
        <f t="shared" si="2"/>
        <v>214.38837708902</v>
      </c>
      <c r="AC69" s="4145">
        <f t="shared" si="2"/>
        <v>214.98599999999999</v>
      </c>
    </row>
    <row r="70" spans="4:29" x14ac:dyDescent="0.25">
      <c r="D70" s="1264" t="s">
        <v>1713</v>
      </c>
      <c r="E70" s="756"/>
      <c r="F70" s="4145">
        <f>F19/1000</f>
        <v>35.902887</v>
      </c>
      <c r="G70" s="4145">
        <f t="shared" si="2"/>
        <v>40.095641000000001</v>
      </c>
      <c r="H70" s="4145">
        <f t="shared" si="2"/>
        <v>43.985399999999998</v>
      </c>
      <c r="I70" s="4145">
        <f t="shared" si="2"/>
        <v>48.376839999999994</v>
      </c>
      <c r="J70" s="4145">
        <f t="shared" si="2"/>
        <v>54.455193000000001</v>
      </c>
      <c r="K70" s="4145">
        <f t="shared" si="2"/>
        <v>61.056608999999995</v>
      </c>
      <c r="L70" s="4145">
        <f t="shared" si="2"/>
        <v>70.149851999999996</v>
      </c>
      <c r="M70" s="4145">
        <f t="shared" si="2"/>
        <v>80.68175500000001</v>
      </c>
      <c r="N70" s="4145">
        <f t="shared" si="2"/>
        <v>98.157875000000004</v>
      </c>
      <c r="O70" s="4145">
        <f t="shared" si="2"/>
        <v>114.35163799999998</v>
      </c>
      <c r="P70" s="4145">
        <f t="shared" si="2"/>
        <v>134.46259899999998</v>
      </c>
      <c r="Q70" s="4145">
        <f t="shared" si="2"/>
        <v>150.442849</v>
      </c>
      <c r="R70" s="4145">
        <f t="shared" si="2"/>
        <v>154.34312100000002</v>
      </c>
      <c r="S70" s="4145">
        <f t="shared" si="2"/>
        <v>147.94132226163995</v>
      </c>
      <c r="T70" s="4145">
        <f t="shared" si="2"/>
        <v>183.57143947361001</v>
      </c>
      <c r="U70" s="4145">
        <f t="shared" si="2"/>
        <v>191.02019853625001</v>
      </c>
      <c r="V70" s="4145">
        <f t="shared" si="2"/>
        <v>215.02303517332999</v>
      </c>
      <c r="W70" s="4145">
        <f t="shared" si="2"/>
        <v>237.66657887254004</v>
      </c>
      <c r="X70" s="4145">
        <f t="shared" si="2"/>
        <v>261.29478794094996</v>
      </c>
      <c r="Y70" s="4145">
        <f t="shared" si="2"/>
        <v>281.11141002235991</v>
      </c>
      <c r="Z70" s="4145">
        <f t="shared" si="2"/>
        <v>289.16672246190001</v>
      </c>
      <c r="AA70" s="4145">
        <f t="shared" si="2"/>
        <v>297.99759999999998</v>
      </c>
      <c r="AB70" s="4145">
        <f t="shared" si="2"/>
        <v>324.76596133560002</v>
      </c>
      <c r="AC70" s="4145">
        <f t="shared" si="2"/>
        <v>346.76100000000002</v>
      </c>
    </row>
    <row r="71" spans="4:29" x14ac:dyDescent="0.25">
      <c r="D71" s="1264" t="s">
        <v>1714</v>
      </c>
      <c r="E71" s="756"/>
      <c r="F71" s="4145">
        <f>F20/1000</f>
        <v>7.2004589999999995</v>
      </c>
      <c r="G71" s="4145">
        <f t="shared" si="2"/>
        <v>5.638566</v>
      </c>
      <c r="H71" s="4145">
        <f t="shared" si="2"/>
        <v>6.0525000000000002</v>
      </c>
      <c r="I71" s="4145">
        <f t="shared" si="2"/>
        <v>6.7780690000000003</v>
      </c>
      <c r="J71" s="4145">
        <f t="shared" si="2"/>
        <v>8.2265769999999989</v>
      </c>
      <c r="K71" s="4145">
        <f t="shared" si="2"/>
        <v>8.6801290000000009</v>
      </c>
      <c r="L71" s="4145">
        <f t="shared" si="2"/>
        <v>9.6197590000000002</v>
      </c>
      <c r="M71" s="4145">
        <f t="shared" si="2"/>
        <v>8.4142779999999995</v>
      </c>
      <c r="N71" s="4145">
        <f t="shared" si="2"/>
        <v>12.888365</v>
      </c>
      <c r="O71" s="4145">
        <f t="shared" si="2"/>
        <v>18.303464999999999</v>
      </c>
      <c r="P71" s="4145">
        <f t="shared" si="2"/>
        <v>23.697003000000002</v>
      </c>
      <c r="Q71" s="4145">
        <f t="shared" si="2"/>
        <v>26.469759999999997</v>
      </c>
      <c r="R71" s="4145">
        <f t="shared" si="2"/>
        <v>22.751023</v>
      </c>
      <c r="S71" s="4145">
        <f t="shared" si="2"/>
        <v>19.577114634760001</v>
      </c>
      <c r="T71" s="4145">
        <f t="shared" si="2"/>
        <v>26.637437791249997</v>
      </c>
      <c r="U71" s="4145">
        <f t="shared" si="2"/>
        <v>34.197900631880003</v>
      </c>
      <c r="V71" s="4145">
        <f t="shared" si="2"/>
        <v>38.997933411479998</v>
      </c>
      <c r="W71" s="4145">
        <f t="shared" si="2"/>
        <v>44.178728258979994</v>
      </c>
      <c r="X71" s="4145">
        <f t="shared" si="2"/>
        <v>40.678794854979998</v>
      </c>
      <c r="Y71" s="4145">
        <f t="shared" si="2"/>
        <v>46.250125479700017</v>
      </c>
      <c r="Z71" s="4145">
        <f t="shared" si="2"/>
        <v>45.579082852109998</v>
      </c>
      <c r="AA71" s="4145">
        <f t="shared" si="2"/>
        <v>49.151699999999998</v>
      </c>
      <c r="AB71" s="4145">
        <f t="shared" si="2"/>
        <v>54.968055080710002</v>
      </c>
      <c r="AC71" s="4145">
        <f t="shared" si="2"/>
        <v>55.427999999999997</v>
      </c>
    </row>
    <row r="72" spans="4:29" x14ac:dyDescent="0.25">
      <c r="D72" s="1264" t="s">
        <v>1715</v>
      </c>
      <c r="E72" s="756"/>
      <c r="F72" s="4145">
        <f>F21/1000</f>
        <v>27.724160000000005</v>
      </c>
      <c r="G72" s="4145">
        <f t="shared" si="2"/>
        <v>31.554447000000014</v>
      </c>
      <c r="H72" s="4145">
        <f t="shared" si="2"/>
        <v>36.683800000000019</v>
      </c>
      <c r="I72" s="4145">
        <f t="shared" si="2"/>
        <v>39.375679000000005</v>
      </c>
      <c r="J72" s="4145">
        <f t="shared" si="2"/>
        <v>41.682559000000012</v>
      </c>
      <c r="K72" s="4145">
        <f t="shared" si="2"/>
        <v>49.817583999999975</v>
      </c>
      <c r="L72" s="4145">
        <f t="shared" si="2"/>
        <v>52.358309999999967</v>
      </c>
      <c r="M72" s="4145">
        <f t="shared" si="2"/>
        <v>54.035543000000004</v>
      </c>
      <c r="N72" s="4145">
        <f t="shared" si="2"/>
        <v>60.605877999999969</v>
      </c>
      <c r="O72" s="4145">
        <f t="shared" si="2"/>
        <v>70.797258622029915</v>
      </c>
      <c r="P72" s="4145">
        <f t="shared" si="2"/>
        <v>75.881034530130094</v>
      </c>
      <c r="Q72" s="4145">
        <f t="shared" si="2"/>
        <v>84.727221093109932</v>
      </c>
      <c r="R72" s="4145">
        <f t="shared" si="2"/>
        <v>84.73574639876</v>
      </c>
      <c r="S72" s="4145">
        <f t="shared" si="2"/>
        <v>87.725541454540036</v>
      </c>
      <c r="T72" s="4145">
        <f t="shared" si="2"/>
        <v>101.24307753865025</v>
      </c>
      <c r="U72" s="4145">
        <f t="shared" si="2"/>
        <v>112.82028786277992</v>
      </c>
      <c r="V72" s="4145">
        <f t="shared" si="2"/>
        <v>122.23047644532006</v>
      </c>
      <c r="W72" s="4145">
        <f t="shared" si="2"/>
        <v>127.72029897502985</v>
      </c>
      <c r="X72" s="4145">
        <f t="shared" si="2"/>
        <v>143.78177298686978</v>
      </c>
      <c r="Y72" s="4145">
        <f t="shared" si="2"/>
        <v>159.95603369855996</v>
      </c>
      <c r="Z72" s="4145">
        <f t="shared" si="2"/>
        <v>176.38379999999998</v>
      </c>
      <c r="AA72" s="4145">
        <f t="shared" si="2"/>
        <v>186.173</v>
      </c>
      <c r="AB72" s="4145">
        <f t="shared" si="2"/>
        <v>199.73906791325999</v>
      </c>
      <c r="AC72" s="4145">
        <f t="shared" si="2"/>
        <v>209.41900000000001</v>
      </c>
    </row>
    <row r="76" spans="4:29" x14ac:dyDescent="0.25">
      <c r="D76" s="4115" t="s">
        <v>1704</v>
      </c>
      <c r="E76" s="2899" t="s">
        <v>1705</v>
      </c>
      <c r="F76" s="2373">
        <f>F10/1000000</f>
        <v>2.7626879999999998</v>
      </c>
      <c r="G76" s="2373">
        <f t="shared" ref="G76:AC76" si="3">G10/1000000</f>
        <v>3.02393</v>
      </c>
      <c r="H76" s="2373">
        <f t="shared" si="3"/>
        <v>3.260567</v>
      </c>
      <c r="I76" s="2373">
        <f t="shared" si="3"/>
        <v>3.6377169999999999</v>
      </c>
      <c r="J76" s="2373">
        <f t="shared" si="3"/>
        <v>4.1637919999999999</v>
      </c>
      <c r="K76" s="2373">
        <f t="shared" si="3"/>
        <v>4.6378110000000001</v>
      </c>
      <c r="L76" s="2373">
        <f t="shared" si="3"/>
        <v>4.4849189999999997</v>
      </c>
      <c r="M76" s="2373">
        <f t="shared" si="3"/>
        <v>4.8782110000000003</v>
      </c>
      <c r="N76" s="2373">
        <f t="shared" si="3"/>
        <v>5.3673960000000003</v>
      </c>
      <c r="O76" s="2373">
        <f t="shared" si="3"/>
        <v>5.876112</v>
      </c>
      <c r="P76" s="2373">
        <f t="shared" si="3"/>
        <v>6.3574210000000004</v>
      </c>
      <c r="Q76" s="2373">
        <f t="shared" si="3"/>
        <v>7.1735540000000002</v>
      </c>
      <c r="R76" s="2373">
        <f t="shared" si="3"/>
        <v>7.766915</v>
      </c>
      <c r="S76" s="2373">
        <f t="shared" si="3"/>
        <v>8.1314220000000006</v>
      </c>
      <c r="T76" s="2373">
        <f t="shared" si="3"/>
        <v>12.751006</v>
      </c>
      <c r="U76" s="2373">
        <f t="shared" si="3"/>
        <v>16.039801000000001</v>
      </c>
      <c r="V76" s="2373">
        <f t="shared" si="3"/>
        <v>17.926869</v>
      </c>
      <c r="W76" s="2373">
        <f t="shared" si="3"/>
        <v>19.787303999999999</v>
      </c>
      <c r="X76" s="2373">
        <f t="shared" si="3"/>
        <v>21.452507000000001</v>
      </c>
      <c r="Y76" s="2373">
        <f t="shared" si="3"/>
        <v>22.693978000000001</v>
      </c>
      <c r="Z76" s="2373">
        <f t="shared" si="3"/>
        <v>24.057573999999999</v>
      </c>
      <c r="AA76" s="2373">
        <f t="shared" si="3"/>
        <v>24.447133999999998</v>
      </c>
      <c r="AB76" s="2373">
        <f t="shared" si="3"/>
        <v>24.54917</v>
      </c>
      <c r="AC76" s="2373">
        <f t="shared" si="3"/>
        <v>25.832536000000001</v>
      </c>
    </row>
  </sheetData>
  <mergeCells count="8">
    <mergeCell ref="D49:AB49"/>
    <mergeCell ref="D51:AB51"/>
    <mergeCell ref="D2:AB2"/>
    <mergeCell ref="D3:AB3"/>
    <mergeCell ref="D4:AB4"/>
    <mergeCell ref="D46:AB46"/>
    <mergeCell ref="D47:AB47"/>
    <mergeCell ref="D48:AB48"/>
  </mergeCells>
  <pageMargins left="0.74803149606299213" right="0.74803149606299213" top="0.98425196850393704" bottom="0.98425196850393704" header="0.51181102362204722" footer="0.51181102362204722"/>
  <pageSetup paperSize="9" scale="4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pageSetUpPr fitToPage="1"/>
  </sheetPr>
  <dimension ref="A1:W54"/>
  <sheetViews>
    <sheetView showGridLines="0" view="pageBreakPreview" topLeftCell="A16" zoomScaleNormal="100" zoomScaleSheetLayoutView="100" workbookViewId="0">
      <selection activeCell="J22" sqref="J22"/>
    </sheetView>
  </sheetViews>
  <sheetFormatPr defaultColWidth="9.1796875" defaultRowHeight="11.5" x14ac:dyDescent="0.25"/>
  <cols>
    <col min="1" max="1" width="3.7265625" style="3000" customWidth="1"/>
    <col min="2" max="2" width="14.453125" style="3001" customWidth="1"/>
    <col min="3" max="3" width="3.7265625" style="3001" customWidth="1"/>
    <col min="4" max="4" width="23.453125" style="767" customWidth="1"/>
    <col min="5" max="5" width="8.26953125" style="767" customWidth="1"/>
    <col min="6" max="10" width="8.26953125" style="4136" customWidth="1"/>
    <col min="11" max="14" width="8.26953125" style="767" customWidth="1"/>
    <col min="15" max="258" width="9.1796875" style="767"/>
    <col min="259" max="259" width="3.7265625" style="767" customWidth="1"/>
    <col min="260" max="260" width="14.453125" style="767" customWidth="1"/>
    <col min="261" max="261" width="3.7265625" style="767" customWidth="1"/>
    <col min="262" max="262" width="22.1796875" style="767" bestFit="1" customWidth="1"/>
    <col min="263" max="272" width="8.26953125" style="767" customWidth="1"/>
    <col min="273" max="514" width="9.1796875" style="767"/>
    <col min="515" max="515" width="3.7265625" style="767" customWidth="1"/>
    <col min="516" max="516" width="14.453125" style="767" customWidth="1"/>
    <col min="517" max="517" width="3.7265625" style="767" customWidth="1"/>
    <col min="518" max="518" width="22.1796875" style="767" bestFit="1" customWidth="1"/>
    <col min="519" max="528" width="8.26953125" style="767" customWidth="1"/>
    <col min="529" max="770" width="9.1796875" style="767"/>
    <col min="771" max="771" width="3.7265625" style="767" customWidth="1"/>
    <col min="772" max="772" width="14.453125" style="767" customWidth="1"/>
    <col min="773" max="773" width="3.7265625" style="767" customWidth="1"/>
    <col min="774" max="774" width="22.1796875" style="767" bestFit="1" customWidth="1"/>
    <col min="775" max="784" width="8.26953125" style="767" customWidth="1"/>
    <col min="785" max="1026" width="9.1796875" style="767"/>
    <col min="1027" max="1027" width="3.7265625" style="767" customWidth="1"/>
    <col min="1028" max="1028" width="14.453125" style="767" customWidth="1"/>
    <col min="1029" max="1029" width="3.7265625" style="767" customWidth="1"/>
    <col min="1030" max="1030" width="22.1796875" style="767" bestFit="1" customWidth="1"/>
    <col min="1031" max="1040" width="8.26953125" style="767" customWidth="1"/>
    <col min="1041" max="1282" width="9.1796875" style="767"/>
    <col min="1283" max="1283" width="3.7265625" style="767" customWidth="1"/>
    <col min="1284" max="1284" width="14.453125" style="767" customWidth="1"/>
    <col min="1285" max="1285" width="3.7265625" style="767" customWidth="1"/>
    <col min="1286" max="1286" width="22.1796875" style="767" bestFit="1" customWidth="1"/>
    <col min="1287" max="1296" width="8.26953125" style="767" customWidth="1"/>
    <col min="1297" max="1538" width="9.1796875" style="767"/>
    <col min="1539" max="1539" width="3.7265625" style="767" customWidth="1"/>
    <col min="1540" max="1540" width="14.453125" style="767" customWidth="1"/>
    <col min="1541" max="1541" width="3.7265625" style="767" customWidth="1"/>
    <col min="1542" max="1542" width="22.1796875" style="767" bestFit="1" customWidth="1"/>
    <col min="1543" max="1552" width="8.26953125" style="767" customWidth="1"/>
    <col min="1553" max="1794" width="9.1796875" style="767"/>
    <col min="1795" max="1795" width="3.7265625" style="767" customWidth="1"/>
    <col min="1796" max="1796" width="14.453125" style="767" customWidth="1"/>
    <col min="1797" max="1797" width="3.7265625" style="767" customWidth="1"/>
    <col min="1798" max="1798" width="22.1796875" style="767" bestFit="1" customWidth="1"/>
    <col min="1799" max="1808" width="8.26953125" style="767" customWidth="1"/>
    <col min="1809" max="2050" width="9.1796875" style="767"/>
    <col min="2051" max="2051" width="3.7265625" style="767" customWidth="1"/>
    <col min="2052" max="2052" width="14.453125" style="767" customWidth="1"/>
    <col min="2053" max="2053" width="3.7265625" style="767" customWidth="1"/>
    <col min="2054" max="2054" width="22.1796875" style="767" bestFit="1" customWidth="1"/>
    <col min="2055" max="2064" width="8.26953125" style="767" customWidth="1"/>
    <col min="2065" max="2306" width="9.1796875" style="767"/>
    <col min="2307" max="2307" width="3.7265625" style="767" customWidth="1"/>
    <col min="2308" max="2308" width="14.453125" style="767" customWidth="1"/>
    <col min="2309" max="2309" width="3.7265625" style="767" customWidth="1"/>
    <col min="2310" max="2310" width="22.1796875" style="767" bestFit="1" customWidth="1"/>
    <col min="2311" max="2320" width="8.26953125" style="767" customWidth="1"/>
    <col min="2321" max="2562" width="9.1796875" style="767"/>
    <col min="2563" max="2563" width="3.7265625" style="767" customWidth="1"/>
    <col min="2564" max="2564" width="14.453125" style="767" customWidth="1"/>
    <col min="2565" max="2565" width="3.7265625" style="767" customWidth="1"/>
    <col min="2566" max="2566" width="22.1796875" style="767" bestFit="1" customWidth="1"/>
    <col min="2567" max="2576" width="8.26953125" style="767" customWidth="1"/>
    <col min="2577" max="2818" width="9.1796875" style="767"/>
    <col min="2819" max="2819" width="3.7265625" style="767" customWidth="1"/>
    <col min="2820" max="2820" width="14.453125" style="767" customWidth="1"/>
    <col min="2821" max="2821" width="3.7265625" style="767" customWidth="1"/>
    <col min="2822" max="2822" width="22.1796875" style="767" bestFit="1" customWidth="1"/>
    <col min="2823" max="2832" width="8.26953125" style="767" customWidth="1"/>
    <col min="2833" max="3074" width="9.1796875" style="767"/>
    <col min="3075" max="3075" width="3.7265625" style="767" customWidth="1"/>
    <col min="3076" max="3076" width="14.453125" style="767" customWidth="1"/>
    <col min="3077" max="3077" width="3.7265625" style="767" customWidth="1"/>
    <col min="3078" max="3078" width="22.1796875" style="767" bestFit="1" customWidth="1"/>
    <col min="3079" max="3088" width="8.26953125" style="767" customWidth="1"/>
    <col min="3089" max="3330" width="9.1796875" style="767"/>
    <col min="3331" max="3331" width="3.7265625" style="767" customWidth="1"/>
    <col min="3332" max="3332" width="14.453125" style="767" customWidth="1"/>
    <col min="3333" max="3333" width="3.7265625" style="767" customWidth="1"/>
    <col min="3334" max="3334" width="22.1796875" style="767" bestFit="1" customWidth="1"/>
    <col min="3335" max="3344" width="8.26953125" style="767" customWidth="1"/>
    <col min="3345" max="3586" width="9.1796875" style="767"/>
    <col min="3587" max="3587" width="3.7265625" style="767" customWidth="1"/>
    <col min="3588" max="3588" width="14.453125" style="767" customWidth="1"/>
    <col min="3589" max="3589" width="3.7265625" style="767" customWidth="1"/>
    <col min="3590" max="3590" width="22.1796875" style="767" bestFit="1" customWidth="1"/>
    <col min="3591" max="3600" width="8.26953125" style="767" customWidth="1"/>
    <col min="3601" max="3842" width="9.1796875" style="767"/>
    <col min="3843" max="3843" width="3.7265625" style="767" customWidth="1"/>
    <col min="3844" max="3844" width="14.453125" style="767" customWidth="1"/>
    <col min="3845" max="3845" width="3.7265625" style="767" customWidth="1"/>
    <col min="3846" max="3846" width="22.1796875" style="767" bestFit="1" customWidth="1"/>
    <col min="3847" max="3856" width="8.26953125" style="767" customWidth="1"/>
    <col min="3857" max="4098" width="9.1796875" style="767"/>
    <col min="4099" max="4099" width="3.7265625" style="767" customWidth="1"/>
    <col min="4100" max="4100" width="14.453125" style="767" customWidth="1"/>
    <col min="4101" max="4101" width="3.7265625" style="767" customWidth="1"/>
    <col min="4102" max="4102" width="22.1796875" style="767" bestFit="1" customWidth="1"/>
    <col min="4103" max="4112" width="8.26953125" style="767" customWidth="1"/>
    <col min="4113" max="4354" width="9.1796875" style="767"/>
    <col min="4355" max="4355" width="3.7265625" style="767" customWidth="1"/>
    <col min="4356" max="4356" width="14.453125" style="767" customWidth="1"/>
    <col min="4357" max="4357" width="3.7265625" style="767" customWidth="1"/>
    <col min="4358" max="4358" width="22.1796875" style="767" bestFit="1" customWidth="1"/>
    <col min="4359" max="4368" width="8.26953125" style="767" customWidth="1"/>
    <col min="4369" max="4610" width="9.1796875" style="767"/>
    <col min="4611" max="4611" width="3.7265625" style="767" customWidth="1"/>
    <col min="4612" max="4612" width="14.453125" style="767" customWidth="1"/>
    <col min="4613" max="4613" width="3.7265625" style="767" customWidth="1"/>
    <col min="4614" max="4614" width="22.1796875" style="767" bestFit="1" customWidth="1"/>
    <col min="4615" max="4624" width="8.26953125" style="767" customWidth="1"/>
    <col min="4625" max="4866" width="9.1796875" style="767"/>
    <col min="4867" max="4867" width="3.7265625" style="767" customWidth="1"/>
    <col min="4868" max="4868" width="14.453125" style="767" customWidth="1"/>
    <col min="4869" max="4869" width="3.7265625" style="767" customWidth="1"/>
    <col min="4870" max="4870" width="22.1796875" style="767" bestFit="1" customWidth="1"/>
    <col min="4871" max="4880" width="8.26953125" style="767" customWidth="1"/>
    <col min="4881" max="5122" width="9.1796875" style="767"/>
    <col min="5123" max="5123" width="3.7265625" style="767" customWidth="1"/>
    <col min="5124" max="5124" width="14.453125" style="767" customWidth="1"/>
    <col min="5125" max="5125" width="3.7265625" style="767" customWidth="1"/>
    <col min="5126" max="5126" width="22.1796875" style="767" bestFit="1" customWidth="1"/>
    <col min="5127" max="5136" width="8.26953125" style="767" customWidth="1"/>
    <col min="5137" max="5378" width="9.1796875" style="767"/>
    <col min="5379" max="5379" width="3.7265625" style="767" customWidth="1"/>
    <col min="5380" max="5380" width="14.453125" style="767" customWidth="1"/>
    <col min="5381" max="5381" width="3.7265625" style="767" customWidth="1"/>
    <col min="5382" max="5382" width="22.1796875" style="767" bestFit="1" customWidth="1"/>
    <col min="5383" max="5392" width="8.26953125" style="767" customWidth="1"/>
    <col min="5393" max="5634" width="9.1796875" style="767"/>
    <col min="5635" max="5635" width="3.7265625" style="767" customWidth="1"/>
    <col min="5636" max="5636" width="14.453125" style="767" customWidth="1"/>
    <col min="5637" max="5637" width="3.7265625" style="767" customWidth="1"/>
    <col min="5638" max="5638" width="22.1796875" style="767" bestFit="1" customWidth="1"/>
    <col min="5639" max="5648" width="8.26953125" style="767" customWidth="1"/>
    <col min="5649" max="5890" width="9.1796875" style="767"/>
    <col min="5891" max="5891" width="3.7265625" style="767" customWidth="1"/>
    <col min="5892" max="5892" width="14.453125" style="767" customWidth="1"/>
    <col min="5893" max="5893" width="3.7265625" style="767" customWidth="1"/>
    <col min="5894" max="5894" width="22.1796875" style="767" bestFit="1" customWidth="1"/>
    <col min="5895" max="5904" width="8.26953125" style="767" customWidth="1"/>
    <col min="5905" max="6146" width="9.1796875" style="767"/>
    <col min="6147" max="6147" width="3.7265625" style="767" customWidth="1"/>
    <col min="6148" max="6148" width="14.453125" style="767" customWidth="1"/>
    <col min="6149" max="6149" width="3.7265625" style="767" customWidth="1"/>
    <col min="6150" max="6150" width="22.1796875" style="767" bestFit="1" customWidth="1"/>
    <col min="6151" max="6160" width="8.26953125" style="767" customWidth="1"/>
    <col min="6161" max="6402" width="9.1796875" style="767"/>
    <col min="6403" max="6403" width="3.7265625" style="767" customWidth="1"/>
    <col min="6404" max="6404" width="14.453125" style="767" customWidth="1"/>
    <col min="6405" max="6405" width="3.7265625" style="767" customWidth="1"/>
    <col min="6406" max="6406" width="22.1796875" style="767" bestFit="1" customWidth="1"/>
    <col min="6407" max="6416" width="8.26953125" style="767" customWidth="1"/>
    <col min="6417" max="6658" width="9.1796875" style="767"/>
    <col min="6659" max="6659" width="3.7265625" style="767" customWidth="1"/>
    <col min="6660" max="6660" width="14.453125" style="767" customWidth="1"/>
    <col min="6661" max="6661" width="3.7265625" style="767" customWidth="1"/>
    <col min="6662" max="6662" width="22.1796875" style="767" bestFit="1" customWidth="1"/>
    <col min="6663" max="6672" width="8.26953125" style="767" customWidth="1"/>
    <col min="6673" max="6914" width="9.1796875" style="767"/>
    <col min="6915" max="6915" width="3.7265625" style="767" customWidth="1"/>
    <col min="6916" max="6916" width="14.453125" style="767" customWidth="1"/>
    <col min="6917" max="6917" width="3.7265625" style="767" customWidth="1"/>
    <col min="6918" max="6918" width="22.1796875" style="767" bestFit="1" customWidth="1"/>
    <col min="6919" max="6928" width="8.26953125" style="767" customWidth="1"/>
    <col min="6929" max="7170" width="9.1796875" style="767"/>
    <col min="7171" max="7171" width="3.7265625" style="767" customWidth="1"/>
    <col min="7172" max="7172" width="14.453125" style="767" customWidth="1"/>
    <col min="7173" max="7173" width="3.7265625" style="767" customWidth="1"/>
    <col min="7174" max="7174" width="22.1796875" style="767" bestFit="1" customWidth="1"/>
    <col min="7175" max="7184" width="8.26953125" style="767" customWidth="1"/>
    <col min="7185" max="7426" width="9.1796875" style="767"/>
    <col min="7427" max="7427" width="3.7265625" style="767" customWidth="1"/>
    <col min="7428" max="7428" width="14.453125" style="767" customWidth="1"/>
    <col min="7429" max="7429" width="3.7265625" style="767" customWidth="1"/>
    <col min="7430" max="7430" width="22.1796875" style="767" bestFit="1" customWidth="1"/>
    <col min="7431" max="7440" width="8.26953125" style="767" customWidth="1"/>
    <col min="7441" max="7682" width="9.1796875" style="767"/>
    <col min="7683" max="7683" width="3.7265625" style="767" customWidth="1"/>
    <col min="7684" max="7684" width="14.453125" style="767" customWidth="1"/>
    <col min="7685" max="7685" width="3.7265625" style="767" customWidth="1"/>
    <col min="7686" max="7686" width="22.1796875" style="767" bestFit="1" customWidth="1"/>
    <col min="7687" max="7696" width="8.26953125" style="767" customWidth="1"/>
    <col min="7697" max="7938" width="9.1796875" style="767"/>
    <col min="7939" max="7939" width="3.7265625" style="767" customWidth="1"/>
    <col min="7940" max="7940" width="14.453125" style="767" customWidth="1"/>
    <col min="7941" max="7941" width="3.7265625" style="767" customWidth="1"/>
    <col min="7942" max="7942" width="22.1796875" style="767" bestFit="1" customWidth="1"/>
    <col min="7943" max="7952" width="8.26953125" style="767" customWidth="1"/>
    <col min="7953" max="8194" width="9.1796875" style="767"/>
    <col min="8195" max="8195" width="3.7265625" style="767" customWidth="1"/>
    <col min="8196" max="8196" width="14.453125" style="767" customWidth="1"/>
    <col min="8197" max="8197" width="3.7265625" style="767" customWidth="1"/>
    <col min="8198" max="8198" width="22.1796875" style="767" bestFit="1" customWidth="1"/>
    <col min="8199" max="8208" width="8.26953125" style="767" customWidth="1"/>
    <col min="8209" max="8450" width="9.1796875" style="767"/>
    <col min="8451" max="8451" width="3.7265625" style="767" customWidth="1"/>
    <col min="8452" max="8452" width="14.453125" style="767" customWidth="1"/>
    <col min="8453" max="8453" width="3.7265625" style="767" customWidth="1"/>
    <col min="8454" max="8454" width="22.1796875" style="767" bestFit="1" customWidth="1"/>
    <col min="8455" max="8464" width="8.26953125" style="767" customWidth="1"/>
    <col min="8465" max="8706" width="9.1796875" style="767"/>
    <col min="8707" max="8707" width="3.7265625" style="767" customWidth="1"/>
    <col min="8708" max="8708" width="14.453125" style="767" customWidth="1"/>
    <col min="8709" max="8709" width="3.7265625" style="767" customWidth="1"/>
    <col min="8710" max="8710" width="22.1796875" style="767" bestFit="1" customWidth="1"/>
    <col min="8711" max="8720" width="8.26953125" style="767" customWidth="1"/>
    <col min="8721" max="8962" width="9.1796875" style="767"/>
    <col min="8963" max="8963" width="3.7265625" style="767" customWidth="1"/>
    <col min="8964" max="8964" width="14.453125" style="767" customWidth="1"/>
    <col min="8965" max="8965" width="3.7265625" style="767" customWidth="1"/>
    <col min="8966" max="8966" width="22.1796875" style="767" bestFit="1" customWidth="1"/>
    <col min="8967" max="8976" width="8.26953125" style="767" customWidth="1"/>
    <col min="8977" max="9218" width="9.1796875" style="767"/>
    <col min="9219" max="9219" width="3.7265625" style="767" customWidth="1"/>
    <col min="9220" max="9220" width="14.453125" style="767" customWidth="1"/>
    <col min="9221" max="9221" width="3.7265625" style="767" customWidth="1"/>
    <col min="9222" max="9222" width="22.1796875" style="767" bestFit="1" customWidth="1"/>
    <col min="9223" max="9232" width="8.26953125" style="767" customWidth="1"/>
    <col min="9233" max="9474" width="9.1796875" style="767"/>
    <col min="9475" max="9475" width="3.7265625" style="767" customWidth="1"/>
    <col min="9476" max="9476" width="14.453125" style="767" customWidth="1"/>
    <col min="9477" max="9477" width="3.7265625" style="767" customWidth="1"/>
    <col min="9478" max="9478" width="22.1796875" style="767" bestFit="1" customWidth="1"/>
    <col min="9479" max="9488" width="8.26953125" style="767" customWidth="1"/>
    <col min="9489" max="9730" width="9.1796875" style="767"/>
    <col min="9731" max="9731" width="3.7265625" style="767" customWidth="1"/>
    <col min="9732" max="9732" width="14.453125" style="767" customWidth="1"/>
    <col min="9733" max="9733" width="3.7265625" style="767" customWidth="1"/>
    <col min="9734" max="9734" width="22.1796875" style="767" bestFit="1" customWidth="1"/>
    <col min="9735" max="9744" width="8.26953125" style="767" customWidth="1"/>
    <col min="9745" max="9986" width="9.1796875" style="767"/>
    <col min="9987" max="9987" width="3.7265625" style="767" customWidth="1"/>
    <col min="9988" max="9988" width="14.453125" style="767" customWidth="1"/>
    <col min="9989" max="9989" width="3.7265625" style="767" customWidth="1"/>
    <col min="9990" max="9990" width="22.1796875" style="767" bestFit="1" customWidth="1"/>
    <col min="9991" max="10000" width="8.26953125" style="767" customWidth="1"/>
    <col min="10001" max="10242" width="9.1796875" style="767"/>
    <col min="10243" max="10243" width="3.7265625" style="767" customWidth="1"/>
    <col min="10244" max="10244" width="14.453125" style="767" customWidth="1"/>
    <col min="10245" max="10245" width="3.7265625" style="767" customWidth="1"/>
    <col min="10246" max="10246" width="22.1796875" style="767" bestFit="1" customWidth="1"/>
    <col min="10247" max="10256" width="8.26953125" style="767" customWidth="1"/>
    <col min="10257" max="10498" width="9.1796875" style="767"/>
    <col min="10499" max="10499" width="3.7265625" style="767" customWidth="1"/>
    <col min="10500" max="10500" width="14.453125" style="767" customWidth="1"/>
    <col min="10501" max="10501" width="3.7265625" style="767" customWidth="1"/>
    <col min="10502" max="10502" width="22.1796875" style="767" bestFit="1" customWidth="1"/>
    <col min="10503" max="10512" width="8.26953125" style="767" customWidth="1"/>
    <col min="10513" max="10754" width="9.1796875" style="767"/>
    <col min="10755" max="10755" width="3.7265625" style="767" customWidth="1"/>
    <col min="10756" max="10756" width="14.453125" style="767" customWidth="1"/>
    <col min="10757" max="10757" width="3.7265625" style="767" customWidth="1"/>
    <col min="10758" max="10758" width="22.1796875" style="767" bestFit="1" customWidth="1"/>
    <col min="10759" max="10768" width="8.26953125" style="767" customWidth="1"/>
    <col min="10769" max="11010" width="9.1796875" style="767"/>
    <col min="11011" max="11011" width="3.7265625" style="767" customWidth="1"/>
    <col min="11012" max="11012" width="14.453125" style="767" customWidth="1"/>
    <col min="11013" max="11013" width="3.7265625" style="767" customWidth="1"/>
    <col min="11014" max="11014" width="22.1796875" style="767" bestFit="1" customWidth="1"/>
    <col min="11015" max="11024" width="8.26953125" style="767" customWidth="1"/>
    <col min="11025" max="11266" width="9.1796875" style="767"/>
    <col min="11267" max="11267" width="3.7265625" style="767" customWidth="1"/>
    <col min="11268" max="11268" width="14.453125" style="767" customWidth="1"/>
    <col min="11269" max="11269" width="3.7265625" style="767" customWidth="1"/>
    <col min="11270" max="11270" width="22.1796875" style="767" bestFit="1" customWidth="1"/>
    <col min="11271" max="11280" width="8.26953125" style="767" customWidth="1"/>
    <col min="11281" max="11522" width="9.1796875" style="767"/>
    <col min="11523" max="11523" width="3.7265625" style="767" customWidth="1"/>
    <col min="11524" max="11524" width="14.453125" style="767" customWidth="1"/>
    <col min="11525" max="11525" width="3.7265625" style="767" customWidth="1"/>
    <col min="11526" max="11526" width="22.1796875" style="767" bestFit="1" customWidth="1"/>
    <col min="11527" max="11536" width="8.26953125" style="767" customWidth="1"/>
    <col min="11537" max="11778" width="9.1796875" style="767"/>
    <col min="11779" max="11779" width="3.7265625" style="767" customWidth="1"/>
    <col min="11780" max="11780" width="14.453125" style="767" customWidth="1"/>
    <col min="11781" max="11781" width="3.7265625" style="767" customWidth="1"/>
    <col min="11782" max="11782" width="22.1796875" style="767" bestFit="1" customWidth="1"/>
    <col min="11783" max="11792" width="8.26953125" style="767" customWidth="1"/>
    <col min="11793" max="12034" width="9.1796875" style="767"/>
    <col min="12035" max="12035" width="3.7265625" style="767" customWidth="1"/>
    <col min="12036" max="12036" width="14.453125" style="767" customWidth="1"/>
    <col min="12037" max="12037" width="3.7265625" style="767" customWidth="1"/>
    <col min="12038" max="12038" width="22.1796875" style="767" bestFit="1" customWidth="1"/>
    <col min="12039" max="12048" width="8.26953125" style="767" customWidth="1"/>
    <col min="12049" max="12290" width="9.1796875" style="767"/>
    <col min="12291" max="12291" width="3.7265625" style="767" customWidth="1"/>
    <col min="12292" max="12292" width="14.453125" style="767" customWidth="1"/>
    <col min="12293" max="12293" width="3.7265625" style="767" customWidth="1"/>
    <col min="12294" max="12294" width="22.1796875" style="767" bestFit="1" customWidth="1"/>
    <col min="12295" max="12304" width="8.26953125" style="767" customWidth="1"/>
    <col min="12305" max="12546" width="9.1796875" style="767"/>
    <col min="12547" max="12547" width="3.7265625" style="767" customWidth="1"/>
    <col min="12548" max="12548" width="14.453125" style="767" customWidth="1"/>
    <col min="12549" max="12549" width="3.7265625" style="767" customWidth="1"/>
    <col min="12550" max="12550" width="22.1796875" style="767" bestFit="1" customWidth="1"/>
    <col min="12551" max="12560" width="8.26953125" style="767" customWidth="1"/>
    <col min="12561" max="12802" width="9.1796875" style="767"/>
    <col min="12803" max="12803" width="3.7265625" style="767" customWidth="1"/>
    <col min="12804" max="12804" width="14.453125" style="767" customWidth="1"/>
    <col min="12805" max="12805" width="3.7265625" style="767" customWidth="1"/>
    <col min="12806" max="12806" width="22.1796875" style="767" bestFit="1" customWidth="1"/>
    <col min="12807" max="12816" width="8.26953125" style="767" customWidth="1"/>
    <col min="12817" max="13058" width="9.1796875" style="767"/>
    <col min="13059" max="13059" width="3.7265625" style="767" customWidth="1"/>
    <col min="13060" max="13060" width="14.453125" style="767" customWidth="1"/>
    <col min="13061" max="13061" width="3.7265625" style="767" customWidth="1"/>
    <col min="13062" max="13062" width="22.1796875" style="767" bestFit="1" customWidth="1"/>
    <col min="13063" max="13072" width="8.26953125" style="767" customWidth="1"/>
    <col min="13073" max="13314" width="9.1796875" style="767"/>
    <col min="13315" max="13315" width="3.7265625" style="767" customWidth="1"/>
    <col min="13316" max="13316" width="14.453125" style="767" customWidth="1"/>
    <col min="13317" max="13317" width="3.7265625" style="767" customWidth="1"/>
    <col min="13318" max="13318" width="22.1796875" style="767" bestFit="1" customWidth="1"/>
    <col min="13319" max="13328" width="8.26953125" style="767" customWidth="1"/>
    <col min="13329" max="13570" width="9.1796875" style="767"/>
    <col min="13571" max="13571" width="3.7265625" style="767" customWidth="1"/>
    <col min="13572" max="13572" width="14.453125" style="767" customWidth="1"/>
    <col min="13573" max="13573" width="3.7265625" style="767" customWidth="1"/>
    <col min="13574" max="13574" width="22.1796875" style="767" bestFit="1" customWidth="1"/>
    <col min="13575" max="13584" width="8.26953125" style="767" customWidth="1"/>
    <col min="13585" max="13826" width="9.1796875" style="767"/>
    <col min="13827" max="13827" width="3.7265625" style="767" customWidth="1"/>
    <col min="13828" max="13828" width="14.453125" style="767" customWidth="1"/>
    <col min="13829" max="13829" width="3.7265625" style="767" customWidth="1"/>
    <col min="13830" max="13830" width="22.1796875" style="767" bestFit="1" customWidth="1"/>
    <col min="13831" max="13840" width="8.26953125" style="767" customWidth="1"/>
    <col min="13841" max="14082" width="9.1796875" style="767"/>
    <col min="14083" max="14083" width="3.7265625" style="767" customWidth="1"/>
    <col min="14084" max="14084" width="14.453125" style="767" customWidth="1"/>
    <col min="14085" max="14085" width="3.7265625" style="767" customWidth="1"/>
    <col min="14086" max="14086" width="22.1796875" style="767" bestFit="1" customWidth="1"/>
    <col min="14087" max="14096" width="8.26953125" style="767" customWidth="1"/>
    <col min="14097" max="14338" width="9.1796875" style="767"/>
    <col min="14339" max="14339" width="3.7265625" style="767" customWidth="1"/>
    <col min="14340" max="14340" width="14.453125" style="767" customWidth="1"/>
    <col min="14341" max="14341" width="3.7265625" style="767" customWidth="1"/>
    <col min="14342" max="14342" width="22.1796875" style="767" bestFit="1" customWidth="1"/>
    <col min="14343" max="14352" width="8.26953125" style="767" customWidth="1"/>
    <col min="14353" max="14594" width="9.1796875" style="767"/>
    <col min="14595" max="14595" width="3.7265625" style="767" customWidth="1"/>
    <col min="14596" max="14596" width="14.453125" style="767" customWidth="1"/>
    <col min="14597" max="14597" width="3.7265625" style="767" customWidth="1"/>
    <col min="14598" max="14598" width="22.1796875" style="767" bestFit="1" customWidth="1"/>
    <col min="14599" max="14608" width="8.26953125" style="767" customWidth="1"/>
    <col min="14609" max="14850" width="9.1796875" style="767"/>
    <col min="14851" max="14851" width="3.7265625" style="767" customWidth="1"/>
    <col min="14852" max="14852" width="14.453125" style="767" customWidth="1"/>
    <col min="14853" max="14853" width="3.7265625" style="767" customWidth="1"/>
    <col min="14854" max="14854" width="22.1796875" style="767" bestFit="1" customWidth="1"/>
    <col min="14855" max="14864" width="8.26953125" style="767" customWidth="1"/>
    <col min="14865" max="15106" width="9.1796875" style="767"/>
    <col min="15107" max="15107" width="3.7265625" style="767" customWidth="1"/>
    <col min="15108" max="15108" width="14.453125" style="767" customWidth="1"/>
    <col min="15109" max="15109" width="3.7265625" style="767" customWidth="1"/>
    <col min="15110" max="15110" width="22.1796875" style="767" bestFit="1" customWidth="1"/>
    <col min="15111" max="15120" width="8.26953125" style="767" customWidth="1"/>
    <col min="15121" max="15362" width="9.1796875" style="767"/>
    <col min="15363" max="15363" width="3.7265625" style="767" customWidth="1"/>
    <col min="15364" max="15364" width="14.453125" style="767" customWidth="1"/>
    <col min="15365" max="15365" width="3.7265625" style="767" customWidth="1"/>
    <col min="15366" max="15366" width="22.1796875" style="767" bestFit="1" customWidth="1"/>
    <col min="15367" max="15376" width="8.26953125" style="767" customWidth="1"/>
    <col min="15377" max="15618" width="9.1796875" style="767"/>
    <col min="15619" max="15619" width="3.7265625" style="767" customWidth="1"/>
    <col min="15620" max="15620" width="14.453125" style="767" customWidth="1"/>
    <col min="15621" max="15621" width="3.7265625" style="767" customWidth="1"/>
    <col min="15622" max="15622" width="22.1796875" style="767" bestFit="1" customWidth="1"/>
    <col min="15623" max="15632" width="8.26953125" style="767" customWidth="1"/>
    <col min="15633" max="15874" width="9.1796875" style="767"/>
    <col min="15875" max="15875" width="3.7265625" style="767" customWidth="1"/>
    <col min="15876" max="15876" width="14.453125" style="767" customWidth="1"/>
    <col min="15877" max="15877" width="3.7265625" style="767" customWidth="1"/>
    <col min="15878" max="15878" width="22.1796875" style="767" bestFit="1" customWidth="1"/>
    <col min="15879" max="15888" width="8.26953125" style="767" customWidth="1"/>
    <col min="15889" max="16130" width="9.1796875" style="767"/>
    <col min="16131" max="16131" width="3.7265625" style="767" customWidth="1"/>
    <col min="16132" max="16132" width="14.453125" style="767" customWidth="1"/>
    <col min="16133" max="16133" width="3.7265625" style="767" customWidth="1"/>
    <col min="16134" max="16134" width="22.1796875" style="767" bestFit="1" customWidth="1"/>
    <col min="16135" max="16144" width="8.26953125" style="767" customWidth="1"/>
    <col min="16145" max="16384" width="9.1796875" style="767"/>
  </cols>
  <sheetData>
    <row r="1" spans="1:23" s="1764" customFormat="1" ht="14" x14ac:dyDescent="0.3">
      <c r="A1" s="2070"/>
      <c r="B1" s="1768"/>
      <c r="C1" s="1768"/>
      <c r="F1" s="2220"/>
      <c r="G1" s="2220"/>
      <c r="H1" s="2220"/>
      <c r="I1" s="2220"/>
      <c r="J1" s="2220"/>
    </row>
    <row r="2" spans="1:23" s="1764" customFormat="1" ht="15" customHeight="1" x14ac:dyDescent="0.3">
      <c r="A2" s="1255">
        <v>1</v>
      </c>
      <c r="B2" s="1255" t="s">
        <v>0</v>
      </c>
      <c r="C2" s="1255">
        <v>79</v>
      </c>
      <c r="D2" s="4733" t="s">
        <v>1721</v>
      </c>
      <c r="E2" s="4734"/>
      <c r="F2" s="4734"/>
      <c r="G2" s="4734"/>
      <c r="H2" s="4734"/>
      <c r="I2" s="4734"/>
      <c r="J2" s="4734"/>
      <c r="K2" s="4734"/>
      <c r="L2" s="4734"/>
      <c r="M2" s="4734"/>
      <c r="N2" s="4734"/>
      <c r="O2" s="4734"/>
      <c r="P2" s="4734"/>
      <c r="Q2" s="4734"/>
      <c r="R2" s="4734"/>
      <c r="S2" s="4734"/>
      <c r="T2" s="4734"/>
      <c r="U2" s="4734"/>
      <c r="V2" s="4735"/>
      <c r="W2" s="2999"/>
    </row>
    <row r="3" spans="1:23" s="1764" customFormat="1" ht="14.25" customHeight="1" x14ac:dyDescent="0.3">
      <c r="A3" s="1255">
        <v>2</v>
      </c>
      <c r="B3" s="1255" t="s">
        <v>2</v>
      </c>
      <c r="C3" s="1255"/>
      <c r="D3" s="4733" t="s">
        <v>1699</v>
      </c>
      <c r="E3" s="4734"/>
      <c r="F3" s="4734"/>
      <c r="G3" s="4734"/>
      <c r="H3" s="4734"/>
      <c r="I3" s="4734"/>
      <c r="J3" s="4734"/>
      <c r="K3" s="4734"/>
      <c r="L3" s="4734"/>
      <c r="M3" s="4734"/>
      <c r="N3" s="4734"/>
      <c r="O3" s="4734"/>
      <c r="P3" s="4734"/>
      <c r="Q3" s="4734"/>
      <c r="R3" s="4734"/>
      <c r="S3" s="4734"/>
      <c r="T3" s="4734"/>
      <c r="U3" s="4734"/>
      <c r="V3" s="4735"/>
    </row>
    <row r="4" spans="1:23" s="1764" customFormat="1" ht="14.25" customHeight="1" x14ac:dyDescent="0.3">
      <c r="A4" s="1255">
        <v>3</v>
      </c>
      <c r="B4" s="1255" t="s">
        <v>4</v>
      </c>
      <c r="C4" s="4557"/>
      <c r="D4" s="4733" t="s">
        <v>1722</v>
      </c>
      <c r="E4" s="4734"/>
      <c r="F4" s="4734"/>
      <c r="G4" s="4734"/>
      <c r="H4" s="4734"/>
      <c r="I4" s="4734"/>
      <c r="J4" s="4734"/>
      <c r="K4" s="4734"/>
      <c r="L4" s="4734"/>
      <c r="M4" s="4734"/>
      <c r="N4" s="4734"/>
      <c r="O4" s="4734"/>
      <c r="P4" s="4734"/>
      <c r="Q4" s="4734"/>
      <c r="R4" s="4734"/>
      <c r="S4" s="4734"/>
      <c r="T4" s="4734"/>
      <c r="U4" s="4734"/>
      <c r="V4" s="4735"/>
    </row>
    <row r="5" spans="1:23" s="1764" customFormat="1" ht="14.25" customHeight="1" x14ac:dyDescent="0.3">
      <c r="A5" s="1255"/>
      <c r="B5" s="1255"/>
      <c r="C5" s="1255"/>
      <c r="D5" s="1513"/>
      <c r="E5" s="1513"/>
      <c r="F5" s="1513"/>
      <c r="G5" s="1513"/>
      <c r="H5" s="1513"/>
      <c r="I5" s="1513"/>
      <c r="J5" s="1513"/>
      <c r="K5" s="1513"/>
      <c r="L5" s="1513"/>
      <c r="M5" s="1513"/>
      <c r="N5" s="1513"/>
      <c r="O5" s="1513"/>
      <c r="P5" s="1513"/>
      <c r="Q5" s="1513"/>
      <c r="R5" s="1513"/>
      <c r="S5" s="1513"/>
      <c r="T5" s="1513"/>
      <c r="U5" s="1513"/>
      <c r="V5" s="1513"/>
    </row>
    <row r="6" spans="1:23" s="1265" customFormat="1" ht="15.75" customHeight="1" x14ac:dyDescent="0.3">
      <c r="A6" s="1255">
        <v>4</v>
      </c>
      <c r="B6" s="728" t="s">
        <v>6</v>
      </c>
      <c r="C6" s="1260"/>
      <c r="D6" s="1770" t="s">
        <v>85</v>
      </c>
      <c r="E6" s="1770" t="s">
        <v>1723</v>
      </c>
      <c r="F6" s="1549"/>
      <c r="G6" s="4146"/>
      <c r="H6" s="1549"/>
      <c r="I6" s="1549"/>
      <c r="J6" s="756"/>
      <c r="K6" s="1270"/>
      <c r="L6" s="1270"/>
      <c r="M6" s="1270"/>
    </row>
    <row r="7" spans="1:23" s="1265" customFormat="1" ht="15.75" customHeight="1" x14ac:dyDescent="0.25">
      <c r="A7" s="1259"/>
      <c r="B7" s="1260"/>
      <c r="C7" s="1260"/>
      <c r="D7" s="1297" t="s">
        <v>1724</v>
      </c>
      <c r="E7" s="4147" t="s">
        <v>108</v>
      </c>
      <c r="F7" s="2177" t="s">
        <v>109</v>
      </c>
      <c r="G7" s="2177" t="s">
        <v>110</v>
      </c>
      <c r="H7" s="2177" t="s">
        <v>111</v>
      </c>
      <c r="I7" s="2177" t="s">
        <v>112</v>
      </c>
      <c r="J7" s="2177" t="s">
        <v>113</v>
      </c>
      <c r="K7" s="2177" t="s">
        <v>114</v>
      </c>
      <c r="L7" s="2177" t="s">
        <v>115</v>
      </c>
      <c r="M7" s="2177" t="s">
        <v>116</v>
      </c>
      <c r="N7" s="4148" t="s">
        <v>117</v>
      </c>
      <c r="O7" s="4147" t="s">
        <v>118</v>
      </c>
      <c r="P7" s="4147" t="s">
        <v>119</v>
      </c>
      <c r="Q7" s="4147" t="s">
        <v>120</v>
      </c>
      <c r="R7" s="4147" t="s">
        <v>121</v>
      </c>
      <c r="S7" s="4147" t="s">
        <v>122</v>
      </c>
      <c r="T7" s="4149" t="s">
        <v>123</v>
      </c>
      <c r="U7" s="4150" t="s">
        <v>124</v>
      </c>
      <c r="V7" s="4149" t="s">
        <v>125</v>
      </c>
      <c r="W7" s="4149" t="s">
        <v>126</v>
      </c>
    </row>
    <row r="8" spans="1:23" s="1265" customFormat="1" ht="15.75" customHeight="1" x14ac:dyDescent="0.2">
      <c r="A8" s="1259"/>
      <c r="B8" s="1260"/>
      <c r="C8" s="1260"/>
      <c r="D8" s="1281" t="s">
        <v>1725</v>
      </c>
      <c r="E8" s="2411">
        <v>36</v>
      </c>
      <c r="F8" s="2411">
        <v>36</v>
      </c>
      <c r="G8" s="2411">
        <v>36</v>
      </c>
      <c r="H8" s="2411">
        <v>34</v>
      </c>
      <c r="I8" s="2411">
        <v>34</v>
      </c>
      <c r="J8" s="2411">
        <v>34</v>
      </c>
      <c r="K8" s="2411">
        <v>31</v>
      </c>
      <c r="L8" s="2411">
        <v>31</v>
      </c>
      <c r="M8" s="2411">
        <v>34</v>
      </c>
      <c r="N8" s="2411">
        <v>34</v>
      </c>
      <c r="O8" s="2411">
        <v>39</v>
      </c>
      <c r="P8" s="2411">
        <v>40</v>
      </c>
      <c r="Q8" s="2411">
        <v>40</v>
      </c>
      <c r="R8" s="2411">
        <v>41</v>
      </c>
      <c r="S8" s="2411">
        <v>43</v>
      </c>
      <c r="T8" s="4151">
        <v>42</v>
      </c>
      <c r="U8" s="4111">
        <v>46</v>
      </c>
      <c r="V8" s="4152">
        <v>46</v>
      </c>
      <c r="W8" s="4152">
        <v>46</v>
      </c>
    </row>
    <row r="9" spans="1:23" s="1265" customFormat="1" ht="15.75" customHeight="1" x14ac:dyDescent="0.2">
      <c r="A9" s="1259"/>
      <c r="B9" s="1260"/>
      <c r="C9" s="1260"/>
      <c r="D9" s="1281" t="s">
        <v>1726</v>
      </c>
      <c r="E9" s="4153">
        <v>7</v>
      </c>
      <c r="F9" s="4153">
        <v>8</v>
      </c>
      <c r="G9" s="4153">
        <v>8</v>
      </c>
      <c r="H9" s="4153">
        <v>11</v>
      </c>
      <c r="I9" s="4153">
        <v>7</v>
      </c>
      <c r="J9" s="4153">
        <v>11</v>
      </c>
      <c r="K9" s="4153">
        <v>12</v>
      </c>
      <c r="L9" s="4153">
        <v>12</v>
      </c>
      <c r="M9" s="4153">
        <f>'[35]AGSA Data - 2008-09 Gen Report'!I18</f>
        <v>12</v>
      </c>
      <c r="N9" s="4153">
        <v>11</v>
      </c>
      <c r="O9" s="4153">
        <v>10</v>
      </c>
      <c r="P9" s="4153">
        <v>7</v>
      </c>
      <c r="Q9" s="4153">
        <v>6</v>
      </c>
      <c r="R9" s="4153">
        <v>7</v>
      </c>
      <c r="S9" s="4153">
        <v>6</v>
      </c>
      <c r="T9" s="4151">
        <v>3</v>
      </c>
      <c r="U9" s="4111">
        <v>9</v>
      </c>
      <c r="V9" s="4151">
        <v>10</v>
      </c>
      <c r="W9" s="4151">
        <v>12</v>
      </c>
    </row>
    <row r="10" spans="1:23" s="3016" customFormat="1" ht="15.75" customHeight="1" x14ac:dyDescent="0.2">
      <c r="A10" s="3044"/>
      <c r="B10" s="3045"/>
      <c r="C10" s="3045"/>
      <c r="D10" s="3113" t="s">
        <v>1727</v>
      </c>
      <c r="E10" s="4154">
        <f t="shared" ref="E10:W10" si="0">E9/E8</f>
        <v>0.19444444444444445</v>
      </c>
      <c r="F10" s="4154">
        <f t="shared" si="0"/>
        <v>0.22222222222222221</v>
      </c>
      <c r="G10" s="4154">
        <f t="shared" si="0"/>
        <v>0.22222222222222221</v>
      </c>
      <c r="H10" s="4154">
        <f t="shared" si="0"/>
        <v>0.3235294117647059</v>
      </c>
      <c r="I10" s="4154">
        <f t="shared" si="0"/>
        <v>0.20588235294117646</v>
      </c>
      <c r="J10" s="4154">
        <f t="shared" si="0"/>
        <v>0.3235294117647059</v>
      </c>
      <c r="K10" s="4154">
        <f t="shared" si="0"/>
        <v>0.38709677419354838</v>
      </c>
      <c r="L10" s="4154">
        <f t="shared" si="0"/>
        <v>0.38709677419354838</v>
      </c>
      <c r="M10" s="4154">
        <f t="shared" si="0"/>
        <v>0.35294117647058826</v>
      </c>
      <c r="N10" s="4154">
        <f t="shared" si="0"/>
        <v>0.3235294117647059</v>
      </c>
      <c r="O10" s="4154">
        <f t="shared" si="0"/>
        <v>0.25641025641025639</v>
      </c>
      <c r="P10" s="4154">
        <f t="shared" si="0"/>
        <v>0.17499999999999999</v>
      </c>
      <c r="Q10" s="4154">
        <f t="shared" si="0"/>
        <v>0.15</v>
      </c>
      <c r="R10" s="4154">
        <f t="shared" si="0"/>
        <v>0.17073170731707318</v>
      </c>
      <c r="S10" s="4154">
        <f t="shared" si="0"/>
        <v>0.13953488372093023</v>
      </c>
      <c r="T10" s="4155">
        <f t="shared" si="0"/>
        <v>7.1428571428571425E-2</v>
      </c>
      <c r="U10" s="4156">
        <f t="shared" si="0"/>
        <v>0.19565217391304349</v>
      </c>
      <c r="V10" s="4155">
        <f t="shared" si="0"/>
        <v>0.21739130434782608</v>
      </c>
      <c r="W10" s="4155">
        <f t="shared" si="0"/>
        <v>0.2608695652173913</v>
      </c>
    </row>
    <row r="11" spans="1:23" s="1265" customFormat="1" ht="15.75" customHeight="1" x14ac:dyDescent="0.25">
      <c r="A11" s="1259"/>
      <c r="B11" s="1260"/>
      <c r="C11" s="1260"/>
      <c r="D11" s="3184" t="s">
        <v>1728</v>
      </c>
      <c r="E11" s="4157"/>
      <c r="F11" s="2916"/>
      <c r="G11" s="2916"/>
      <c r="H11" s="2916"/>
      <c r="I11" s="2916"/>
      <c r="J11" s="2916"/>
      <c r="K11" s="2916"/>
      <c r="L11" s="2916"/>
      <c r="M11" s="2916"/>
      <c r="N11" s="2916"/>
      <c r="O11" s="2916"/>
      <c r="P11" s="2916"/>
      <c r="Q11" s="2916"/>
      <c r="R11" s="2916"/>
      <c r="S11" s="2916"/>
      <c r="T11" s="4151"/>
      <c r="U11" s="4111"/>
      <c r="V11" s="4151"/>
      <c r="W11" s="4151"/>
    </row>
    <row r="12" spans="1:23" s="1265" customFormat="1" ht="15.75" customHeight="1" x14ac:dyDescent="0.2">
      <c r="A12" s="1259"/>
      <c r="B12" s="1260"/>
      <c r="C12" s="1260"/>
      <c r="D12" s="1281" t="s">
        <v>1729</v>
      </c>
      <c r="E12" s="4158">
        <v>117</v>
      </c>
      <c r="F12" s="2411">
        <v>116</v>
      </c>
      <c r="G12" s="2411">
        <v>116</v>
      </c>
      <c r="H12" s="2411">
        <v>115</v>
      </c>
      <c r="I12" s="2411">
        <v>117</v>
      </c>
      <c r="J12" s="2411">
        <v>117</v>
      </c>
      <c r="K12" s="2411">
        <v>105</v>
      </c>
      <c r="L12" s="2411">
        <v>111</v>
      </c>
      <c r="M12" s="2411">
        <v>121</v>
      </c>
      <c r="N12" s="2411">
        <v>123</v>
      </c>
      <c r="O12" s="2411">
        <v>121</v>
      </c>
      <c r="P12" s="2411">
        <v>121</v>
      </c>
      <c r="Q12" s="2411">
        <v>123</v>
      </c>
      <c r="R12" s="2411">
        <v>124</v>
      </c>
      <c r="S12" s="2411">
        <v>124</v>
      </c>
      <c r="T12" s="4151">
        <v>123</v>
      </c>
      <c r="U12" s="4111">
        <v>123</v>
      </c>
      <c r="V12" s="4151">
        <v>123</v>
      </c>
      <c r="W12" s="4151">
        <v>123</v>
      </c>
    </row>
    <row r="13" spans="1:23" s="1265" customFormat="1" ht="15.75" customHeight="1" x14ac:dyDescent="0.2">
      <c r="A13" s="1259"/>
      <c r="B13" s="1260"/>
      <c r="C13" s="1260"/>
      <c r="D13" s="1281" t="s">
        <v>1726</v>
      </c>
      <c r="E13" s="4159">
        <v>95</v>
      </c>
      <c r="F13" s="4153">
        <v>62</v>
      </c>
      <c r="G13" s="4153">
        <v>36</v>
      </c>
      <c r="H13" s="4153">
        <v>36</v>
      </c>
      <c r="I13" s="4153">
        <v>46</v>
      </c>
      <c r="J13" s="4153">
        <v>50</v>
      </c>
      <c r="K13" s="4153">
        <v>57</v>
      </c>
      <c r="L13" s="4153">
        <v>44</v>
      </c>
      <c r="M13" s="4153">
        <v>37</v>
      </c>
      <c r="N13" s="4153">
        <v>34</v>
      </c>
      <c r="O13" s="4153">
        <v>36</v>
      </c>
      <c r="P13" s="4153">
        <v>39</v>
      </c>
      <c r="Q13" s="4153">
        <v>33</v>
      </c>
      <c r="R13" s="4153">
        <v>28</v>
      </c>
      <c r="S13" s="4153">
        <v>24</v>
      </c>
      <c r="T13" s="4151">
        <v>26</v>
      </c>
      <c r="U13" s="4111">
        <v>30</v>
      </c>
      <c r="V13" s="4151">
        <v>32</v>
      </c>
      <c r="W13" s="4151">
        <v>39</v>
      </c>
    </row>
    <row r="14" spans="1:23" s="3016" customFormat="1" ht="15.75" customHeight="1" x14ac:dyDescent="0.2">
      <c r="A14" s="3044"/>
      <c r="B14" s="3045"/>
      <c r="C14" s="3045"/>
      <c r="D14" s="3113" t="s">
        <v>1727</v>
      </c>
      <c r="E14" s="4160">
        <f t="shared" ref="E14:W14" si="1">E13/E12</f>
        <v>0.81196581196581197</v>
      </c>
      <c r="F14" s="4160">
        <f t="shared" si="1"/>
        <v>0.53448275862068961</v>
      </c>
      <c r="G14" s="4160">
        <f t="shared" si="1"/>
        <v>0.31034482758620691</v>
      </c>
      <c r="H14" s="4160">
        <f t="shared" si="1"/>
        <v>0.31304347826086959</v>
      </c>
      <c r="I14" s="4160">
        <f t="shared" si="1"/>
        <v>0.39316239316239315</v>
      </c>
      <c r="J14" s="4160">
        <f t="shared" si="1"/>
        <v>0.42735042735042733</v>
      </c>
      <c r="K14" s="4160">
        <f t="shared" si="1"/>
        <v>0.54285714285714282</v>
      </c>
      <c r="L14" s="4160">
        <f t="shared" si="1"/>
        <v>0.3963963963963964</v>
      </c>
      <c r="M14" s="4160">
        <f t="shared" si="1"/>
        <v>0.30578512396694213</v>
      </c>
      <c r="N14" s="4160">
        <f t="shared" si="1"/>
        <v>0.27642276422764228</v>
      </c>
      <c r="O14" s="4160">
        <f t="shared" si="1"/>
        <v>0.2975206611570248</v>
      </c>
      <c r="P14" s="4160">
        <f t="shared" si="1"/>
        <v>0.32231404958677684</v>
      </c>
      <c r="Q14" s="4154">
        <f t="shared" si="1"/>
        <v>0.26829268292682928</v>
      </c>
      <c r="R14" s="4154">
        <f t="shared" si="1"/>
        <v>0.22580645161290322</v>
      </c>
      <c r="S14" s="4154">
        <f t="shared" si="1"/>
        <v>0.19354838709677419</v>
      </c>
      <c r="T14" s="4155">
        <f t="shared" si="1"/>
        <v>0.21138211382113822</v>
      </c>
      <c r="U14" s="4156">
        <f t="shared" si="1"/>
        <v>0.24390243902439024</v>
      </c>
      <c r="V14" s="4155">
        <f t="shared" si="1"/>
        <v>0.26016260162601629</v>
      </c>
      <c r="W14" s="4155">
        <f t="shared" si="1"/>
        <v>0.31707317073170732</v>
      </c>
    </row>
    <row r="15" spans="1:23" s="1265" customFormat="1" ht="15.75" customHeight="1" x14ac:dyDescent="0.25">
      <c r="A15" s="1259"/>
      <c r="B15" s="1260"/>
      <c r="C15" s="1260"/>
      <c r="D15" s="3184" t="s">
        <v>1730</v>
      </c>
      <c r="E15" s="4161"/>
      <c r="F15" s="4162"/>
      <c r="G15" s="4162"/>
      <c r="H15" s="4162"/>
      <c r="I15" s="4162"/>
      <c r="J15" s="4162"/>
      <c r="K15" s="4162"/>
      <c r="L15" s="4162"/>
      <c r="M15" s="4162"/>
      <c r="N15" s="4162"/>
      <c r="O15" s="4162"/>
      <c r="P15" s="4162"/>
      <c r="Q15" s="4162"/>
      <c r="R15" s="4162"/>
      <c r="S15" s="4162"/>
      <c r="T15" s="4151"/>
      <c r="U15" s="4111"/>
      <c r="V15" s="4151"/>
      <c r="W15" s="4151"/>
    </row>
    <row r="16" spans="1:23" s="1265" customFormat="1" ht="15.75" customHeight="1" x14ac:dyDescent="0.2">
      <c r="A16" s="1259"/>
      <c r="B16" s="1260"/>
      <c r="C16" s="1260"/>
      <c r="D16" s="1281" t="s">
        <v>1731</v>
      </c>
      <c r="E16" s="2411">
        <v>543</v>
      </c>
      <c r="F16" s="2411">
        <v>175</v>
      </c>
      <c r="G16" s="2411">
        <v>128</v>
      </c>
      <c r="H16" s="2411">
        <v>95</v>
      </c>
      <c r="I16" s="2411">
        <v>126</v>
      </c>
      <c r="J16" s="3069">
        <v>270</v>
      </c>
      <c r="K16" s="3069">
        <v>280</v>
      </c>
      <c r="L16" s="3069">
        <v>283</v>
      </c>
      <c r="M16" s="3069">
        <v>283</v>
      </c>
      <c r="N16" s="3069">
        <v>283</v>
      </c>
      <c r="O16" s="3069">
        <v>283</v>
      </c>
      <c r="P16" s="3069">
        <v>278</v>
      </c>
      <c r="Q16" s="3069">
        <v>278</v>
      </c>
      <c r="R16" s="3069">
        <v>278</v>
      </c>
      <c r="S16" s="3069">
        <v>275</v>
      </c>
      <c r="T16" s="4151">
        <v>263</v>
      </c>
      <c r="U16" s="4111">
        <v>257</v>
      </c>
      <c r="V16" s="4152">
        <v>253</v>
      </c>
      <c r="W16" s="4151">
        <v>229</v>
      </c>
    </row>
    <row r="17" spans="1:23" s="1265" customFormat="1" ht="15.75" customHeight="1" x14ac:dyDescent="0.2">
      <c r="A17" s="1259"/>
      <c r="B17" s="1260"/>
      <c r="C17" s="1260"/>
      <c r="D17" s="1281" t="s">
        <v>1726</v>
      </c>
      <c r="E17" s="4153">
        <v>414</v>
      </c>
      <c r="F17" s="4153">
        <v>131</v>
      </c>
      <c r="G17" s="4153">
        <v>77</v>
      </c>
      <c r="H17" s="4153">
        <v>58</v>
      </c>
      <c r="I17" s="4153">
        <v>72</v>
      </c>
      <c r="J17" s="4163">
        <v>225</v>
      </c>
      <c r="K17" s="4163">
        <v>223</v>
      </c>
      <c r="L17" s="4163">
        <v>187</v>
      </c>
      <c r="M17" s="4163">
        <v>166</v>
      </c>
      <c r="N17" s="4163">
        <v>153</v>
      </c>
      <c r="O17" s="4163">
        <v>151</v>
      </c>
      <c r="P17" s="4163">
        <v>161</v>
      </c>
      <c r="Q17" s="4163">
        <v>157</v>
      </c>
      <c r="R17" s="4163">
        <v>128</v>
      </c>
      <c r="S17" s="4163">
        <v>111</v>
      </c>
      <c r="T17" s="4151">
        <v>92</v>
      </c>
      <c r="U17" s="4111">
        <v>110</v>
      </c>
      <c r="V17" s="4152">
        <v>130</v>
      </c>
      <c r="W17" s="4151">
        <v>118</v>
      </c>
    </row>
    <row r="18" spans="1:23" s="1265" customFormat="1" ht="15.75" customHeight="1" x14ac:dyDescent="0.2">
      <c r="A18" s="1259"/>
      <c r="B18" s="1260"/>
      <c r="C18" s="1260"/>
      <c r="D18" s="3113" t="s">
        <v>1727</v>
      </c>
      <c r="E18" s="4154">
        <f t="shared" ref="E18:Q18" si="2">E17/E16</f>
        <v>0.76243093922651939</v>
      </c>
      <c r="F18" s="4154">
        <f t="shared" si="2"/>
        <v>0.74857142857142855</v>
      </c>
      <c r="G18" s="4154">
        <f t="shared" si="2"/>
        <v>0.6015625</v>
      </c>
      <c r="H18" s="4154">
        <f t="shared" si="2"/>
        <v>0.61052631578947369</v>
      </c>
      <c r="I18" s="4154">
        <f t="shared" si="2"/>
        <v>0.5714285714285714</v>
      </c>
      <c r="J18" s="4154">
        <f t="shared" si="2"/>
        <v>0.83333333333333337</v>
      </c>
      <c r="K18" s="4154">
        <f t="shared" si="2"/>
        <v>0.79642857142857137</v>
      </c>
      <c r="L18" s="4154">
        <f t="shared" si="2"/>
        <v>0.66077738515901063</v>
      </c>
      <c r="M18" s="4154">
        <f t="shared" si="2"/>
        <v>0.58657243816254412</v>
      </c>
      <c r="N18" s="4154">
        <f t="shared" si="2"/>
        <v>0.54063604240282681</v>
      </c>
      <c r="O18" s="4154">
        <f t="shared" si="2"/>
        <v>0.53356890459363959</v>
      </c>
      <c r="P18" s="4154">
        <f t="shared" si="2"/>
        <v>0.57913669064748197</v>
      </c>
      <c r="Q18" s="4154">
        <f t="shared" si="2"/>
        <v>0.56474820143884896</v>
      </c>
      <c r="R18" s="4154">
        <v>0.46</v>
      </c>
      <c r="S18" s="4154">
        <v>0.40400000000000003</v>
      </c>
      <c r="T18" s="4155">
        <v>0.33100000000000002</v>
      </c>
      <c r="U18" s="4156">
        <f>U17/U16</f>
        <v>0.42801556420233461</v>
      </c>
      <c r="V18" s="4155">
        <f>V17/V16</f>
        <v>0.51383399209486169</v>
      </c>
      <c r="W18" s="4155">
        <f>W17/W16</f>
        <v>0.51528384279475981</v>
      </c>
    </row>
    <row r="19" spans="1:23" s="1265" customFormat="1" ht="15" customHeight="1" x14ac:dyDescent="0.25">
      <c r="A19" s="1259"/>
      <c r="B19" s="1260"/>
      <c r="C19" s="1260"/>
      <c r="D19" s="3184" t="s">
        <v>1732</v>
      </c>
      <c r="E19" s="4161"/>
      <c r="F19" s="4162"/>
      <c r="G19" s="4162"/>
      <c r="H19" s="4162"/>
      <c r="I19" s="4162"/>
      <c r="J19" s="4162"/>
      <c r="K19" s="4162"/>
      <c r="L19" s="4162"/>
      <c r="M19" s="4162"/>
      <c r="N19" s="4162"/>
      <c r="O19" s="4162"/>
      <c r="P19" s="4162"/>
      <c r="Q19" s="4162"/>
      <c r="R19" s="4162"/>
      <c r="S19" s="4162"/>
      <c r="T19" s="4151"/>
      <c r="U19" s="4111"/>
      <c r="V19" s="4151"/>
      <c r="W19" s="4151"/>
    </row>
    <row r="20" spans="1:23" s="1265" customFormat="1" ht="15.75" customHeight="1" x14ac:dyDescent="0.2">
      <c r="A20" s="1259"/>
      <c r="B20" s="1260"/>
      <c r="C20" s="1260"/>
      <c r="D20" s="1281" t="s">
        <v>1733</v>
      </c>
      <c r="E20" s="4164"/>
      <c r="F20" s="2411">
        <v>136</v>
      </c>
      <c r="G20" s="2411">
        <v>136</v>
      </c>
      <c r="H20" s="2411">
        <v>186</v>
      </c>
      <c r="I20" s="2411">
        <v>158</v>
      </c>
      <c r="J20" s="2411">
        <v>177</v>
      </c>
      <c r="K20" s="2411">
        <v>292</v>
      </c>
      <c r="L20" s="2411">
        <v>315</v>
      </c>
      <c r="M20" s="2411">
        <v>345</v>
      </c>
      <c r="N20" s="2411">
        <v>359</v>
      </c>
      <c r="O20" s="2411">
        <v>367</v>
      </c>
      <c r="P20" s="2411">
        <v>368</v>
      </c>
      <c r="Q20" s="2411">
        <v>307</v>
      </c>
      <c r="R20" s="2411">
        <v>301</v>
      </c>
      <c r="S20" s="2411">
        <v>291</v>
      </c>
      <c r="T20" s="4151">
        <v>292</v>
      </c>
      <c r="U20" s="4111">
        <v>260</v>
      </c>
      <c r="V20" s="4151">
        <v>265</v>
      </c>
      <c r="W20" s="4151">
        <v>260</v>
      </c>
    </row>
    <row r="21" spans="1:23" s="1265" customFormat="1" ht="15.75" customHeight="1" x14ac:dyDescent="0.2">
      <c r="A21" s="1259"/>
      <c r="B21" s="1260"/>
      <c r="C21" s="1260"/>
      <c r="D21" s="1281" t="s">
        <v>1726</v>
      </c>
      <c r="E21" s="4165"/>
      <c r="F21" s="4153">
        <v>63</v>
      </c>
      <c r="G21" s="4153">
        <v>53</v>
      </c>
      <c r="H21" s="4153">
        <v>56</v>
      </c>
      <c r="I21" s="4153">
        <v>20</v>
      </c>
      <c r="J21" s="4153">
        <v>47</v>
      </c>
      <c r="K21" s="4153">
        <v>84</v>
      </c>
      <c r="L21" s="4153">
        <v>71</v>
      </c>
      <c r="M21" s="4153">
        <v>78</v>
      </c>
      <c r="N21" s="4153">
        <v>58</v>
      </c>
      <c r="O21" s="4153">
        <v>57</v>
      </c>
      <c r="P21" s="4153">
        <v>61</v>
      </c>
      <c r="Q21" s="4153">
        <v>64</v>
      </c>
      <c r="R21" s="4153">
        <v>66</v>
      </c>
      <c r="S21" s="4153">
        <v>62</v>
      </c>
      <c r="T21" s="4151">
        <v>62</v>
      </c>
      <c r="U21" s="4111">
        <v>72</v>
      </c>
      <c r="V21" s="4151">
        <v>86</v>
      </c>
      <c r="W21" s="4151">
        <v>84</v>
      </c>
    </row>
    <row r="22" spans="1:23" s="1265" customFormat="1" ht="15.75" customHeight="1" x14ac:dyDescent="0.2">
      <c r="A22" s="1259"/>
      <c r="B22" s="1260" t="s">
        <v>143</v>
      </c>
      <c r="C22" s="1260"/>
      <c r="D22" s="1290" t="s">
        <v>1727</v>
      </c>
      <c r="E22" s="4166"/>
      <c r="F22" s="4167">
        <f t="shared" ref="F22:W22" si="3">F21/F20</f>
        <v>0.46323529411764708</v>
      </c>
      <c r="G22" s="4167">
        <f t="shared" si="3"/>
        <v>0.38970588235294118</v>
      </c>
      <c r="H22" s="4167">
        <f t="shared" si="3"/>
        <v>0.30107526881720431</v>
      </c>
      <c r="I22" s="4167">
        <f t="shared" si="3"/>
        <v>0.12658227848101267</v>
      </c>
      <c r="J22" s="4167">
        <f t="shared" si="3"/>
        <v>0.2655367231638418</v>
      </c>
      <c r="K22" s="4167">
        <f t="shared" si="3"/>
        <v>0.28767123287671231</v>
      </c>
      <c r="L22" s="4167">
        <f t="shared" si="3"/>
        <v>0.2253968253968254</v>
      </c>
      <c r="M22" s="4167">
        <f t="shared" si="3"/>
        <v>0.22608695652173913</v>
      </c>
      <c r="N22" s="4167">
        <f t="shared" si="3"/>
        <v>0.16155988857938719</v>
      </c>
      <c r="O22" s="4167">
        <f t="shared" si="3"/>
        <v>0.15531335149863759</v>
      </c>
      <c r="P22" s="4167">
        <f t="shared" si="3"/>
        <v>0.16576086956521738</v>
      </c>
      <c r="Q22" s="4167">
        <f t="shared" si="3"/>
        <v>0.20846905537459284</v>
      </c>
      <c r="R22" s="4167">
        <f t="shared" si="3"/>
        <v>0.21926910299003322</v>
      </c>
      <c r="S22" s="4167">
        <f t="shared" si="3"/>
        <v>0.21305841924398625</v>
      </c>
      <c r="T22" s="4168">
        <f t="shared" si="3"/>
        <v>0.21232876712328766</v>
      </c>
      <c r="U22" s="4169">
        <f t="shared" si="3"/>
        <v>0.27692307692307694</v>
      </c>
      <c r="V22" s="4168">
        <f t="shared" si="3"/>
        <v>0.32452830188679244</v>
      </c>
      <c r="W22" s="4168">
        <f t="shared" si="3"/>
        <v>0.32307692307692309</v>
      </c>
    </row>
    <row r="23" spans="1:23" s="1265" customFormat="1" ht="15.75" customHeight="1" x14ac:dyDescent="0.2">
      <c r="A23" s="1259"/>
      <c r="B23" s="1260"/>
      <c r="C23" s="1260"/>
      <c r="D23" s="1270"/>
      <c r="E23" s="4170"/>
      <c r="F23" s="2246"/>
      <c r="G23" s="2246"/>
      <c r="H23" s="2246"/>
      <c r="I23" s="2246"/>
      <c r="J23" s="2246"/>
      <c r="K23" s="2246"/>
      <c r="L23" s="2246"/>
      <c r="M23" s="2246"/>
      <c r="N23" s="2246"/>
      <c r="O23" s="2246"/>
      <c r="P23" s="2246"/>
      <c r="Q23" s="2246"/>
      <c r="R23" s="4171"/>
      <c r="S23" s="4171"/>
    </row>
    <row r="24" spans="1:23" s="1265" customFormat="1" ht="15.75" customHeight="1" x14ac:dyDescent="0.2">
      <c r="A24" s="1259"/>
      <c r="B24" s="1260"/>
      <c r="C24" s="1260"/>
      <c r="D24" s="1270"/>
      <c r="E24" s="4170"/>
      <c r="F24" s="2246"/>
      <c r="G24" s="2246"/>
      <c r="H24" s="2246"/>
      <c r="I24" s="2246"/>
      <c r="J24" s="2246"/>
      <c r="K24" s="2246"/>
      <c r="L24" s="2246"/>
      <c r="M24" s="2246"/>
    </row>
    <row r="25" spans="1:23" s="1265" customFormat="1" ht="15.75" customHeight="1" x14ac:dyDescent="0.2">
      <c r="A25" s="1259"/>
      <c r="B25" s="1260"/>
      <c r="C25" s="1260"/>
      <c r="D25" s="1270"/>
      <c r="E25" s="4170"/>
      <c r="F25" s="2246"/>
      <c r="G25" s="2246"/>
      <c r="H25" s="2246"/>
      <c r="I25" s="2246"/>
      <c r="J25" s="2246"/>
      <c r="K25" s="2246"/>
      <c r="L25" s="2246"/>
      <c r="M25" s="2246"/>
    </row>
    <row r="26" spans="1:23" s="1265" customFormat="1" ht="15.75" customHeight="1" x14ac:dyDescent="0.2">
      <c r="A26" s="1259"/>
      <c r="B26" s="1260"/>
      <c r="C26" s="1260"/>
      <c r="D26" s="1270"/>
      <c r="E26" s="4170"/>
      <c r="F26" s="2246"/>
      <c r="G26" s="2246"/>
      <c r="H26" s="2246"/>
      <c r="I26" s="2246"/>
      <c r="J26" s="2246"/>
      <c r="K26" s="2246"/>
      <c r="L26" s="2246"/>
      <c r="M26" s="2246"/>
    </row>
    <row r="27" spans="1:23" s="1265" customFormat="1" ht="15.75" customHeight="1" x14ac:dyDescent="0.2">
      <c r="A27" s="1259"/>
      <c r="B27" s="1260"/>
      <c r="C27" s="1260"/>
      <c r="D27" s="1270"/>
      <c r="E27" s="4170"/>
      <c r="F27" s="2246"/>
      <c r="G27" s="2246"/>
      <c r="H27" s="2246"/>
      <c r="I27" s="2246"/>
      <c r="J27" s="2246"/>
      <c r="K27" s="2246"/>
      <c r="L27" s="2246"/>
      <c r="M27" s="2246"/>
    </row>
    <row r="28" spans="1:23" s="1265" customFormat="1" ht="15.75" customHeight="1" x14ac:dyDescent="0.2">
      <c r="A28" s="1259"/>
      <c r="B28" s="1260"/>
      <c r="C28" s="1260"/>
      <c r="D28" s="1270"/>
      <c r="E28" s="4170"/>
      <c r="F28" s="2246"/>
      <c r="G28" s="2246"/>
      <c r="H28" s="2246"/>
      <c r="I28" s="2246"/>
      <c r="J28" s="2246"/>
      <c r="K28" s="2246"/>
      <c r="L28" s="2246"/>
      <c r="M28" s="2246"/>
    </row>
    <row r="29" spans="1:23" s="1265" customFormat="1" ht="15.75" customHeight="1" x14ac:dyDescent="0.2">
      <c r="A29" s="1259"/>
      <c r="B29" s="1260"/>
      <c r="C29" s="1260"/>
      <c r="D29" s="1270"/>
      <c r="E29" s="4170"/>
      <c r="F29" s="2246"/>
      <c r="G29" s="2246"/>
      <c r="H29" s="2246"/>
      <c r="I29" s="2246"/>
      <c r="J29" s="2246"/>
      <c r="K29" s="2246"/>
      <c r="L29" s="2246"/>
      <c r="M29" s="2246"/>
    </row>
    <row r="30" spans="1:23" s="1265" customFormat="1" ht="15.75" customHeight="1" x14ac:dyDescent="0.2">
      <c r="A30" s="1259"/>
      <c r="B30" s="1260"/>
      <c r="C30" s="1260"/>
      <c r="D30" s="1270"/>
      <c r="E30" s="4170"/>
      <c r="F30" s="2246"/>
      <c r="G30" s="2246"/>
      <c r="H30" s="2246"/>
      <c r="I30" s="2246"/>
      <c r="J30" s="2246"/>
      <c r="K30" s="2246"/>
      <c r="L30" s="2246"/>
      <c r="M30" s="2246"/>
    </row>
    <row r="31" spans="1:23" s="1265" customFormat="1" ht="15.75" customHeight="1" x14ac:dyDescent="0.2">
      <c r="A31" s="1259"/>
      <c r="B31" s="1260"/>
      <c r="C31" s="1260"/>
      <c r="D31" s="1270"/>
      <c r="E31" s="4170"/>
      <c r="F31" s="2246"/>
      <c r="G31" s="2246"/>
      <c r="H31" s="2246"/>
      <c r="I31" s="2246"/>
      <c r="J31" s="2246"/>
      <c r="K31" s="2246"/>
      <c r="L31" s="2246"/>
      <c r="M31" s="2246"/>
    </row>
    <row r="32" spans="1:23" s="1265" customFormat="1" ht="15.75" customHeight="1" x14ac:dyDescent="0.2">
      <c r="A32" s="1259"/>
      <c r="B32" s="1260"/>
      <c r="C32" s="1260"/>
      <c r="D32" s="1270"/>
      <c r="E32" s="4170"/>
      <c r="F32" s="2246"/>
      <c r="G32" s="2246"/>
      <c r="H32" s="2246"/>
      <c r="I32" s="2246"/>
      <c r="J32" s="2246"/>
      <c r="K32" s="2246"/>
      <c r="L32" s="2246"/>
      <c r="M32" s="2246"/>
    </row>
    <row r="33" spans="1:22" s="1265" customFormat="1" ht="15.75" customHeight="1" x14ac:dyDescent="0.2">
      <c r="A33" s="1259"/>
      <c r="B33" s="1260"/>
      <c r="C33" s="1260"/>
      <c r="D33" s="1270"/>
      <c r="E33" s="4170"/>
      <c r="F33" s="2246"/>
      <c r="G33" s="2246"/>
      <c r="H33" s="2246"/>
      <c r="I33" s="2246"/>
      <c r="J33" s="2246"/>
      <c r="K33" s="2246"/>
      <c r="L33" s="2246"/>
      <c r="M33" s="2246"/>
    </row>
    <row r="34" spans="1:22" s="1265" customFormat="1" ht="15.75" customHeight="1" x14ac:dyDescent="0.2">
      <c r="A34" s="1259"/>
      <c r="B34" s="1260"/>
      <c r="C34" s="1260"/>
      <c r="D34" s="1270"/>
      <c r="E34" s="4170"/>
      <c r="F34" s="2246"/>
      <c r="G34" s="2246"/>
      <c r="H34" s="2246"/>
      <c r="I34" s="2246"/>
      <c r="J34" s="2246"/>
      <c r="K34" s="2246"/>
      <c r="L34" s="2246"/>
      <c r="M34" s="2246"/>
    </row>
    <row r="35" spans="1:22" s="1265" customFormat="1" ht="15.75" customHeight="1" x14ac:dyDescent="0.2">
      <c r="A35" s="1259"/>
      <c r="B35" s="1260"/>
      <c r="C35" s="1260"/>
      <c r="D35" s="1270"/>
      <c r="E35" s="4170"/>
      <c r="F35" s="2246"/>
      <c r="G35" s="2246"/>
      <c r="H35" s="2246"/>
      <c r="I35" s="2246"/>
      <c r="J35" s="2246"/>
      <c r="K35" s="2246"/>
      <c r="L35" s="2246"/>
      <c r="M35" s="2246"/>
    </row>
    <row r="36" spans="1:22" ht="11.25" customHeight="1" x14ac:dyDescent="0.25">
      <c r="D36" s="1270"/>
      <c r="E36" s="4170"/>
      <c r="F36" s="2246"/>
      <c r="G36" s="2246"/>
      <c r="H36" s="2246"/>
      <c r="I36" s="2246"/>
      <c r="J36" s="2246"/>
      <c r="K36" s="4172"/>
      <c r="L36" s="4172"/>
      <c r="M36" s="4172"/>
    </row>
    <row r="37" spans="1:22" s="1764" customFormat="1" ht="14" x14ac:dyDescent="0.3">
      <c r="A37" s="1255"/>
      <c r="B37" s="1255"/>
      <c r="C37" s="1255"/>
      <c r="D37" s="4173"/>
      <c r="E37" s="1257"/>
      <c r="F37" s="1258"/>
      <c r="G37" s="1258"/>
      <c r="H37" s="1258"/>
      <c r="I37" s="1258"/>
      <c r="J37" s="1258"/>
      <c r="K37" s="1257"/>
      <c r="L37" s="1257"/>
      <c r="M37" s="1257"/>
      <c r="N37" s="1257"/>
    </row>
    <row r="38" spans="1:22" s="1764" customFormat="1" ht="14" x14ac:dyDescent="0.3">
      <c r="A38" s="1255"/>
      <c r="B38" s="1255"/>
      <c r="C38" s="1255"/>
      <c r="D38" s="4173"/>
      <c r="E38" s="1257"/>
      <c r="F38" s="1258"/>
      <c r="G38" s="1258"/>
      <c r="H38" s="1258"/>
      <c r="I38" s="1258"/>
      <c r="J38" s="1258"/>
      <c r="K38" s="1257"/>
      <c r="L38" s="1257"/>
      <c r="M38" s="1257"/>
      <c r="N38" s="1257"/>
    </row>
    <row r="39" spans="1:22" s="1764" customFormat="1" ht="15" customHeight="1" x14ac:dyDescent="0.3">
      <c r="A39" s="1255">
        <v>5</v>
      </c>
      <c r="B39" s="1255" t="s">
        <v>58</v>
      </c>
      <c r="C39" s="1255"/>
      <c r="D39" s="4733" t="s">
        <v>1734</v>
      </c>
      <c r="E39" s="4734"/>
      <c r="F39" s="4734"/>
      <c r="G39" s="4734"/>
      <c r="H39" s="4734"/>
      <c r="I39" s="4734"/>
      <c r="J39" s="4734"/>
      <c r="K39" s="4734"/>
      <c r="L39" s="4734"/>
      <c r="M39" s="4734"/>
      <c r="N39" s="4734"/>
      <c r="O39" s="4734"/>
      <c r="P39" s="4734"/>
      <c r="Q39" s="4734"/>
      <c r="R39" s="4734"/>
      <c r="S39" s="4734"/>
      <c r="T39" s="4734"/>
      <c r="U39" s="4734"/>
      <c r="V39" s="4735"/>
    </row>
    <row r="40" spans="1:22" s="1764" customFormat="1" ht="90" customHeight="1" x14ac:dyDescent="0.3">
      <c r="A40" s="1306">
        <v>6</v>
      </c>
      <c r="B40" s="1306" t="s">
        <v>60</v>
      </c>
      <c r="C40" s="1306"/>
      <c r="D40" s="5084" t="s">
        <v>1735</v>
      </c>
      <c r="E40" s="5085"/>
      <c r="F40" s="5085"/>
      <c r="G40" s="5085"/>
      <c r="H40" s="5085"/>
      <c r="I40" s="5085"/>
      <c r="J40" s="5085"/>
      <c r="K40" s="5085"/>
      <c r="L40" s="5085"/>
      <c r="M40" s="5085"/>
      <c r="N40" s="5085"/>
      <c r="O40" s="5085"/>
      <c r="P40" s="5085"/>
      <c r="Q40" s="5085"/>
      <c r="R40" s="5085"/>
      <c r="S40" s="5085"/>
      <c r="T40" s="5085"/>
      <c r="U40" s="5085"/>
      <c r="V40" s="5086"/>
    </row>
    <row r="41" spans="1:22" s="1764" customFormat="1" ht="14.25" customHeight="1" x14ac:dyDescent="0.3">
      <c r="A41" s="1255">
        <v>7</v>
      </c>
      <c r="B41" s="1255" t="s">
        <v>62</v>
      </c>
      <c r="C41" s="1255"/>
      <c r="D41" s="4733" t="s">
        <v>1736</v>
      </c>
      <c r="E41" s="4734"/>
      <c r="F41" s="4734"/>
      <c r="G41" s="4734"/>
      <c r="H41" s="4734"/>
      <c r="I41" s="4734"/>
      <c r="J41" s="4734"/>
      <c r="K41" s="4734"/>
      <c r="L41" s="4734"/>
      <c r="M41" s="4734"/>
      <c r="N41" s="4734"/>
      <c r="O41" s="4734"/>
      <c r="P41" s="4734"/>
      <c r="Q41" s="4734"/>
      <c r="R41" s="4734"/>
      <c r="S41" s="4734"/>
      <c r="T41" s="4734"/>
      <c r="U41" s="4734"/>
      <c r="V41" s="4735"/>
    </row>
    <row r="42" spans="1:22" s="1764" customFormat="1" ht="15" customHeight="1" x14ac:dyDescent="0.3">
      <c r="A42" s="1255"/>
    </row>
    <row r="43" spans="1:22" x14ac:dyDescent="0.25">
      <c r="A43" s="4174"/>
    </row>
    <row r="44" spans="1:22" x14ac:dyDescent="0.25">
      <c r="A44" s="4174"/>
    </row>
    <row r="46" spans="1:22" ht="13" x14ac:dyDescent="0.3">
      <c r="D46" s="1629"/>
      <c r="E46" s="1629"/>
      <c r="F46" s="1622"/>
      <c r="G46" s="2175"/>
      <c r="H46" s="1622"/>
      <c r="I46" s="1622"/>
      <c r="J46" s="756"/>
      <c r="K46" s="1270"/>
      <c r="L46" s="1270"/>
      <c r="M46" s="1270"/>
      <c r="N46" s="3012"/>
      <c r="O46" s="3012"/>
    </row>
    <row r="47" spans="1:22" x14ac:dyDescent="0.25">
      <c r="D47" s="785"/>
      <c r="E47" s="785"/>
      <c r="F47" s="1622"/>
      <c r="G47" s="1622"/>
      <c r="H47" s="1622"/>
      <c r="I47" s="1622"/>
      <c r="J47" s="1622"/>
      <c r="K47" s="1622"/>
      <c r="L47" s="1622"/>
      <c r="M47" s="1622"/>
      <c r="N47" s="3012"/>
      <c r="O47" s="3012"/>
    </row>
    <row r="48" spans="1:22" x14ac:dyDescent="0.25">
      <c r="D48" s="1270"/>
      <c r="E48" s="4617"/>
      <c r="F48" s="2246"/>
      <c r="G48" s="2246"/>
      <c r="H48" s="2246"/>
      <c r="I48" s="2246"/>
      <c r="J48" s="2246"/>
      <c r="K48" s="2246"/>
      <c r="L48" s="2246"/>
      <c r="M48" s="2246"/>
      <c r="N48" s="3012"/>
      <c r="O48" s="3012"/>
    </row>
    <row r="49" spans="4:16" x14ac:dyDescent="0.25">
      <c r="D49" s="1270"/>
      <c r="E49" s="4618"/>
      <c r="F49" s="2246"/>
      <c r="G49" s="2246"/>
      <c r="H49" s="2246"/>
      <c r="I49" s="2246"/>
      <c r="J49" s="2246"/>
      <c r="K49" s="2246"/>
      <c r="L49" s="2246"/>
      <c r="M49" s="2246"/>
      <c r="N49" s="3012"/>
      <c r="O49" s="3012"/>
    </row>
    <row r="50" spans="4:16" x14ac:dyDescent="0.25">
      <c r="D50" s="1270"/>
      <c r="E50" s="2246"/>
      <c r="F50" s="2246"/>
      <c r="G50" s="2246"/>
      <c r="H50" s="2246"/>
      <c r="I50" s="2246"/>
      <c r="J50" s="2246"/>
      <c r="K50" s="2246"/>
      <c r="L50" s="2246"/>
      <c r="M50" s="2246"/>
      <c r="N50" s="3012"/>
      <c r="O50" s="3012"/>
    </row>
    <row r="51" spans="4:16" x14ac:dyDescent="0.25">
      <c r="D51" s="1270"/>
      <c r="E51" s="4170"/>
      <c r="F51" s="2246"/>
      <c r="G51" s="2246"/>
      <c r="H51" s="2246"/>
      <c r="I51" s="2246"/>
      <c r="J51" s="2246"/>
      <c r="K51" s="2246"/>
      <c r="L51" s="2246"/>
      <c r="M51" s="2246"/>
      <c r="N51" s="3012"/>
      <c r="O51" s="3012"/>
    </row>
    <row r="52" spans="4:16" x14ac:dyDescent="0.25">
      <c r="D52" s="3012"/>
      <c r="E52" s="3012"/>
      <c r="F52" s="4619"/>
      <c r="G52" s="4619"/>
      <c r="H52" s="4619"/>
      <c r="I52" s="4619"/>
      <c r="J52" s="4619"/>
      <c r="K52" s="3012"/>
      <c r="L52" s="3012"/>
      <c r="M52" s="3012"/>
      <c r="N52" s="3012"/>
      <c r="O52" s="4175"/>
      <c r="P52" s="4175"/>
    </row>
    <row r="53" spans="4:16" x14ac:dyDescent="0.25">
      <c r="D53" s="3012"/>
      <c r="E53" s="3012"/>
      <c r="F53" s="4619"/>
      <c r="G53" s="4619"/>
      <c r="H53" s="4619"/>
      <c r="I53" s="4619"/>
      <c r="J53" s="4619"/>
      <c r="K53" s="3012"/>
      <c r="L53" s="3012"/>
      <c r="M53" s="3012"/>
      <c r="N53" s="3012"/>
      <c r="O53" s="3012"/>
    </row>
    <row r="54" spans="4:16" x14ac:dyDescent="0.25">
      <c r="D54" s="3012"/>
      <c r="E54" s="3012"/>
      <c r="F54" s="4619"/>
      <c r="G54" s="4619"/>
      <c r="H54" s="4619"/>
      <c r="I54" s="4619"/>
      <c r="J54" s="4619"/>
      <c r="K54" s="3012"/>
      <c r="L54" s="3012"/>
      <c r="M54" s="3012"/>
      <c r="N54" s="3012"/>
      <c r="O54" s="3012"/>
    </row>
  </sheetData>
  <mergeCells count="6">
    <mergeCell ref="D41:V41"/>
    <mergeCell ref="D2:V2"/>
    <mergeCell ref="D3:V3"/>
    <mergeCell ref="D4:V4"/>
    <mergeCell ref="D39:V39"/>
    <mergeCell ref="D40:V40"/>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CQ71"/>
  <sheetViews>
    <sheetView showGridLines="0" view="pageBreakPreview" zoomScaleNormal="100" zoomScaleSheetLayoutView="100" workbookViewId="0">
      <selection activeCell="B19" sqref="B19"/>
    </sheetView>
  </sheetViews>
  <sheetFormatPr defaultColWidth="9.1796875" defaultRowHeight="14.5" x14ac:dyDescent="0.35"/>
  <cols>
    <col min="1" max="1" width="3.81640625" style="305" customWidth="1"/>
    <col min="2" max="2" width="14.453125" style="306" customWidth="1"/>
    <col min="3" max="3" width="3.81640625" style="307" customWidth="1"/>
    <col min="4" max="4" width="18.1796875" style="309" customWidth="1"/>
    <col min="5" max="5" width="5.1796875" style="309" customWidth="1"/>
    <col min="6" max="25" width="5.453125" style="309" customWidth="1"/>
    <col min="26" max="26" width="5.81640625" style="309" customWidth="1"/>
    <col min="27" max="96" width="4.81640625" style="309" customWidth="1"/>
    <col min="97" max="16384" width="9.1796875" style="309"/>
  </cols>
  <sheetData>
    <row r="1" spans="1:58" x14ac:dyDescent="0.35">
      <c r="D1" s="308"/>
      <c r="E1" s="308"/>
      <c r="F1" s="308"/>
      <c r="G1" s="308"/>
      <c r="H1" s="308"/>
      <c r="I1" s="308"/>
      <c r="J1" s="308"/>
      <c r="K1" s="308"/>
      <c r="L1" s="308"/>
      <c r="M1" s="308"/>
      <c r="N1" s="308"/>
      <c r="O1" s="308"/>
      <c r="P1" s="308"/>
      <c r="Q1" s="308"/>
      <c r="R1" s="308"/>
      <c r="S1" s="308"/>
      <c r="T1" s="308"/>
      <c r="U1" s="308"/>
    </row>
    <row r="2" spans="1:58" ht="15" customHeight="1" x14ac:dyDescent="0.35">
      <c r="A2" s="305">
        <v>1</v>
      </c>
      <c r="B2" s="310" t="s">
        <v>0</v>
      </c>
      <c r="C2" s="86">
        <f>1+[2]Interest!C2</f>
        <v>8</v>
      </c>
      <c r="D2" s="4648" t="s">
        <v>155</v>
      </c>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50"/>
      <c r="AD2" s="311"/>
    </row>
    <row r="3" spans="1:58" ht="15" customHeight="1" x14ac:dyDescent="0.35">
      <c r="A3" s="305">
        <v>2</v>
      </c>
      <c r="B3" s="310" t="s">
        <v>2</v>
      </c>
      <c r="C3" s="305"/>
      <c r="D3" s="4648" t="s">
        <v>136</v>
      </c>
      <c r="E3" s="4649"/>
      <c r="F3" s="4649"/>
      <c r="G3" s="4649"/>
      <c r="H3" s="4649"/>
      <c r="I3" s="4649"/>
      <c r="J3" s="4649"/>
      <c r="K3" s="4649"/>
      <c r="L3" s="4649"/>
      <c r="M3" s="4649"/>
      <c r="N3" s="4649"/>
      <c r="O3" s="4649"/>
      <c r="P3" s="4649"/>
      <c r="Q3" s="4649"/>
      <c r="R3" s="4649"/>
      <c r="S3" s="4649"/>
      <c r="T3" s="4649"/>
      <c r="U3" s="4649"/>
      <c r="V3" s="4649"/>
      <c r="W3" s="4649"/>
      <c r="X3" s="4649"/>
      <c r="Y3" s="4649"/>
      <c r="Z3" s="4649"/>
      <c r="AA3" s="4649"/>
      <c r="AB3" s="4649"/>
      <c r="AC3" s="4650"/>
    </row>
    <row r="4" spans="1:58" ht="15" customHeight="1" x14ac:dyDescent="0.35">
      <c r="A4" s="305">
        <v>3</v>
      </c>
      <c r="B4" s="310" t="s">
        <v>4</v>
      </c>
      <c r="C4" s="305"/>
      <c r="D4" s="4648" t="s">
        <v>156</v>
      </c>
      <c r="E4" s="4649"/>
      <c r="F4" s="4649"/>
      <c r="G4" s="4649"/>
      <c r="H4" s="4649"/>
      <c r="I4" s="4649"/>
      <c r="J4" s="4649"/>
      <c r="K4" s="4649"/>
      <c r="L4" s="4649"/>
      <c r="M4" s="4649"/>
      <c r="N4" s="4649"/>
      <c r="O4" s="4649"/>
      <c r="P4" s="4649"/>
      <c r="Q4" s="4649"/>
      <c r="R4" s="4649"/>
      <c r="S4" s="4649"/>
      <c r="T4" s="4649"/>
      <c r="U4" s="4649"/>
      <c r="V4" s="4649"/>
      <c r="W4" s="4649"/>
      <c r="X4" s="4649"/>
      <c r="Y4" s="4649"/>
      <c r="Z4" s="4649"/>
      <c r="AA4" s="4649"/>
      <c r="AB4" s="4649"/>
      <c r="AC4" s="4650"/>
    </row>
    <row r="5" spans="1:58" s="4" customFormat="1" ht="14.25" customHeight="1" x14ac:dyDescent="0.35">
      <c r="A5" s="86"/>
      <c r="B5" s="87"/>
      <c r="C5" s="86"/>
      <c r="D5" s="4678"/>
      <c r="E5" s="4678"/>
      <c r="F5" s="4678"/>
      <c r="G5" s="4678"/>
      <c r="H5" s="4678"/>
      <c r="I5" s="4678"/>
      <c r="J5" s="4678"/>
      <c r="K5" s="4678"/>
      <c r="L5" s="4678"/>
      <c r="M5" s="4678"/>
      <c r="N5" s="4678"/>
      <c r="O5" s="4678"/>
      <c r="P5" s="4678"/>
      <c r="Q5" s="4678"/>
      <c r="R5" s="4678"/>
      <c r="S5" s="4678"/>
      <c r="T5" s="4678"/>
      <c r="U5" s="4678"/>
      <c r="V5" s="4678"/>
      <c r="W5" s="4678"/>
      <c r="X5" s="4678"/>
      <c r="Y5" s="4678"/>
      <c r="Z5" s="4678"/>
      <c r="AA5" s="4678"/>
      <c r="AB5" s="4678"/>
      <c r="AC5" s="8"/>
      <c r="AD5" s="8"/>
      <c r="AE5" s="8"/>
      <c r="AF5" s="8"/>
      <c r="AG5" s="8"/>
      <c r="AH5" s="8"/>
      <c r="AI5" s="8"/>
      <c r="AJ5" s="8"/>
      <c r="AK5" s="8"/>
      <c r="AL5" s="8"/>
      <c r="AM5" s="8"/>
      <c r="AN5" s="8"/>
      <c r="AO5" s="8"/>
      <c r="AP5" s="8"/>
      <c r="AQ5" s="8"/>
      <c r="AR5" s="8"/>
      <c r="AS5" s="8"/>
      <c r="AT5" s="12"/>
      <c r="AU5" s="12"/>
      <c r="AV5" s="12"/>
      <c r="AW5" s="12"/>
      <c r="AX5" s="12"/>
      <c r="AY5" s="12"/>
      <c r="AZ5" s="12"/>
      <c r="BA5" s="12"/>
      <c r="BB5" s="12"/>
      <c r="BC5" s="12"/>
      <c r="BD5" s="12"/>
      <c r="BE5" s="12"/>
      <c r="BF5" s="12"/>
    </row>
    <row r="6" spans="1:58" x14ac:dyDescent="0.35">
      <c r="A6" s="305">
        <v>4</v>
      </c>
      <c r="B6" s="88" t="s">
        <v>6</v>
      </c>
      <c r="D6" s="312" t="s">
        <v>85</v>
      </c>
      <c r="E6" s="313"/>
      <c r="F6" s="313" t="s">
        <v>157</v>
      </c>
      <c r="G6" s="313"/>
      <c r="H6" s="313"/>
      <c r="I6" s="313"/>
      <c r="J6" s="313"/>
      <c r="K6" s="313"/>
      <c r="L6" s="313"/>
      <c r="M6" s="313"/>
      <c r="N6" s="314"/>
      <c r="O6" s="314"/>
      <c r="P6" s="314"/>
      <c r="Q6" s="314"/>
      <c r="R6" s="314"/>
      <c r="S6" s="308"/>
      <c r="T6" s="308"/>
      <c r="U6" s="308"/>
      <c r="V6" s="311"/>
      <c r="W6" s="311"/>
      <c r="X6" s="311"/>
      <c r="Y6" s="311"/>
      <c r="Z6" s="311"/>
      <c r="AA6" s="311"/>
      <c r="AB6" s="311"/>
      <c r="AC6" s="311"/>
      <c r="AD6" s="311"/>
    </row>
    <row r="7" spans="1:58" x14ac:dyDescent="0.35">
      <c r="D7" s="315" t="s">
        <v>158</v>
      </c>
      <c r="E7" s="316" t="s">
        <v>8</v>
      </c>
      <c r="F7" s="316" t="s">
        <v>9</v>
      </c>
      <c r="G7" s="316" t="s">
        <v>10</v>
      </c>
      <c r="H7" s="316" t="s">
        <v>11</v>
      </c>
      <c r="I7" s="316" t="s">
        <v>12</v>
      </c>
      <c r="J7" s="316" t="s">
        <v>13</v>
      </c>
      <c r="K7" s="316" t="s">
        <v>14</v>
      </c>
      <c r="L7" s="316" t="s">
        <v>15</v>
      </c>
      <c r="M7" s="316" t="s">
        <v>16</v>
      </c>
      <c r="N7" s="316" t="s">
        <v>17</v>
      </c>
      <c r="O7" s="316" t="s">
        <v>18</v>
      </c>
      <c r="P7" s="316" t="s">
        <v>19</v>
      </c>
      <c r="Q7" s="316" t="s">
        <v>20</v>
      </c>
      <c r="R7" s="316" t="s">
        <v>21</v>
      </c>
      <c r="S7" s="316" t="s">
        <v>22</v>
      </c>
      <c r="T7" s="316" t="s">
        <v>23</v>
      </c>
      <c r="U7" s="316" t="s">
        <v>24</v>
      </c>
      <c r="V7" s="316" t="s">
        <v>25</v>
      </c>
      <c r="W7" s="316" t="s">
        <v>26</v>
      </c>
      <c r="X7" s="316" t="s">
        <v>27</v>
      </c>
      <c r="Y7" s="316" t="s">
        <v>28</v>
      </c>
      <c r="Z7" s="316" t="s">
        <v>29</v>
      </c>
      <c r="AA7" s="316" t="s">
        <v>30</v>
      </c>
      <c r="AB7" s="317" t="s">
        <v>31</v>
      </c>
      <c r="AC7" s="317" t="s">
        <v>32</v>
      </c>
      <c r="AD7" s="318" t="s">
        <v>33</v>
      </c>
    </row>
    <row r="8" spans="1:58" s="326" customFormat="1" ht="12.75" customHeight="1" x14ac:dyDescent="0.2">
      <c r="A8" s="319"/>
      <c r="B8" s="320"/>
      <c r="C8" s="319"/>
      <c r="D8" s="321" t="s">
        <v>159</v>
      </c>
      <c r="E8" s="322">
        <v>9</v>
      </c>
      <c r="F8" s="322">
        <v>8.6999999999999993</v>
      </c>
      <c r="G8" s="323">
        <v>7.4</v>
      </c>
      <c r="H8" s="323">
        <v>8.6</v>
      </c>
      <c r="I8" s="323">
        <v>6.9</v>
      </c>
      <c r="J8" s="323">
        <v>5.0999999999999996</v>
      </c>
      <c r="K8" s="323">
        <v>5.3</v>
      </c>
      <c r="L8" s="323">
        <v>5.7</v>
      </c>
      <c r="M8" s="323">
        <v>9.1999999999999993</v>
      </c>
      <c r="N8" s="323">
        <v>5.8</v>
      </c>
      <c r="O8" s="323">
        <v>1.4</v>
      </c>
      <c r="P8" s="323">
        <v>3.4</v>
      </c>
      <c r="Q8" s="323">
        <v>4.7</v>
      </c>
      <c r="R8" s="323">
        <v>7.1</v>
      </c>
      <c r="S8" s="323">
        <v>11.5</v>
      </c>
      <c r="T8" s="323">
        <v>7.1</v>
      </c>
      <c r="U8" s="323">
        <v>4.3</v>
      </c>
      <c r="V8" s="323">
        <v>5</v>
      </c>
      <c r="W8" s="323">
        <v>5.6</v>
      </c>
      <c r="X8" s="323">
        <v>5.7</v>
      </c>
      <c r="Y8" s="323">
        <v>6.1</v>
      </c>
      <c r="Z8" s="323">
        <v>4.5999999999999996</v>
      </c>
      <c r="AA8" s="323">
        <v>6.4</v>
      </c>
      <c r="AB8" s="324">
        <v>5.3</v>
      </c>
      <c r="AC8" s="324">
        <v>4.7</v>
      </c>
      <c r="AD8" s="325">
        <v>4.0999999999999996</v>
      </c>
    </row>
    <row r="9" spans="1:58" s="326" customFormat="1" ht="12.75" customHeight="1" x14ac:dyDescent="0.35">
      <c r="A9" s="319"/>
      <c r="B9" s="320"/>
      <c r="C9" s="319"/>
      <c r="D9" s="327"/>
      <c r="E9" s="327"/>
      <c r="F9" s="328"/>
      <c r="G9" s="328"/>
      <c r="H9" s="328"/>
      <c r="I9" s="328"/>
      <c r="J9" s="328"/>
      <c r="K9" s="328"/>
      <c r="L9" s="328"/>
      <c r="M9" s="328"/>
      <c r="N9" s="328"/>
      <c r="O9" s="328"/>
      <c r="P9" s="328"/>
      <c r="Q9" s="328"/>
      <c r="R9" s="328"/>
      <c r="S9" s="327"/>
      <c r="T9" s="226"/>
      <c r="U9" s="226"/>
      <c r="V9" s="226"/>
      <c r="W9" s="226"/>
      <c r="X9" s="137"/>
      <c r="Y9" s="226"/>
      <c r="Z9" s="329"/>
    </row>
    <row r="10" spans="1:58" s="326" customFormat="1" ht="12.75" customHeight="1" x14ac:dyDescent="0.35">
      <c r="A10" s="319"/>
      <c r="B10" s="320"/>
      <c r="C10" s="319"/>
      <c r="D10" s="327"/>
      <c r="E10" s="327"/>
      <c r="F10" s="328"/>
      <c r="G10" s="328"/>
      <c r="H10" s="328"/>
      <c r="I10" s="328"/>
      <c r="J10" s="328"/>
      <c r="K10" s="328"/>
      <c r="L10" s="328"/>
      <c r="M10" s="328"/>
      <c r="N10" s="328"/>
      <c r="O10" s="328"/>
      <c r="P10" s="328"/>
      <c r="Q10" s="328"/>
      <c r="R10" s="328"/>
      <c r="S10" s="327"/>
      <c r="T10" s="327"/>
      <c r="U10" s="328"/>
      <c r="V10" s="241"/>
      <c r="W10" s="241"/>
      <c r="X10" s="241"/>
      <c r="Z10" s="329"/>
    </row>
    <row r="11" spans="1:58" s="326" customFormat="1" ht="12.75" customHeight="1" x14ac:dyDescent="0.35">
      <c r="A11" s="319"/>
      <c r="B11" s="320"/>
      <c r="C11" s="319"/>
      <c r="D11" s="327"/>
      <c r="E11" s="327"/>
      <c r="F11" s="328"/>
      <c r="G11" s="328"/>
      <c r="H11" s="328"/>
      <c r="I11" s="328"/>
      <c r="J11" s="328"/>
      <c r="K11" s="328"/>
      <c r="L11" s="328"/>
      <c r="M11" s="328"/>
      <c r="N11" s="328"/>
      <c r="O11" s="328"/>
      <c r="P11" s="328"/>
      <c r="Q11" s="328"/>
      <c r="R11" s="328"/>
      <c r="S11" s="327"/>
      <c r="T11" s="327"/>
      <c r="U11" s="328"/>
      <c r="V11" s="241"/>
      <c r="W11" s="241"/>
      <c r="X11" s="241"/>
      <c r="Z11" s="329"/>
    </row>
    <row r="12" spans="1:58" x14ac:dyDescent="0.35">
      <c r="D12" s="308"/>
      <c r="E12" s="308"/>
      <c r="F12" s="330"/>
      <c r="G12" s="330"/>
      <c r="H12" s="330"/>
      <c r="I12" s="330"/>
      <c r="J12" s="330"/>
      <c r="K12" s="330"/>
      <c r="L12" s="330"/>
      <c r="M12" s="330"/>
      <c r="N12" s="330"/>
      <c r="O12" s="330"/>
      <c r="P12" s="330"/>
      <c r="Q12" s="330"/>
      <c r="R12" s="314"/>
      <c r="S12" s="308"/>
      <c r="T12" s="308"/>
      <c r="U12" s="308"/>
      <c r="Z12" s="331"/>
    </row>
    <row r="13" spans="1:58" x14ac:dyDescent="0.35">
      <c r="A13" s="305">
        <v>5</v>
      </c>
      <c r="B13" s="310" t="s">
        <v>56</v>
      </c>
      <c r="C13" s="305"/>
      <c r="D13" s="308"/>
      <c r="E13" s="308"/>
      <c r="F13" s="330"/>
      <c r="G13" s="330"/>
      <c r="H13" s="330"/>
      <c r="I13" s="330"/>
      <c r="J13" s="330"/>
      <c r="K13" s="330"/>
      <c r="L13" s="330"/>
      <c r="M13" s="330"/>
      <c r="N13" s="330"/>
      <c r="O13" s="330"/>
      <c r="P13" s="330"/>
      <c r="Q13" s="330"/>
      <c r="R13" s="308"/>
      <c r="S13" s="308"/>
      <c r="T13" s="308"/>
      <c r="U13" s="308"/>
      <c r="Z13" s="331"/>
      <c r="AD13" s="326"/>
    </row>
    <row r="14" spans="1:58" x14ac:dyDescent="0.35">
      <c r="D14" s="308"/>
      <c r="E14" s="308"/>
      <c r="F14" s="330"/>
      <c r="G14" s="330"/>
      <c r="H14" s="330"/>
      <c r="I14" s="330"/>
      <c r="J14" s="330"/>
      <c r="K14" s="330"/>
      <c r="L14" s="330"/>
      <c r="M14" s="330"/>
      <c r="N14" s="330"/>
      <c r="O14" s="330"/>
      <c r="P14" s="330"/>
      <c r="Q14" s="330"/>
      <c r="R14" s="308"/>
      <c r="S14" s="308"/>
      <c r="T14" s="308"/>
      <c r="U14" s="308"/>
    </row>
    <row r="15" spans="1:58" x14ac:dyDescent="0.35">
      <c r="D15" s="308"/>
      <c r="E15" s="308"/>
      <c r="F15" s="330"/>
      <c r="G15" s="330"/>
      <c r="H15" s="330"/>
      <c r="I15" s="330"/>
      <c r="J15" s="330"/>
      <c r="K15" s="330"/>
      <c r="L15" s="330"/>
      <c r="M15" s="330"/>
      <c r="N15" s="330"/>
      <c r="O15" s="330"/>
      <c r="P15" s="330"/>
      <c r="Q15" s="330"/>
      <c r="R15" s="308"/>
      <c r="S15" s="308"/>
      <c r="T15" s="308"/>
      <c r="U15" s="308"/>
      <c r="AD15" s="326"/>
    </row>
    <row r="16" spans="1:58" x14ac:dyDescent="0.35">
      <c r="D16" s="308"/>
      <c r="E16" s="308"/>
      <c r="F16" s="330"/>
      <c r="G16" s="330"/>
      <c r="H16" s="330"/>
      <c r="I16" s="330"/>
      <c r="J16" s="330"/>
      <c r="K16" s="330"/>
      <c r="L16" s="330"/>
      <c r="M16" s="330"/>
      <c r="N16" s="330"/>
      <c r="O16" s="330"/>
      <c r="P16" s="330"/>
      <c r="Q16" s="330"/>
      <c r="R16" s="308"/>
      <c r="S16" s="308"/>
      <c r="T16" s="308"/>
      <c r="U16" s="308"/>
    </row>
    <row r="17" spans="4:26" x14ac:dyDescent="0.35">
      <c r="D17" s="308"/>
      <c r="E17" s="308"/>
      <c r="F17" s="330"/>
      <c r="G17" s="330"/>
      <c r="H17" s="330"/>
      <c r="I17" s="330"/>
      <c r="J17" s="330"/>
      <c r="K17" s="330"/>
      <c r="L17" s="330"/>
      <c r="M17" s="330"/>
      <c r="N17" s="330"/>
      <c r="O17" s="330"/>
      <c r="P17" s="308"/>
      <c r="Q17" s="85"/>
      <c r="R17" s="308"/>
      <c r="S17" s="308"/>
      <c r="T17" s="308"/>
      <c r="U17" s="308"/>
    </row>
    <row r="18" spans="4:26" x14ac:dyDescent="0.35">
      <c r="D18" s="308"/>
      <c r="E18" s="308"/>
      <c r="F18" s="330"/>
      <c r="G18" s="330"/>
      <c r="H18" s="330"/>
      <c r="I18" s="330"/>
      <c r="J18" s="330"/>
      <c r="K18" s="330"/>
      <c r="L18" s="330"/>
      <c r="M18" s="330"/>
      <c r="N18" s="330"/>
      <c r="O18" s="330"/>
      <c r="P18" s="308"/>
      <c r="Q18" s="85"/>
      <c r="R18" s="308"/>
      <c r="S18" s="308"/>
      <c r="T18" s="308"/>
      <c r="U18" s="308"/>
      <c r="Z18" s="293"/>
    </row>
    <row r="19" spans="4:26" x14ac:dyDescent="0.35">
      <c r="D19" s="308"/>
      <c r="E19" s="308"/>
      <c r="F19" s="330"/>
      <c r="G19" s="330"/>
      <c r="H19" s="330"/>
      <c r="I19" s="330"/>
      <c r="J19" s="330"/>
      <c r="K19" s="330"/>
      <c r="L19" s="330"/>
      <c r="M19" s="330"/>
      <c r="N19" s="330"/>
      <c r="O19" s="330"/>
      <c r="P19" s="308"/>
      <c r="Q19" s="85"/>
      <c r="R19" s="308"/>
      <c r="S19" s="308"/>
      <c r="T19" s="308"/>
      <c r="U19" s="308"/>
      <c r="Z19" s="293"/>
    </row>
    <row r="20" spans="4:26" x14ac:dyDescent="0.35">
      <c r="D20" s="308"/>
      <c r="E20" s="308"/>
      <c r="F20" s="330"/>
      <c r="G20" s="330"/>
      <c r="H20" s="330"/>
      <c r="I20" s="330"/>
      <c r="J20" s="330"/>
      <c r="K20" s="330"/>
      <c r="L20" s="330"/>
      <c r="M20" s="330"/>
      <c r="N20" s="330"/>
      <c r="O20" s="330"/>
      <c r="P20" s="308"/>
      <c r="Q20" s="85"/>
      <c r="R20" s="308"/>
      <c r="S20" s="308"/>
      <c r="T20" s="308"/>
      <c r="U20" s="308"/>
      <c r="Z20" s="293"/>
    </row>
    <row r="21" spans="4:26" x14ac:dyDescent="0.35">
      <c r="D21" s="308"/>
      <c r="E21" s="308"/>
      <c r="F21" s="330"/>
      <c r="G21" s="330"/>
      <c r="H21" s="330"/>
      <c r="I21" s="330"/>
      <c r="J21" s="330"/>
      <c r="K21" s="330"/>
      <c r="L21" s="330"/>
      <c r="M21" s="330"/>
      <c r="N21" s="330"/>
      <c r="O21" s="330"/>
      <c r="P21" s="308"/>
      <c r="Q21" s="85"/>
      <c r="R21" s="308"/>
      <c r="S21" s="308"/>
      <c r="T21" s="308"/>
      <c r="U21" s="308"/>
      <c r="Z21" s="293"/>
    </row>
    <row r="22" spans="4:26" x14ac:dyDescent="0.35">
      <c r="D22" s="308"/>
      <c r="E22" s="308"/>
      <c r="F22" s="330"/>
      <c r="G22" s="330"/>
      <c r="H22" s="330"/>
      <c r="I22" s="330"/>
      <c r="J22" s="330"/>
      <c r="K22" s="330"/>
      <c r="L22" s="330"/>
      <c r="M22" s="330"/>
      <c r="N22" s="330"/>
      <c r="O22" s="330"/>
      <c r="P22" s="308"/>
      <c r="Q22" s="85"/>
      <c r="R22" s="308"/>
      <c r="S22" s="308"/>
      <c r="T22" s="308"/>
      <c r="U22" s="308"/>
      <c r="Z22" s="293"/>
    </row>
    <row r="23" spans="4:26" x14ac:dyDescent="0.35">
      <c r="D23" s="308"/>
      <c r="E23" s="308"/>
      <c r="F23" s="330"/>
      <c r="G23" s="330"/>
      <c r="H23" s="330"/>
      <c r="I23" s="330"/>
      <c r="J23" s="330"/>
      <c r="K23" s="330"/>
      <c r="L23" s="330"/>
      <c r="M23" s="330"/>
      <c r="N23" s="330"/>
      <c r="O23" s="330"/>
      <c r="P23" s="330"/>
      <c r="Q23" s="308"/>
      <c r="R23" s="308"/>
      <c r="S23" s="308"/>
      <c r="T23" s="308"/>
      <c r="U23" s="308"/>
      <c r="Z23" s="293"/>
    </row>
    <row r="24" spans="4:26" x14ac:dyDescent="0.35">
      <c r="D24" s="308"/>
      <c r="E24" s="308"/>
      <c r="F24" s="330"/>
      <c r="G24" s="330"/>
      <c r="H24" s="330"/>
      <c r="I24" s="330"/>
      <c r="J24" s="330"/>
      <c r="K24" s="330"/>
      <c r="L24" s="330"/>
      <c r="M24" s="330"/>
      <c r="N24" s="330"/>
      <c r="O24" s="330"/>
      <c r="P24" s="330"/>
      <c r="Q24" s="308"/>
      <c r="R24" s="308"/>
      <c r="S24" s="308"/>
      <c r="T24" s="308"/>
      <c r="U24" s="308"/>
      <c r="Z24" s="293"/>
    </row>
    <row r="25" spans="4:26" x14ac:dyDescent="0.35">
      <c r="D25" s="308"/>
      <c r="E25" s="308"/>
      <c r="F25" s="330"/>
      <c r="G25" s="330"/>
      <c r="H25" s="330"/>
      <c r="I25" s="330"/>
      <c r="J25" s="330"/>
      <c r="K25" s="330"/>
      <c r="L25" s="330"/>
      <c r="M25" s="330"/>
      <c r="N25" s="330"/>
      <c r="O25" s="330"/>
      <c r="P25" s="332"/>
      <c r="Q25" s="308"/>
      <c r="R25" s="308"/>
      <c r="S25" s="308"/>
      <c r="T25" s="308"/>
      <c r="U25" s="308"/>
      <c r="Z25" s="293"/>
    </row>
    <row r="26" spans="4:26" x14ac:dyDescent="0.35">
      <c r="D26" s="308"/>
      <c r="E26" s="308"/>
      <c r="F26" s="330"/>
      <c r="G26" s="330"/>
      <c r="H26" s="330"/>
      <c r="I26" s="330"/>
      <c r="J26" s="330"/>
      <c r="K26" s="330"/>
      <c r="L26" s="330"/>
      <c r="M26" s="330"/>
      <c r="N26" s="330"/>
      <c r="O26" s="330"/>
      <c r="P26" s="330"/>
      <c r="Q26" s="330"/>
      <c r="R26" s="308"/>
      <c r="S26" s="308"/>
      <c r="T26" s="308"/>
      <c r="U26" s="308"/>
      <c r="Z26" s="293"/>
    </row>
    <row r="27" spans="4:26" x14ac:dyDescent="0.35">
      <c r="D27" s="308"/>
      <c r="E27" s="308"/>
      <c r="F27" s="330"/>
      <c r="G27" s="330"/>
      <c r="H27" s="330"/>
      <c r="I27" s="330"/>
      <c r="J27" s="330"/>
      <c r="K27" s="330"/>
      <c r="L27" s="330"/>
      <c r="M27" s="330"/>
      <c r="N27" s="330"/>
      <c r="O27" s="330"/>
      <c r="P27" s="330"/>
      <c r="Q27" s="330"/>
      <c r="R27" s="308"/>
      <c r="S27" s="308"/>
      <c r="T27" s="308"/>
      <c r="U27" s="308"/>
      <c r="Z27" s="293"/>
    </row>
    <row r="28" spans="4:26" x14ac:dyDescent="0.35">
      <c r="D28" s="308"/>
      <c r="E28" s="308"/>
      <c r="F28" s="308"/>
      <c r="G28" s="308"/>
      <c r="H28" s="308"/>
      <c r="I28" s="308"/>
      <c r="J28" s="308"/>
      <c r="K28" s="308"/>
      <c r="L28" s="308"/>
      <c r="M28" s="308"/>
      <c r="N28" s="308"/>
      <c r="O28" s="308"/>
      <c r="P28" s="308"/>
      <c r="Q28" s="308"/>
      <c r="R28" s="308"/>
      <c r="S28" s="308"/>
      <c r="T28" s="308"/>
      <c r="U28" s="308"/>
      <c r="Z28" s="293"/>
    </row>
    <row r="29" spans="4:26" x14ac:dyDescent="0.35">
      <c r="D29" s="308"/>
      <c r="E29" s="308"/>
      <c r="F29" s="308"/>
      <c r="G29" s="308"/>
      <c r="H29" s="308"/>
      <c r="I29" s="308"/>
      <c r="J29" s="308"/>
      <c r="K29" s="308"/>
      <c r="L29" s="308"/>
      <c r="M29" s="308"/>
      <c r="N29" s="308"/>
      <c r="O29" s="308"/>
      <c r="P29" s="308"/>
      <c r="Q29" s="308"/>
      <c r="R29" s="308"/>
      <c r="S29" s="308"/>
      <c r="T29" s="308"/>
      <c r="U29" s="308"/>
      <c r="Z29" s="293"/>
    </row>
    <row r="30" spans="4:26" x14ac:dyDescent="0.35">
      <c r="D30" s="308"/>
      <c r="E30" s="308"/>
      <c r="F30" s="308"/>
      <c r="G30" s="308"/>
      <c r="H30" s="308"/>
      <c r="I30" s="308"/>
      <c r="J30" s="308"/>
      <c r="K30" s="308"/>
      <c r="L30" s="308"/>
      <c r="M30" s="308"/>
      <c r="N30" s="308"/>
      <c r="O30" s="308"/>
      <c r="P30" s="308"/>
      <c r="Q30" s="308"/>
      <c r="R30" s="308"/>
      <c r="S30" s="308"/>
      <c r="T30" s="308"/>
      <c r="U30" s="308"/>
      <c r="Z30" s="293"/>
    </row>
    <row r="31" spans="4:26" x14ac:dyDescent="0.35">
      <c r="D31" s="308"/>
      <c r="E31" s="308"/>
      <c r="F31" s="308"/>
      <c r="G31" s="308"/>
      <c r="H31" s="308"/>
      <c r="I31" s="308"/>
      <c r="J31" s="308"/>
      <c r="K31" s="308"/>
      <c r="L31" s="308"/>
      <c r="M31" s="308"/>
      <c r="N31" s="308"/>
      <c r="O31" s="308"/>
      <c r="P31" s="308"/>
      <c r="Q31" s="308"/>
      <c r="R31" s="308"/>
      <c r="S31" s="308"/>
      <c r="T31" s="308"/>
      <c r="U31" s="308"/>
      <c r="Z31" s="293"/>
    </row>
    <row r="32" spans="4:26" x14ac:dyDescent="0.35">
      <c r="D32" s="308"/>
      <c r="E32" s="308"/>
      <c r="F32" s="308"/>
      <c r="G32" s="308"/>
      <c r="H32" s="308"/>
      <c r="I32" s="308"/>
      <c r="J32" s="308"/>
      <c r="K32" s="308"/>
      <c r="L32" s="308"/>
      <c r="M32" s="308"/>
      <c r="N32" s="308"/>
      <c r="O32" s="308"/>
      <c r="P32" s="308"/>
      <c r="Q32" s="308"/>
      <c r="R32" s="308"/>
      <c r="S32" s="308"/>
      <c r="T32" s="308"/>
      <c r="U32" s="308"/>
    </row>
    <row r="33" spans="1:95" x14ac:dyDescent="0.35">
      <c r="D33" s="308"/>
      <c r="E33" s="308"/>
      <c r="F33" s="308"/>
      <c r="G33" s="308"/>
      <c r="H33" s="308"/>
      <c r="I33" s="308"/>
      <c r="J33" s="308"/>
      <c r="K33" s="308"/>
      <c r="L33" s="308"/>
      <c r="M33" s="308"/>
      <c r="N33" s="308"/>
      <c r="O33" s="308"/>
      <c r="P33" s="308"/>
      <c r="Q33" s="308"/>
      <c r="R33" s="308"/>
      <c r="S33" s="308"/>
      <c r="T33" s="308"/>
      <c r="U33" s="308"/>
    </row>
    <row r="34" spans="1:95" x14ac:dyDescent="0.35">
      <c r="D34" s="308"/>
      <c r="E34" s="308"/>
      <c r="F34" s="308"/>
      <c r="G34" s="308"/>
      <c r="H34" s="308"/>
      <c r="I34" s="308"/>
      <c r="J34" s="308"/>
      <c r="K34" s="308"/>
      <c r="L34" s="308"/>
      <c r="M34" s="308"/>
      <c r="N34" s="308"/>
      <c r="O34" s="308"/>
      <c r="P34" s="308"/>
      <c r="Q34" s="308"/>
      <c r="R34" s="308"/>
      <c r="S34" s="308"/>
      <c r="T34" s="308"/>
      <c r="U34" s="308"/>
    </row>
    <row r="35" spans="1:95" x14ac:dyDescent="0.35">
      <c r="D35" s="308"/>
      <c r="E35" s="308"/>
      <c r="F35" s="308"/>
      <c r="G35" s="308"/>
      <c r="H35" s="308"/>
      <c r="I35" s="308"/>
      <c r="J35" s="308"/>
      <c r="K35" s="308"/>
      <c r="L35" s="308"/>
      <c r="M35" s="308"/>
      <c r="N35" s="308"/>
      <c r="O35" s="308"/>
      <c r="P35" s="308"/>
      <c r="Q35" s="308"/>
      <c r="R35" s="308"/>
      <c r="S35" s="308"/>
      <c r="T35" s="308"/>
      <c r="U35" s="308"/>
      <c r="AC35" s="116"/>
    </row>
    <row r="36" spans="1:95" x14ac:dyDescent="0.35">
      <c r="D36" s="308"/>
      <c r="E36" s="308"/>
      <c r="F36" s="308"/>
      <c r="G36" s="308"/>
      <c r="H36" s="308"/>
      <c r="I36" s="308"/>
      <c r="J36" s="308"/>
      <c r="K36" s="308"/>
      <c r="L36" s="308"/>
      <c r="M36" s="308"/>
      <c r="N36" s="308"/>
      <c r="O36" s="308"/>
      <c r="P36" s="308"/>
      <c r="Q36" s="308"/>
      <c r="R36" s="308"/>
      <c r="S36" s="308"/>
      <c r="T36" s="308"/>
      <c r="U36" s="308"/>
    </row>
    <row r="37" spans="1:95" x14ac:dyDescent="0.35">
      <c r="A37" s="305">
        <v>6</v>
      </c>
      <c r="B37" s="310" t="s">
        <v>58</v>
      </c>
      <c r="C37" s="305"/>
      <c r="D37" s="4648" t="s">
        <v>144</v>
      </c>
      <c r="E37" s="4649"/>
      <c r="F37" s="4649"/>
      <c r="G37" s="4649"/>
      <c r="H37" s="4649"/>
      <c r="I37" s="4649"/>
      <c r="J37" s="4649"/>
      <c r="K37" s="4649"/>
      <c r="L37" s="4649"/>
      <c r="M37" s="4649"/>
      <c r="N37" s="4649"/>
      <c r="O37" s="4649"/>
      <c r="P37" s="4649"/>
      <c r="Q37" s="4649"/>
      <c r="R37" s="4649"/>
      <c r="S37" s="4649"/>
      <c r="T37" s="4649"/>
      <c r="U37" s="4649"/>
      <c r="V37" s="4649"/>
      <c r="W37" s="4649"/>
      <c r="X37" s="4649"/>
      <c r="Y37" s="4649"/>
      <c r="Z37" s="4649"/>
      <c r="AA37" s="4649"/>
      <c r="AB37" s="4649"/>
      <c r="AC37" s="4650"/>
    </row>
    <row r="38" spans="1:95" ht="25" customHeight="1" x14ac:dyDescent="0.35">
      <c r="A38" s="333">
        <v>7</v>
      </c>
      <c r="B38" s="334" t="s">
        <v>60</v>
      </c>
      <c r="C38" s="333"/>
      <c r="D38" s="4651" t="s">
        <v>382</v>
      </c>
      <c r="E38" s="4652"/>
      <c r="F38" s="4652"/>
      <c r="G38" s="4652"/>
      <c r="H38" s="4652"/>
      <c r="I38" s="4652"/>
      <c r="J38" s="4652"/>
      <c r="K38" s="4652"/>
      <c r="L38" s="4652"/>
      <c r="M38" s="4652"/>
      <c r="N38" s="4652"/>
      <c r="O38" s="4652"/>
      <c r="P38" s="4652"/>
      <c r="Q38" s="4652"/>
      <c r="R38" s="4652"/>
      <c r="S38" s="4652"/>
      <c r="T38" s="4652"/>
      <c r="U38" s="4652"/>
      <c r="V38" s="4652"/>
      <c r="W38" s="4652"/>
      <c r="X38" s="4652"/>
      <c r="Y38" s="4652"/>
      <c r="Z38" s="4652"/>
      <c r="AA38" s="4652"/>
      <c r="AB38" s="4652"/>
      <c r="AC38" s="4653"/>
    </row>
    <row r="39" spans="1:95" ht="17.5" customHeight="1" x14ac:dyDescent="0.35">
      <c r="A39" s="305">
        <v>8</v>
      </c>
      <c r="B39" s="310" t="s">
        <v>62</v>
      </c>
      <c r="C39" s="305"/>
      <c r="D39" s="4648" t="s">
        <v>160</v>
      </c>
      <c r="E39" s="4649"/>
      <c r="F39" s="4649"/>
      <c r="G39" s="4649"/>
      <c r="H39" s="4649"/>
      <c r="I39" s="4649"/>
      <c r="J39" s="4649"/>
      <c r="K39" s="4649"/>
      <c r="L39" s="4649"/>
      <c r="M39" s="4649"/>
      <c r="N39" s="4649"/>
      <c r="O39" s="4649"/>
      <c r="P39" s="4649"/>
      <c r="Q39" s="4649"/>
      <c r="R39" s="4649"/>
      <c r="S39" s="4649"/>
      <c r="T39" s="4649"/>
      <c r="U39" s="4649"/>
      <c r="V39" s="4649"/>
      <c r="W39" s="4649"/>
      <c r="X39" s="4649"/>
      <c r="Y39" s="4649"/>
      <c r="Z39" s="4649"/>
      <c r="AA39" s="4649"/>
      <c r="AB39" s="4649"/>
      <c r="AC39" s="4650"/>
    </row>
    <row r="40" spans="1:95" ht="42" customHeight="1" x14ac:dyDescent="0.35">
      <c r="A40" s="305">
        <v>9</v>
      </c>
      <c r="B40" s="310" t="s">
        <v>64</v>
      </c>
      <c r="C40" s="305"/>
      <c r="D40" s="4651" t="s">
        <v>383</v>
      </c>
      <c r="E40" s="4652"/>
      <c r="F40" s="4652"/>
      <c r="G40" s="4652"/>
      <c r="H40" s="4652"/>
      <c r="I40" s="4652"/>
      <c r="J40" s="4652"/>
      <c r="K40" s="4652"/>
      <c r="L40" s="4652"/>
      <c r="M40" s="4652"/>
      <c r="N40" s="4652"/>
      <c r="O40" s="4652"/>
      <c r="P40" s="4652"/>
      <c r="Q40" s="4652"/>
      <c r="R40" s="4652"/>
      <c r="S40" s="4652"/>
      <c r="T40" s="4652"/>
      <c r="U40" s="4652"/>
      <c r="V40" s="4652"/>
      <c r="W40" s="4652"/>
      <c r="X40" s="4652"/>
      <c r="Y40" s="4652"/>
      <c r="Z40" s="4652"/>
      <c r="AA40" s="4652"/>
      <c r="AB40" s="4652"/>
      <c r="AC40" s="4653"/>
    </row>
    <row r="41" spans="1:95" x14ac:dyDescent="0.35">
      <c r="B41" s="335"/>
      <c r="C41" s="336"/>
      <c r="D41" s="337"/>
      <c r="E41" s="337"/>
      <c r="F41" s="337"/>
      <c r="G41" s="337"/>
      <c r="H41" s="337"/>
      <c r="I41" s="337"/>
      <c r="J41" s="337"/>
      <c r="K41" s="337"/>
      <c r="L41" s="337"/>
      <c r="M41" s="337"/>
      <c r="N41" s="337"/>
      <c r="O41" s="337"/>
      <c r="P41" s="337"/>
      <c r="Q41" s="337"/>
      <c r="R41" s="337"/>
      <c r="S41" s="337"/>
      <c r="T41" s="337"/>
      <c r="U41" s="337"/>
      <c r="V41" s="338"/>
      <c r="W41" s="338"/>
      <c r="X41" s="337"/>
      <c r="Y41" s="337"/>
      <c r="Z41" s="337"/>
      <c r="AA41" s="337"/>
      <c r="AB41" s="337"/>
      <c r="AC41" s="337"/>
      <c r="AD41" s="337"/>
      <c r="AE41" s="337"/>
      <c r="AF41" s="337"/>
      <c r="AG41" s="337"/>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row>
    <row r="42" spans="1:95" x14ac:dyDescent="0.35">
      <c r="A42" s="339"/>
      <c r="B42" s="335"/>
      <c r="C42" s="319"/>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21"/>
      <c r="AY42" s="326"/>
      <c r="AZ42" s="326"/>
      <c r="BA42" s="326"/>
      <c r="BB42" s="326"/>
      <c r="BC42" s="326"/>
      <c r="BD42" s="326"/>
      <c r="BE42" s="326"/>
    </row>
    <row r="43" spans="1:95" s="344" customFormat="1" ht="12.5" x14ac:dyDescent="0.25">
      <c r="A43" s="340"/>
      <c r="B43" s="341"/>
      <c r="C43" s="342"/>
      <c r="D43" s="4676">
        <v>1994</v>
      </c>
      <c r="E43" s="4676"/>
      <c r="F43" s="4676"/>
      <c r="G43" s="4676"/>
      <c r="H43" s="4676"/>
      <c r="I43" s="4676">
        <v>1995</v>
      </c>
      <c r="J43" s="4676"/>
      <c r="K43" s="4676"/>
      <c r="L43" s="4676"/>
      <c r="M43" s="4676">
        <v>1996</v>
      </c>
      <c r="N43" s="4676"/>
      <c r="O43" s="4676"/>
      <c r="P43" s="4676"/>
      <c r="Q43" s="4676">
        <v>1997</v>
      </c>
      <c r="R43" s="4676"/>
      <c r="S43" s="4676"/>
      <c r="T43" s="4676"/>
      <c r="U43" s="4676">
        <v>1998</v>
      </c>
      <c r="V43" s="4676"/>
      <c r="W43" s="4676"/>
      <c r="X43" s="4676"/>
      <c r="Y43" s="4676">
        <v>1999</v>
      </c>
      <c r="Z43" s="4676"/>
      <c r="AA43" s="4676"/>
      <c r="AB43" s="4676"/>
      <c r="AC43" s="4676">
        <v>2000</v>
      </c>
      <c r="AD43" s="4676"/>
      <c r="AE43" s="4676"/>
      <c r="AF43" s="4676"/>
      <c r="AG43" s="4676">
        <v>2001</v>
      </c>
      <c r="AH43" s="4676"/>
      <c r="AI43" s="4676"/>
      <c r="AJ43" s="4676"/>
      <c r="AK43" s="4676">
        <v>2002</v>
      </c>
      <c r="AL43" s="4676"/>
      <c r="AM43" s="4676"/>
      <c r="AN43" s="4676"/>
      <c r="AO43" s="4676">
        <v>2003</v>
      </c>
      <c r="AP43" s="4676"/>
      <c r="AQ43" s="4676"/>
      <c r="AR43" s="4676"/>
      <c r="AS43" s="4676">
        <v>2004</v>
      </c>
      <c r="AT43" s="4676"/>
      <c r="AU43" s="4676"/>
      <c r="AV43" s="4676"/>
      <c r="AW43" s="4676">
        <v>2005</v>
      </c>
      <c r="AX43" s="4676"/>
      <c r="AY43" s="4676"/>
      <c r="AZ43" s="4676"/>
      <c r="BA43" s="4676">
        <v>2006</v>
      </c>
      <c r="BB43" s="4676"/>
      <c r="BC43" s="4676"/>
      <c r="BD43" s="4676"/>
      <c r="BE43" s="4676">
        <v>2007</v>
      </c>
      <c r="BF43" s="4676"/>
      <c r="BG43" s="4676"/>
      <c r="BH43" s="4676"/>
      <c r="BI43" s="4676">
        <v>2008</v>
      </c>
      <c r="BJ43" s="4676"/>
      <c r="BK43" s="4676"/>
      <c r="BL43" s="4676"/>
      <c r="BM43" s="4676">
        <v>2009</v>
      </c>
      <c r="BN43" s="4676"/>
      <c r="BO43" s="4676"/>
      <c r="BP43" s="4676"/>
      <c r="BQ43" s="4676">
        <v>2010</v>
      </c>
      <c r="BR43" s="4676"/>
      <c r="BS43" s="4676"/>
      <c r="BT43" s="4676"/>
      <c r="BU43" s="4676">
        <v>2011</v>
      </c>
      <c r="BV43" s="4676"/>
      <c r="BW43" s="4676"/>
      <c r="BX43" s="4676"/>
      <c r="BY43" s="4676">
        <v>2012</v>
      </c>
      <c r="BZ43" s="4676"/>
      <c r="CA43" s="4676"/>
      <c r="CB43" s="4676"/>
      <c r="CC43" s="4676">
        <v>2013</v>
      </c>
      <c r="CD43" s="4676"/>
      <c r="CE43" s="4676"/>
      <c r="CF43" s="4676"/>
      <c r="CG43" s="4676">
        <v>2014</v>
      </c>
      <c r="CH43" s="4676"/>
      <c r="CI43" s="4676"/>
      <c r="CJ43" s="4676"/>
      <c r="CK43" s="4677">
        <v>2014</v>
      </c>
      <c r="CL43" s="4677"/>
      <c r="CM43" s="4677"/>
      <c r="CN43" s="4677"/>
      <c r="CO43" s="343"/>
      <c r="CP43" s="343"/>
      <c r="CQ43" s="343"/>
    </row>
    <row r="44" spans="1:95" s="344" customFormat="1" ht="13" x14ac:dyDescent="0.25">
      <c r="A44" s="345"/>
      <c r="B44" s="346"/>
      <c r="C44" s="347"/>
      <c r="D44" s="348" t="s">
        <v>66</v>
      </c>
      <c r="E44" s="349"/>
      <c r="F44" s="349" t="s">
        <v>67</v>
      </c>
      <c r="G44" s="349" t="s">
        <v>68</v>
      </c>
      <c r="H44" s="350" t="s">
        <v>69</v>
      </c>
      <c r="I44" s="348" t="s">
        <v>66</v>
      </c>
      <c r="J44" s="349" t="s">
        <v>67</v>
      </c>
      <c r="K44" s="349" t="s">
        <v>68</v>
      </c>
      <c r="L44" s="350" t="s">
        <v>69</v>
      </c>
      <c r="M44" s="348" t="s">
        <v>66</v>
      </c>
      <c r="N44" s="349" t="s">
        <v>67</v>
      </c>
      <c r="O44" s="349" t="s">
        <v>68</v>
      </c>
      <c r="P44" s="350" t="s">
        <v>69</v>
      </c>
      <c r="Q44" s="348" t="s">
        <v>66</v>
      </c>
      <c r="R44" s="349" t="s">
        <v>67</v>
      </c>
      <c r="S44" s="349" t="s">
        <v>68</v>
      </c>
      <c r="T44" s="350" t="s">
        <v>69</v>
      </c>
      <c r="U44" s="348" t="s">
        <v>66</v>
      </c>
      <c r="V44" s="349" t="s">
        <v>67</v>
      </c>
      <c r="W44" s="349" t="s">
        <v>68</v>
      </c>
      <c r="X44" s="350" t="s">
        <v>69</v>
      </c>
      <c r="Y44" s="348" t="s">
        <v>66</v>
      </c>
      <c r="Z44" s="349" t="s">
        <v>67</v>
      </c>
      <c r="AA44" s="349" t="s">
        <v>68</v>
      </c>
      <c r="AB44" s="350" t="s">
        <v>69</v>
      </c>
      <c r="AC44" s="348" t="s">
        <v>66</v>
      </c>
      <c r="AD44" s="349" t="s">
        <v>67</v>
      </c>
      <c r="AE44" s="349" t="s">
        <v>68</v>
      </c>
      <c r="AF44" s="350" t="s">
        <v>69</v>
      </c>
      <c r="AG44" s="348" t="s">
        <v>66</v>
      </c>
      <c r="AH44" s="349" t="s">
        <v>67</v>
      </c>
      <c r="AI44" s="349" t="s">
        <v>68</v>
      </c>
      <c r="AJ44" s="350" t="s">
        <v>69</v>
      </c>
      <c r="AK44" s="348" t="s">
        <v>66</v>
      </c>
      <c r="AL44" s="349" t="s">
        <v>67</v>
      </c>
      <c r="AM44" s="349" t="s">
        <v>68</v>
      </c>
      <c r="AN44" s="350" t="s">
        <v>69</v>
      </c>
      <c r="AO44" s="348" t="s">
        <v>66</v>
      </c>
      <c r="AP44" s="349" t="s">
        <v>67</v>
      </c>
      <c r="AQ44" s="349" t="s">
        <v>68</v>
      </c>
      <c r="AR44" s="350" t="s">
        <v>69</v>
      </c>
      <c r="AS44" s="348" t="s">
        <v>66</v>
      </c>
      <c r="AT44" s="349" t="s">
        <v>67</v>
      </c>
      <c r="AU44" s="349" t="s">
        <v>68</v>
      </c>
      <c r="AV44" s="350" t="s">
        <v>69</v>
      </c>
      <c r="AW44" s="348" t="s">
        <v>66</v>
      </c>
      <c r="AX44" s="349" t="s">
        <v>67</v>
      </c>
      <c r="AY44" s="349" t="s">
        <v>68</v>
      </c>
      <c r="AZ44" s="350" t="s">
        <v>69</v>
      </c>
      <c r="BA44" s="348" t="s">
        <v>66</v>
      </c>
      <c r="BB44" s="349" t="s">
        <v>67</v>
      </c>
      <c r="BC44" s="349" t="s">
        <v>68</v>
      </c>
      <c r="BD44" s="350" t="s">
        <v>69</v>
      </c>
      <c r="BE44" s="348" t="s">
        <v>66</v>
      </c>
      <c r="BF44" s="349" t="s">
        <v>67</v>
      </c>
      <c r="BG44" s="349" t="s">
        <v>68</v>
      </c>
      <c r="BH44" s="350" t="s">
        <v>69</v>
      </c>
      <c r="BI44" s="348" t="s">
        <v>66</v>
      </c>
      <c r="BJ44" s="349" t="s">
        <v>67</v>
      </c>
      <c r="BK44" s="349" t="s">
        <v>68</v>
      </c>
      <c r="BL44" s="350" t="s">
        <v>69</v>
      </c>
      <c r="BM44" s="348" t="s">
        <v>66</v>
      </c>
      <c r="BN44" s="349" t="s">
        <v>67</v>
      </c>
      <c r="BO44" s="349" t="s">
        <v>68</v>
      </c>
      <c r="BP44" s="350" t="s">
        <v>69</v>
      </c>
      <c r="BQ44" s="348" t="s">
        <v>66</v>
      </c>
      <c r="BR44" s="349" t="s">
        <v>67</v>
      </c>
      <c r="BS44" s="349" t="s">
        <v>68</v>
      </c>
      <c r="BT44" s="350" t="s">
        <v>69</v>
      </c>
      <c r="BU44" s="348" t="s">
        <v>66</v>
      </c>
      <c r="BV44" s="349" t="s">
        <v>67</v>
      </c>
      <c r="BW44" s="349" t="s">
        <v>68</v>
      </c>
      <c r="BX44" s="350" t="s">
        <v>69</v>
      </c>
      <c r="BY44" s="348" t="s">
        <v>66</v>
      </c>
      <c r="BZ44" s="349" t="s">
        <v>67</v>
      </c>
      <c r="CA44" s="349" t="s">
        <v>68</v>
      </c>
      <c r="CB44" s="350" t="s">
        <v>69</v>
      </c>
      <c r="CC44" s="348" t="s">
        <v>66</v>
      </c>
      <c r="CD44" s="349" t="s">
        <v>67</v>
      </c>
      <c r="CE44" s="349" t="s">
        <v>68</v>
      </c>
      <c r="CF44" s="350" t="s">
        <v>69</v>
      </c>
      <c r="CG44" s="348" t="s">
        <v>66</v>
      </c>
      <c r="CH44" s="349" t="s">
        <v>67</v>
      </c>
      <c r="CI44" s="349" t="s">
        <v>68</v>
      </c>
      <c r="CJ44" s="350" t="s">
        <v>69</v>
      </c>
      <c r="CK44" s="351" t="s">
        <v>66</v>
      </c>
      <c r="CL44" s="352" t="s">
        <v>67</v>
      </c>
      <c r="CM44" s="352" t="s">
        <v>68</v>
      </c>
      <c r="CN44" s="353" t="s">
        <v>69</v>
      </c>
      <c r="CO44" s="343"/>
      <c r="CP44" s="343"/>
      <c r="CQ44" s="343"/>
    </row>
    <row r="45" spans="1:95" s="363" customFormat="1" ht="13" x14ac:dyDescent="0.25">
      <c r="A45" s="354"/>
      <c r="B45" s="355"/>
      <c r="C45" s="356" t="s">
        <v>161</v>
      </c>
      <c r="D45" s="357">
        <v>9.6690745326061922</v>
      </c>
      <c r="E45" s="358"/>
      <c r="F45" s="358">
        <v>7.1544990447711898</v>
      </c>
      <c r="G45" s="358">
        <v>9.1298236892189308</v>
      </c>
      <c r="H45" s="359">
        <v>9.7990149990723641</v>
      </c>
      <c r="I45" s="357">
        <v>9.9593442253082856</v>
      </c>
      <c r="J45" s="358">
        <v>10.65216088388572</v>
      </c>
      <c r="K45" s="358">
        <v>7.7265495256930494</v>
      </c>
      <c r="L45" s="359">
        <v>6.5617362329769779</v>
      </c>
      <c r="M45" s="357">
        <v>6.5085679673837493</v>
      </c>
      <c r="N45" s="358">
        <v>6.0804774256866922</v>
      </c>
      <c r="O45" s="358">
        <v>7.6291228387665333</v>
      </c>
      <c r="P45" s="359">
        <v>9.1451219295645814</v>
      </c>
      <c r="Q45" s="357">
        <v>9.6107740626719895</v>
      </c>
      <c r="R45" s="358">
        <v>9.3789086252066056</v>
      </c>
      <c r="S45" s="358">
        <v>8.6163234263308741</v>
      </c>
      <c r="T45" s="359">
        <v>6.8816620113169469</v>
      </c>
      <c r="U45" s="357">
        <v>6.5767284991568031</v>
      </c>
      <c r="V45" s="358">
        <v>6.9565217391304168</v>
      </c>
      <c r="W45" s="358">
        <v>7.2505091649695208</v>
      </c>
      <c r="X45" s="359">
        <v>7.4074074074073737</v>
      </c>
      <c r="Y45" s="357">
        <v>7.2784810126582</v>
      </c>
      <c r="Z45" s="358">
        <v>7.00735578784355</v>
      </c>
      <c r="AA45" s="358">
        <v>6.7603494113178675</v>
      </c>
      <c r="AB45" s="359">
        <v>6.7091454272864004</v>
      </c>
      <c r="AC45" s="357">
        <v>7.1902654867256555</v>
      </c>
      <c r="AD45" s="358">
        <v>7.8509406657019554</v>
      </c>
      <c r="AE45" s="358">
        <v>8.0398434720736276</v>
      </c>
      <c r="AF45" s="359">
        <v>7.7976817702845036</v>
      </c>
      <c r="AG45" s="357">
        <v>7.602339181286899</v>
      </c>
      <c r="AH45" s="358">
        <v>6.5414290506544459</v>
      </c>
      <c r="AI45" s="358">
        <v>6.0915377016796501</v>
      </c>
      <c r="AJ45" s="359">
        <v>6.2235255783646082</v>
      </c>
      <c r="AK45" s="357">
        <v>7.4168797953960697</v>
      </c>
      <c r="AL45" s="358">
        <v>8.7216624685135145</v>
      </c>
      <c r="AM45" s="358">
        <v>9.9317194289264332</v>
      </c>
      <c r="AN45" s="359">
        <v>11.134969325153342</v>
      </c>
      <c r="AO45" s="357">
        <v>9.5238095238098239</v>
      </c>
      <c r="AP45" s="358">
        <v>7.5296843324648144</v>
      </c>
      <c r="AQ45" s="358">
        <v>6.0700169395815573</v>
      </c>
      <c r="AR45" s="359">
        <v>4.1954181617438469</v>
      </c>
      <c r="AS45" s="357">
        <v>4.4565217391298928</v>
      </c>
      <c r="AT45" s="358">
        <v>4.6054403447347125</v>
      </c>
      <c r="AU45" s="358">
        <v>3.8860793186055398</v>
      </c>
      <c r="AV45" s="359">
        <v>4.3708609271523313</v>
      </c>
      <c r="AW45" s="357">
        <v>3.4339229968782359</v>
      </c>
      <c r="AX45" s="358">
        <v>3.7332646755918963</v>
      </c>
      <c r="AY45" s="358">
        <v>4.5605944145526545</v>
      </c>
      <c r="AZ45" s="359">
        <v>4.0609137055842792</v>
      </c>
      <c r="BA45" s="357">
        <v>4.2002012072437367</v>
      </c>
      <c r="BB45" s="358">
        <v>4.2194092827006591</v>
      </c>
      <c r="BC45" s="358">
        <v>4.9742710120071365</v>
      </c>
      <c r="BD45" s="359">
        <v>4.9756097560975654</v>
      </c>
      <c r="BE45" s="357">
        <v>5.2377504223990012</v>
      </c>
      <c r="BF45" s="358">
        <v>6.3586568230530771</v>
      </c>
      <c r="BG45" s="358">
        <v>6.489262371615534</v>
      </c>
      <c r="BH45" s="359">
        <v>7.9228624535311098</v>
      </c>
      <c r="BI45" s="357">
        <v>9.4036697247708911</v>
      </c>
      <c r="BJ45" s="358">
        <v>10.971786833855557</v>
      </c>
      <c r="BK45" s="358">
        <v>13.217886891714127</v>
      </c>
      <c r="BL45" s="359">
        <v>11.603875134553521</v>
      </c>
      <c r="BM45" s="357">
        <v>8.377192982456183</v>
      </c>
      <c r="BN45" s="358">
        <v>7.7711357813833315</v>
      </c>
      <c r="BO45" s="358">
        <v>6.4182194616977606</v>
      </c>
      <c r="BP45" s="359">
        <v>6.0805258833197318</v>
      </c>
      <c r="BQ45" s="357">
        <v>5.6657223796034328</v>
      </c>
      <c r="BR45" s="358">
        <v>4.5166402535657735</v>
      </c>
      <c r="BS45" s="358">
        <v>3.463035019455174</v>
      </c>
      <c r="BT45" s="359">
        <v>3.4469403563129664</v>
      </c>
      <c r="BU45" s="357">
        <v>3.8299502106472261</v>
      </c>
      <c r="BV45" s="358">
        <v>4.624715693707393</v>
      </c>
      <c r="BW45" s="358">
        <v>5.4531778864234326</v>
      </c>
      <c r="BX45" s="359">
        <v>6.0651441407711282</v>
      </c>
      <c r="BY45" s="357">
        <v>6.1232017705643349</v>
      </c>
      <c r="BZ45" s="358">
        <v>5.7608695652173969</v>
      </c>
      <c r="CA45" s="358">
        <v>5.0998573466476849</v>
      </c>
      <c r="CB45" s="359">
        <v>5.6477232615602668</v>
      </c>
      <c r="CC45" s="357">
        <v>5.7003823427184575</v>
      </c>
      <c r="CD45" s="358">
        <v>5.6526207605344325</v>
      </c>
      <c r="CE45" s="358">
        <v>6.2436375975572167</v>
      </c>
      <c r="CF45" s="359">
        <v>5.4126294687607546</v>
      </c>
      <c r="CG45" s="357">
        <v>5.9191055573824203</v>
      </c>
      <c r="CH45" s="358">
        <v>6.4526588845651656</v>
      </c>
      <c r="CI45" s="358">
        <v>6.228042159054592</v>
      </c>
      <c r="CJ45" s="359">
        <v>5.7369255150551357</v>
      </c>
      <c r="CK45" s="360"/>
      <c r="CL45" s="361"/>
      <c r="CM45" s="361"/>
      <c r="CN45" s="362"/>
      <c r="CO45" s="355"/>
      <c r="CP45" s="355"/>
      <c r="CQ45" s="355"/>
    </row>
    <row r="46" spans="1:95" x14ac:dyDescent="0.35">
      <c r="B46" s="364"/>
      <c r="C46" s="365"/>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row>
    <row r="47" spans="1:95" hidden="1" x14ac:dyDescent="0.35">
      <c r="B47" s="364"/>
      <c r="C47" s="365"/>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7"/>
      <c r="BC47" s="366"/>
      <c r="BD47" s="366"/>
      <c r="BE47" s="366"/>
      <c r="BF47" s="366"/>
      <c r="BG47" s="366"/>
      <c r="BH47" s="366"/>
      <c r="BI47" s="366"/>
      <c r="BJ47" s="366"/>
      <c r="BK47" s="366"/>
      <c r="BL47" s="366"/>
      <c r="BM47" s="368"/>
      <c r="BN47" s="366"/>
      <c r="BO47" s="366"/>
      <c r="BP47" s="366"/>
      <c r="BQ47" s="366"/>
      <c r="BR47" s="366"/>
      <c r="BS47" s="366"/>
      <c r="BT47" s="366"/>
      <c r="BU47" s="366"/>
      <c r="BV47" s="366"/>
      <c r="BW47" s="366"/>
      <c r="BX47" s="366"/>
      <c r="BY47" s="366"/>
      <c r="BZ47" s="366"/>
      <c r="CA47" s="366"/>
      <c r="CB47" s="366"/>
      <c r="CC47" s="366"/>
      <c r="CD47" s="366"/>
      <c r="CE47" s="368"/>
      <c r="CF47" s="366"/>
      <c r="CG47" s="366"/>
      <c r="CH47" s="366"/>
      <c r="CI47" s="366"/>
      <c r="CJ47" s="366"/>
      <c r="CK47" s="366"/>
      <c r="CL47" s="366"/>
      <c r="CM47" s="366"/>
      <c r="CN47" s="366"/>
      <c r="CO47" s="366"/>
      <c r="CP47" s="366"/>
      <c r="CQ47" s="366"/>
    </row>
    <row r="48" spans="1:95" hidden="1" x14ac:dyDescent="0.35">
      <c r="B48" s="364"/>
      <c r="C48" s="365"/>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7"/>
      <c r="BC48" s="366"/>
      <c r="BD48" s="366"/>
      <c r="BE48" s="366"/>
      <c r="BF48" s="366"/>
      <c r="BG48" s="366"/>
      <c r="BH48" s="366"/>
      <c r="BI48" s="366"/>
      <c r="BJ48" s="366"/>
      <c r="BK48" s="366"/>
      <c r="BL48" s="366"/>
      <c r="BM48" s="368"/>
      <c r="BN48" s="366"/>
      <c r="BO48" s="366"/>
      <c r="BP48" s="366"/>
      <c r="BQ48" s="366"/>
      <c r="BR48" s="366"/>
      <c r="BS48" s="366"/>
      <c r="BT48" s="366"/>
      <c r="BU48" s="366"/>
      <c r="BV48" s="366"/>
      <c r="BW48" s="366"/>
      <c r="BX48" s="366"/>
      <c r="BY48" s="366"/>
      <c r="BZ48" s="366"/>
      <c r="CA48" s="366"/>
      <c r="CB48" s="366"/>
      <c r="CC48" s="366"/>
      <c r="CD48" s="366"/>
      <c r="CE48" s="368"/>
      <c r="CF48" s="366"/>
      <c r="CG48" s="366"/>
      <c r="CH48" s="366"/>
      <c r="CI48" s="366"/>
      <c r="CJ48" s="366"/>
      <c r="CK48" s="366"/>
      <c r="CL48" s="366"/>
      <c r="CM48" s="366"/>
      <c r="CN48" s="366"/>
      <c r="CO48" s="366"/>
      <c r="CP48" s="366"/>
      <c r="CQ48" s="366"/>
    </row>
    <row r="49" spans="2:95" hidden="1" x14ac:dyDescent="0.35">
      <c r="B49" s="364"/>
      <c r="C49" s="365"/>
      <c r="D49" s="366"/>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9"/>
      <c r="BC49" s="366"/>
      <c r="BD49" s="366"/>
      <c r="BE49" s="366"/>
      <c r="BF49" s="366"/>
      <c r="BG49" s="366"/>
      <c r="BH49" s="366"/>
      <c r="BI49" s="366"/>
      <c r="BJ49" s="366"/>
      <c r="BK49" s="366"/>
      <c r="BL49" s="366"/>
      <c r="BM49" s="368"/>
      <c r="BN49" s="366"/>
      <c r="BO49" s="366"/>
      <c r="BP49" s="366"/>
      <c r="BQ49" s="366"/>
      <c r="BR49" s="366"/>
      <c r="BS49" s="366"/>
      <c r="BT49" s="366"/>
      <c r="BU49" s="366"/>
      <c r="BV49" s="366"/>
      <c r="BW49" s="366"/>
      <c r="BX49" s="366"/>
      <c r="BY49" s="366"/>
      <c r="BZ49" s="366"/>
      <c r="CA49" s="366"/>
      <c r="CB49" s="366"/>
      <c r="CC49" s="366"/>
      <c r="CD49" s="366"/>
      <c r="CE49" s="368"/>
      <c r="CF49" s="366"/>
      <c r="CG49" s="366"/>
      <c r="CH49" s="366"/>
      <c r="CI49" s="366"/>
      <c r="CJ49" s="366"/>
      <c r="CK49" s="366"/>
      <c r="CL49" s="366"/>
      <c r="CM49" s="366"/>
      <c r="CN49" s="366"/>
      <c r="CO49" s="366"/>
      <c r="CP49" s="366"/>
      <c r="CQ49" s="366"/>
    </row>
    <row r="50" spans="2:95" hidden="1" x14ac:dyDescent="0.35">
      <c r="B50" s="364"/>
      <c r="C50" s="365"/>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9"/>
      <c r="BC50" s="366"/>
      <c r="BD50" s="366"/>
      <c r="BE50" s="366"/>
      <c r="BF50" s="366"/>
      <c r="BG50" s="366"/>
      <c r="BH50" s="366"/>
      <c r="BI50" s="366"/>
      <c r="BJ50" s="366"/>
      <c r="BK50" s="366"/>
      <c r="BL50" s="366"/>
      <c r="BM50" s="368"/>
      <c r="BN50" s="366"/>
      <c r="BO50" s="366"/>
      <c r="BP50" s="366"/>
      <c r="BQ50" s="366"/>
      <c r="BR50" s="366"/>
      <c r="BS50" s="366"/>
      <c r="BT50" s="366"/>
      <c r="BU50" s="366"/>
      <c r="BV50" s="366"/>
      <c r="BW50" s="366"/>
      <c r="BX50" s="366"/>
      <c r="BY50" s="366"/>
      <c r="BZ50" s="366"/>
      <c r="CA50" s="366"/>
      <c r="CB50" s="366"/>
      <c r="CC50" s="366"/>
      <c r="CD50" s="366"/>
      <c r="CE50" s="368"/>
      <c r="CF50" s="366"/>
      <c r="CG50" s="366"/>
      <c r="CH50" s="366"/>
      <c r="CI50" s="366"/>
      <c r="CJ50" s="366"/>
      <c r="CK50" s="366"/>
      <c r="CL50" s="366"/>
      <c r="CM50" s="366"/>
      <c r="CN50" s="366"/>
      <c r="CO50" s="366"/>
      <c r="CP50" s="366"/>
      <c r="CQ50" s="366"/>
    </row>
    <row r="51" spans="2:95" hidden="1" x14ac:dyDescent="0.35">
      <c r="B51" s="364"/>
      <c r="C51" s="365"/>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8"/>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row>
    <row r="52" spans="2:95" hidden="1" x14ac:dyDescent="0.35">
      <c r="B52" s="364"/>
      <c r="C52" s="365"/>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8"/>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row>
    <row r="53" spans="2:95" hidden="1" x14ac:dyDescent="0.35">
      <c r="B53" s="364"/>
      <c r="C53" s="365"/>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8"/>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row>
    <row r="54" spans="2:95" hidden="1" x14ac:dyDescent="0.35">
      <c r="B54" s="364"/>
      <c r="C54" s="365"/>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8"/>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row>
    <row r="55" spans="2:95" hidden="1" x14ac:dyDescent="0.35">
      <c r="B55" s="364"/>
      <c r="C55" s="365"/>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8"/>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row>
    <row r="56" spans="2:95" hidden="1" x14ac:dyDescent="0.35">
      <c r="B56" s="364"/>
      <c r="C56" s="365"/>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8"/>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row>
    <row r="57" spans="2:95" hidden="1" x14ac:dyDescent="0.35">
      <c r="B57" s="364"/>
      <c r="C57" s="365"/>
      <c r="D57" s="366"/>
      <c r="E57" s="366"/>
      <c r="F57" s="366"/>
      <c r="G57" s="366"/>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8"/>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row>
    <row r="58" spans="2:95" hidden="1" x14ac:dyDescent="0.35">
      <c r="B58" s="364"/>
      <c r="C58" s="365"/>
      <c r="D58" s="366"/>
      <c r="E58" s="366"/>
      <c r="F58" s="366"/>
      <c r="G58" s="366"/>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8"/>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row>
    <row r="59" spans="2:95" hidden="1" x14ac:dyDescent="0.35">
      <c r="B59" s="364"/>
      <c r="C59" s="365"/>
      <c r="D59" s="366"/>
      <c r="E59" s="366"/>
      <c r="F59" s="366"/>
      <c r="G59" s="366"/>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8"/>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row>
    <row r="60" spans="2:95" hidden="1" x14ac:dyDescent="0.35">
      <c r="B60" s="364"/>
      <c r="C60" s="365"/>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8"/>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row>
    <row r="61" spans="2:95" hidden="1" x14ac:dyDescent="0.35">
      <c r="B61" s="364"/>
      <c r="C61" s="365"/>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c r="AC61" s="366"/>
      <c r="AD61" s="366" t="s">
        <v>67</v>
      </c>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8"/>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row>
    <row r="62" spans="2:95" hidden="1" x14ac:dyDescent="0.35">
      <c r="B62" s="364"/>
      <c r="C62" s="365"/>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8"/>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row>
    <row r="63" spans="2:95" hidden="1" x14ac:dyDescent="0.35">
      <c r="B63" s="364"/>
      <c r="C63" s="365"/>
      <c r="D63" s="366"/>
      <c r="E63" s="366"/>
      <c r="F63" s="366"/>
      <c r="G63" s="366"/>
      <c r="H63" s="366"/>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row>
    <row r="64" spans="2:95" hidden="1" x14ac:dyDescent="0.35">
      <c r="B64" s="364"/>
      <c r="C64" s="365"/>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row>
    <row r="65" spans="2:95" hidden="1" x14ac:dyDescent="0.35">
      <c r="B65" s="364"/>
      <c r="C65" s="365"/>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row>
    <row r="66" spans="2:95" hidden="1" x14ac:dyDescent="0.35">
      <c r="B66" s="364"/>
      <c r="C66" s="365"/>
      <c r="D66" s="366"/>
      <c r="E66" s="366"/>
      <c r="F66" s="366">
        <v>1998</v>
      </c>
      <c r="G66" s="366">
        <v>1999</v>
      </c>
      <c r="H66" s="366">
        <v>2000</v>
      </c>
      <c r="I66" s="366">
        <v>2001</v>
      </c>
      <c r="J66" s="366">
        <v>2002</v>
      </c>
      <c r="K66" s="366">
        <v>2003</v>
      </c>
      <c r="L66" s="366">
        <v>2004</v>
      </c>
      <c r="M66" s="366">
        <v>2005</v>
      </c>
      <c r="N66" s="366">
        <v>2006</v>
      </c>
      <c r="O66" s="366">
        <v>2007</v>
      </c>
      <c r="P66" s="366">
        <v>2008</v>
      </c>
      <c r="Q66" s="366">
        <v>2009</v>
      </c>
      <c r="R66" s="366">
        <v>2010</v>
      </c>
      <c r="S66" s="366">
        <v>2011</v>
      </c>
      <c r="T66" s="366">
        <v>2012</v>
      </c>
      <c r="U66" s="366">
        <v>2013</v>
      </c>
      <c r="V66" s="366">
        <v>2014</v>
      </c>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row>
    <row r="67" spans="2:95" hidden="1" x14ac:dyDescent="0.35">
      <c r="B67" s="364"/>
      <c r="C67" s="365"/>
      <c r="D67" s="366"/>
      <c r="E67" s="366"/>
      <c r="F67" s="366">
        <v>7.0532593049558168</v>
      </c>
      <c r="G67" s="366">
        <v>6.9343065693431072</v>
      </c>
      <c r="H67" s="366">
        <v>7.7240883779413627</v>
      </c>
      <c r="I67" s="366">
        <v>6.6033016508254105</v>
      </c>
      <c r="J67" s="366">
        <v>9.3226966995147755</v>
      </c>
      <c r="K67" s="366">
        <v>6.7749320360569687</v>
      </c>
      <c r="L67" s="366">
        <v>4.328308207704934</v>
      </c>
      <c r="M67" s="366">
        <v>3.9496499903667104</v>
      </c>
      <c r="N67" s="366">
        <v>4.5965649326578539</v>
      </c>
      <c r="O67" s="366">
        <v>6.5150620200829401</v>
      </c>
      <c r="P67" s="366">
        <v>11.32368435645783</v>
      </c>
      <c r="Q67" s="366">
        <v>7.1375778692852609</v>
      </c>
      <c r="R67" s="366">
        <v>4.2574159850202076</v>
      </c>
      <c r="S67" s="366">
        <v>5.000472634464459</v>
      </c>
      <c r="T67" s="366">
        <v>5.6535830032408585</v>
      </c>
      <c r="U67" s="366">
        <v>5.7515337423312829</v>
      </c>
      <c r="V67" s="366">
        <v>5.952930318412375</v>
      </c>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row>
    <row r="68" spans="2:95" hidden="1" x14ac:dyDescent="0.35">
      <c r="B68" s="364"/>
      <c r="C68" s="365"/>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row>
    <row r="69" spans="2:95" hidden="1" x14ac:dyDescent="0.35">
      <c r="B69" s="364"/>
      <c r="C69" s="365"/>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row>
    <row r="70" spans="2:95" hidden="1" x14ac:dyDescent="0.35">
      <c r="B70" s="364"/>
      <c r="C70" s="365"/>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6"/>
      <c r="CD70" s="366"/>
      <c r="CE70" s="366"/>
      <c r="CF70" s="366"/>
      <c r="CG70" s="366"/>
      <c r="CH70" s="366"/>
      <c r="CI70" s="366"/>
      <c r="CJ70" s="366"/>
      <c r="CK70" s="366"/>
      <c r="CL70" s="366"/>
      <c r="CM70" s="366"/>
      <c r="CN70" s="366"/>
      <c r="CO70" s="366"/>
      <c r="CP70" s="366"/>
      <c r="CQ70" s="366"/>
    </row>
    <row r="71" spans="2:95" x14ac:dyDescent="0.35">
      <c r="B71" s="364"/>
      <c r="C71" s="365"/>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6"/>
      <c r="CD71" s="366"/>
      <c r="CE71" s="366"/>
      <c r="CF71" s="366"/>
      <c r="CG71" s="366"/>
      <c r="CH71" s="366"/>
      <c r="CI71" s="366"/>
      <c r="CJ71" s="366"/>
      <c r="CK71" s="366"/>
      <c r="CL71" s="366"/>
      <c r="CM71" s="366"/>
      <c r="CN71" s="366"/>
      <c r="CO71" s="366"/>
      <c r="CP71" s="366"/>
      <c r="CQ71" s="366"/>
    </row>
  </sheetData>
  <mergeCells count="30">
    <mergeCell ref="D38:AC38"/>
    <mergeCell ref="D2:AC2"/>
    <mergeCell ref="D3:AC3"/>
    <mergeCell ref="D4:AC4"/>
    <mergeCell ref="D5:AB5"/>
    <mergeCell ref="D37:AC37"/>
    <mergeCell ref="BA43:BD43"/>
    <mergeCell ref="D39:AC39"/>
    <mergeCell ref="D40:AC40"/>
    <mergeCell ref="D43:H43"/>
    <mergeCell ref="I43:L43"/>
    <mergeCell ref="M43:P43"/>
    <mergeCell ref="Q43:T43"/>
    <mergeCell ref="U43:X43"/>
    <mergeCell ref="Y43:AB43"/>
    <mergeCell ref="AC43:AF43"/>
    <mergeCell ref="AG43:AJ43"/>
    <mergeCell ref="AK43:AN43"/>
    <mergeCell ref="AO43:AR43"/>
    <mergeCell ref="AS43:AV43"/>
    <mergeCell ref="AW43:AZ43"/>
    <mergeCell ref="CC43:CF43"/>
    <mergeCell ref="CG43:CJ43"/>
    <mergeCell ref="CK43:CN43"/>
    <mergeCell ref="BE43:BH43"/>
    <mergeCell ref="BI43:BL43"/>
    <mergeCell ref="BM43:BP43"/>
    <mergeCell ref="BQ43:BT43"/>
    <mergeCell ref="BU43:BX43"/>
    <mergeCell ref="BY43:CB43"/>
  </mergeCells>
  <pageMargins left="0.74803149606299202" right="0.74803149606299202" top="0.98425196850393704" bottom="0.98425196850393704" header="0.511811023622047" footer="0.511811023622047"/>
  <pageSetup paperSize="9" scale="6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8"/>
    <pageSetUpPr fitToPage="1"/>
  </sheetPr>
  <dimension ref="A1:AA38"/>
  <sheetViews>
    <sheetView showGridLines="0" view="pageBreakPreview" zoomScaleNormal="100" zoomScaleSheetLayoutView="100" workbookViewId="0">
      <selection activeCell="B36" sqref="B36"/>
    </sheetView>
  </sheetViews>
  <sheetFormatPr defaultColWidth="9.1796875" defaultRowHeight="11.5" x14ac:dyDescent="0.25"/>
  <cols>
    <col min="1" max="1" width="3.7265625" style="3000" customWidth="1"/>
    <col min="2" max="2" width="14.453125" style="3001" customWidth="1"/>
    <col min="3" max="3" width="3.7265625" style="3001" customWidth="1"/>
    <col min="4" max="4" width="14.7265625" style="767" customWidth="1"/>
    <col min="5" max="25" width="7" style="767" customWidth="1"/>
    <col min="26" max="259" width="9.1796875" style="767"/>
    <col min="260" max="260" width="3.7265625" style="767" customWidth="1"/>
    <col min="261" max="261" width="14.453125" style="767" customWidth="1"/>
    <col min="262" max="262" width="3.7265625" style="767" customWidth="1"/>
    <col min="263" max="263" width="14.7265625" style="767" customWidth="1"/>
    <col min="264" max="277" width="7" style="767" customWidth="1"/>
    <col min="278" max="279" width="13.81640625" style="767" customWidth="1"/>
    <col min="280" max="515" width="9.1796875" style="767"/>
    <col min="516" max="516" width="3.7265625" style="767" customWidth="1"/>
    <col min="517" max="517" width="14.453125" style="767" customWidth="1"/>
    <col min="518" max="518" width="3.7265625" style="767" customWidth="1"/>
    <col min="519" max="519" width="14.7265625" style="767" customWidth="1"/>
    <col min="520" max="533" width="7" style="767" customWidth="1"/>
    <col min="534" max="535" width="13.81640625" style="767" customWidth="1"/>
    <col min="536" max="771" width="9.1796875" style="767"/>
    <col min="772" max="772" width="3.7265625" style="767" customWidth="1"/>
    <col min="773" max="773" width="14.453125" style="767" customWidth="1"/>
    <col min="774" max="774" width="3.7265625" style="767" customWidth="1"/>
    <col min="775" max="775" width="14.7265625" style="767" customWidth="1"/>
    <col min="776" max="789" width="7" style="767" customWidth="1"/>
    <col min="790" max="791" width="13.81640625" style="767" customWidth="1"/>
    <col min="792" max="1027" width="9.1796875" style="767"/>
    <col min="1028" max="1028" width="3.7265625" style="767" customWidth="1"/>
    <col min="1029" max="1029" width="14.453125" style="767" customWidth="1"/>
    <col min="1030" max="1030" width="3.7265625" style="767" customWidth="1"/>
    <col min="1031" max="1031" width="14.7265625" style="767" customWidth="1"/>
    <col min="1032" max="1045" width="7" style="767" customWidth="1"/>
    <col min="1046" max="1047" width="13.81640625" style="767" customWidth="1"/>
    <col min="1048" max="1283" width="9.1796875" style="767"/>
    <col min="1284" max="1284" width="3.7265625" style="767" customWidth="1"/>
    <col min="1285" max="1285" width="14.453125" style="767" customWidth="1"/>
    <col min="1286" max="1286" width="3.7265625" style="767" customWidth="1"/>
    <col min="1287" max="1287" width="14.7265625" style="767" customWidth="1"/>
    <col min="1288" max="1301" width="7" style="767" customWidth="1"/>
    <col min="1302" max="1303" width="13.81640625" style="767" customWidth="1"/>
    <col min="1304" max="1539" width="9.1796875" style="767"/>
    <col min="1540" max="1540" width="3.7265625" style="767" customWidth="1"/>
    <col min="1541" max="1541" width="14.453125" style="767" customWidth="1"/>
    <col min="1542" max="1542" width="3.7265625" style="767" customWidth="1"/>
    <col min="1543" max="1543" width="14.7265625" style="767" customWidth="1"/>
    <col min="1544" max="1557" width="7" style="767" customWidth="1"/>
    <col min="1558" max="1559" width="13.81640625" style="767" customWidth="1"/>
    <col min="1560" max="1795" width="9.1796875" style="767"/>
    <col min="1796" max="1796" width="3.7265625" style="767" customWidth="1"/>
    <col min="1797" max="1797" width="14.453125" style="767" customWidth="1"/>
    <col min="1798" max="1798" width="3.7265625" style="767" customWidth="1"/>
    <col min="1799" max="1799" width="14.7265625" style="767" customWidth="1"/>
    <col min="1800" max="1813" width="7" style="767" customWidth="1"/>
    <col min="1814" max="1815" width="13.81640625" style="767" customWidth="1"/>
    <col min="1816" max="2051" width="9.1796875" style="767"/>
    <col min="2052" max="2052" width="3.7265625" style="767" customWidth="1"/>
    <col min="2053" max="2053" width="14.453125" style="767" customWidth="1"/>
    <col min="2054" max="2054" width="3.7265625" style="767" customWidth="1"/>
    <col min="2055" max="2055" width="14.7265625" style="767" customWidth="1"/>
    <col min="2056" max="2069" width="7" style="767" customWidth="1"/>
    <col min="2070" max="2071" width="13.81640625" style="767" customWidth="1"/>
    <col min="2072" max="2307" width="9.1796875" style="767"/>
    <col min="2308" max="2308" width="3.7265625" style="767" customWidth="1"/>
    <col min="2309" max="2309" width="14.453125" style="767" customWidth="1"/>
    <col min="2310" max="2310" width="3.7265625" style="767" customWidth="1"/>
    <col min="2311" max="2311" width="14.7265625" style="767" customWidth="1"/>
    <col min="2312" max="2325" width="7" style="767" customWidth="1"/>
    <col min="2326" max="2327" width="13.81640625" style="767" customWidth="1"/>
    <col min="2328" max="2563" width="9.1796875" style="767"/>
    <col min="2564" max="2564" width="3.7265625" style="767" customWidth="1"/>
    <col min="2565" max="2565" width="14.453125" style="767" customWidth="1"/>
    <col min="2566" max="2566" width="3.7265625" style="767" customWidth="1"/>
    <col min="2567" max="2567" width="14.7265625" style="767" customWidth="1"/>
    <col min="2568" max="2581" width="7" style="767" customWidth="1"/>
    <col min="2582" max="2583" width="13.81640625" style="767" customWidth="1"/>
    <col min="2584" max="2819" width="9.1796875" style="767"/>
    <col min="2820" max="2820" width="3.7265625" style="767" customWidth="1"/>
    <col min="2821" max="2821" width="14.453125" style="767" customWidth="1"/>
    <col min="2822" max="2822" width="3.7265625" style="767" customWidth="1"/>
    <col min="2823" max="2823" width="14.7265625" style="767" customWidth="1"/>
    <col min="2824" max="2837" width="7" style="767" customWidth="1"/>
    <col min="2838" max="2839" width="13.81640625" style="767" customWidth="1"/>
    <col min="2840" max="3075" width="9.1796875" style="767"/>
    <col min="3076" max="3076" width="3.7265625" style="767" customWidth="1"/>
    <col min="3077" max="3077" width="14.453125" style="767" customWidth="1"/>
    <col min="3078" max="3078" width="3.7265625" style="767" customWidth="1"/>
    <col min="3079" max="3079" width="14.7265625" style="767" customWidth="1"/>
    <col min="3080" max="3093" width="7" style="767" customWidth="1"/>
    <col min="3094" max="3095" width="13.81640625" style="767" customWidth="1"/>
    <col min="3096" max="3331" width="9.1796875" style="767"/>
    <col min="3332" max="3332" width="3.7265625" style="767" customWidth="1"/>
    <col min="3333" max="3333" width="14.453125" style="767" customWidth="1"/>
    <col min="3334" max="3334" width="3.7265625" style="767" customWidth="1"/>
    <col min="3335" max="3335" width="14.7265625" style="767" customWidth="1"/>
    <col min="3336" max="3349" width="7" style="767" customWidth="1"/>
    <col min="3350" max="3351" width="13.81640625" style="767" customWidth="1"/>
    <col min="3352" max="3587" width="9.1796875" style="767"/>
    <col min="3588" max="3588" width="3.7265625" style="767" customWidth="1"/>
    <col min="3589" max="3589" width="14.453125" style="767" customWidth="1"/>
    <col min="3590" max="3590" width="3.7265625" style="767" customWidth="1"/>
    <col min="3591" max="3591" width="14.7265625" style="767" customWidth="1"/>
    <col min="3592" max="3605" width="7" style="767" customWidth="1"/>
    <col min="3606" max="3607" width="13.81640625" style="767" customWidth="1"/>
    <col min="3608" max="3843" width="9.1796875" style="767"/>
    <col min="3844" max="3844" width="3.7265625" style="767" customWidth="1"/>
    <col min="3845" max="3845" width="14.453125" style="767" customWidth="1"/>
    <col min="3846" max="3846" width="3.7265625" style="767" customWidth="1"/>
    <col min="3847" max="3847" width="14.7265625" style="767" customWidth="1"/>
    <col min="3848" max="3861" width="7" style="767" customWidth="1"/>
    <col min="3862" max="3863" width="13.81640625" style="767" customWidth="1"/>
    <col min="3864" max="4099" width="9.1796875" style="767"/>
    <col min="4100" max="4100" width="3.7265625" style="767" customWidth="1"/>
    <col min="4101" max="4101" width="14.453125" style="767" customWidth="1"/>
    <col min="4102" max="4102" width="3.7265625" style="767" customWidth="1"/>
    <col min="4103" max="4103" width="14.7265625" style="767" customWidth="1"/>
    <col min="4104" max="4117" width="7" style="767" customWidth="1"/>
    <col min="4118" max="4119" width="13.81640625" style="767" customWidth="1"/>
    <col min="4120" max="4355" width="9.1796875" style="767"/>
    <col min="4356" max="4356" width="3.7265625" style="767" customWidth="1"/>
    <col min="4357" max="4357" width="14.453125" style="767" customWidth="1"/>
    <col min="4358" max="4358" width="3.7265625" style="767" customWidth="1"/>
    <col min="4359" max="4359" width="14.7265625" style="767" customWidth="1"/>
    <col min="4360" max="4373" width="7" style="767" customWidth="1"/>
    <col min="4374" max="4375" width="13.81640625" style="767" customWidth="1"/>
    <col min="4376" max="4611" width="9.1796875" style="767"/>
    <col min="4612" max="4612" width="3.7265625" style="767" customWidth="1"/>
    <col min="4613" max="4613" width="14.453125" style="767" customWidth="1"/>
    <col min="4614" max="4614" width="3.7265625" style="767" customWidth="1"/>
    <col min="4615" max="4615" width="14.7265625" style="767" customWidth="1"/>
    <col min="4616" max="4629" width="7" style="767" customWidth="1"/>
    <col min="4630" max="4631" width="13.81640625" style="767" customWidth="1"/>
    <col min="4632" max="4867" width="9.1796875" style="767"/>
    <col min="4868" max="4868" width="3.7265625" style="767" customWidth="1"/>
    <col min="4869" max="4869" width="14.453125" style="767" customWidth="1"/>
    <col min="4870" max="4870" width="3.7265625" style="767" customWidth="1"/>
    <col min="4871" max="4871" width="14.7265625" style="767" customWidth="1"/>
    <col min="4872" max="4885" width="7" style="767" customWidth="1"/>
    <col min="4886" max="4887" width="13.81640625" style="767" customWidth="1"/>
    <col min="4888" max="5123" width="9.1796875" style="767"/>
    <col min="5124" max="5124" width="3.7265625" style="767" customWidth="1"/>
    <col min="5125" max="5125" width="14.453125" style="767" customWidth="1"/>
    <col min="5126" max="5126" width="3.7265625" style="767" customWidth="1"/>
    <col min="5127" max="5127" width="14.7265625" style="767" customWidth="1"/>
    <col min="5128" max="5141" width="7" style="767" customWidth="1"/>
    <col min="5142" max="5143" width="13.81640625" style="767" customWidth="1"/>
    <col min="5144" max="5379" width="9.1796875" style="767"/>
    <col min="5380" max="5380" width="3.7265625" style="767" customWidth="1"/>
    <col min="5381" max="5381" width="14.453125" style="767" customWidth="1"/>
    <col min="5382" max="5382" width="3.7265625" style="767" customWidth="1"/>
    <col min="5383" max="5383" width="14.7265625" style="767" customWidth="1"/>
    <col min="5384" max="5397" width="7" style="767" customWidth="1"/>
    <col min="5398" max="5399" width="13.81640625" style="767" customWidth="1"/>
    <col min="5400" max="5635" width="9.1796875" style="767"/>
    <col min="5636" max="5636" width="3.7265625" style="767" customWidth="1"/>
    <col min="5637" max="5637" width="14.453125" style="767" customWidth="1"/>
    <col min="5638" max="5638" width="3.7265625" style="767" customWidth="1"/>
    <col min="5639" max="5639" width="14.7265625" style="767" customWidth="1"/>
    <col min="5640" max="5653" width="7" style="767" customWidth="1"/>
    <col min="5654" max="5655" width="13.81640625" style="767" customWidth="1"/>
    <col min="5656" max="5891" width="9.1796875" style="767"/>
    <col min="5892" max="5892" width="3.7265625" style="767" customWidth="1"/>
    <col min="5893" max="5893" width="14.453125" style="767" customWidth="1"/>
    <col min="5894" max="5894" width="3.7265625" style="767" customWidth="1"/>
    <col min="5895" max="5895" width="14.7265625" style="767" customWidth="1"/>
    <col min="5896" max="5909" width="7" style="767" customWidth="1"/>
    <col min="5910" max="5911" width="13.81640625" style="767" customWidth="1"/>
    <col min="5912" max="6147" width="9.1796875" style="767"/>
    <col min="6148" max="6148" width="3.7265625" style="767" customWidth="1"/>
    <col min="6149" max="6149" width="14.453125" style="767" customWidth="1"/>
    <col min="6150" max="6150" width="3.7265625" style="767" customWidth="1"/>
    <col min="6151" max="6151" width="14.7265625" style="767" customWidth="1"/>
    <col min="6152" max="6165" width="7" style="767" customWidth="1"/>
    <col min="6166" max="6167" width="13.81640625" style="767" customWidth="1"/>
    <col min="6168" max="6403" width="9.1796875" style="767"/>
    <col min="6404" max="6404" width="3.7265625" style="767" customWidth="1"/>
    <col min="6405" max="6405" width="14.453125" style="767" customWidth="1"/>
    <col min="6406" max="6406" width="3.7265625" style="767" customWidth="1"/>
    <col min="6407" max="6407" width="14.7265625" style="767" customWidth="1"/>
    <col min="6408" max="6421" width="7" style="767" customWidth="1"/>
    <col min="6422" max="6423" width="13.81640625" style="767" customWidth="1"/>
    <col min="6424" max="6659" width="9.1796875" style="767"/>
    <col min="6660" max="6660" width="3.7265625" style="767" customWidth="1"/>
    <col min="6661" max="6661" width="14.453125" style="767" customWidth="1"/>
    <col min="6662" max="6662" width="3.7265625" style="767" customWidth="1"/>
    <col min="6663" max="6663" width="14.7265625" style="767" customWidth="1"/>
    <col min="6664" max="6677" width="7" style="767" customWidth="1"/>
    <col min="6678" max="6679" width="13.81640625" style="767" customWidth="1"/>
    <col min="6680" max="6915" width="9.1796875" style="767"/>
    <col min="6916" max="6916" width="3.7265625" style="767" customWidth="1"/>
    <col min="6917" max="6917" width="14.453125" style="767" customWidth="1"/>
    <col min="6918" max="6918" width="3.7265625" style="767" customWidth="1"/>
    <col min="6919" max="6919" width="14.7265625" style="767" customWidth="1"/>
    <col min="6920" max="6933" width="7" style="767" customWidth="1"/>
    <col min="6934" max="6935" width="13.81640625" style="767" customWidth="1"/>
    <col min="6936" max="7171" width="9.1796875" style="767"/>
    <col min="7172" max="7172" width="3.7265625" style="767" customWidth="1"/>
    <col min="7173" max="7173" width="14.453125" style="767" customWidth="1"/>
    <col min="7174" max="7174" width="3.7265625" style="767" customWidth="1"/>
    <col min="7175" max="7175" width="14.7265625" style="767" customWidth="1"/>
    <col min="7176" max="7189" width="7" style="767" customWidth="1"/>
    <col min="7190" max="7191" width="13.81640625" style="767" customWidth="1"/>
    <col min="7192" max="7427" width="9.1796875" style="767"/>
    <col min="7428" max="7428" width="3.7265625" style="767" customWidth="1"/>
    <col min="7429" max="7429" width="14.453125" style="767" customWidth="1"/>
    <col min="7430" max="7430" width="3.7265625" style="767" customWidth="1"/>
    <col min="7431" max="7431" width="14.7265625" style="767" customWidth="1"/>
    <col min="7432" max="7445" width="7" style="767" customWidth="1"/>
    <col min="7446" max="7447" width="13.81640625" style="767" customWidth="1"/>
    <col min="7448" max="7683" width="9.1796875" style="767"/>
    <col min="7684" max="7684" width="3.7265625" style="767" customWidth="1"/>
    <col min="7685" max="7685" width="14.453125" style="767" customWidth="1"/>
    <col min="7686" max="7686" width="3.7265625" style="767" customWidth="1"/>
    <col min="7687" max="7687" width="14.7265625" style="767" customWidth="1"/>
    <col min="7688" max="7701" width="7" style="767" customWidth="1"/>
    <col min="7702" max="7703" width="13.81640625" style="767" customWidth="1"/>
    <col min="7704" max="7939" width="9.1796875" style="767"/>
    <col min="7940" max="7940" width="3.7265625" style="767" customWidth="1"/>
    <col min="7941" max="7941" width="14.453125" style="767" customWidth="1"/>
    <col min="7942" max="7942" width="3.7265625" style="767" customWidth="1"/>
    <col min="7943" max="7943" width="14.7265625" style="767" customWidth="1"/>
    <col min="7944" max="7957" width="7" style="767" customWidth="1"/>
    <col min="7958" max="7959" width="13.81640625" style="767" customWidth="1"/>
    <col min="7960" max="8195" width="9.1796875" style="767"/>
    <col min="8196" max="8196" width="3.7265625" style="767" customWidth="1"/>
    <col min="8197" max="8197" width="14.453125" style="767" customWidth="1"/>
    <col min="8198" max="8198" width="3.7265625" style="767" customWidth="1"/>
    <col min="8199" max="8199" width="14.7265625" style="767" customWidth="1"/>
    <col min="8200" max="8213" width="7" style="767" customWidth="1"/>
    <col min="8214" max="8215" width="13.81640625" style="767" customWidth="1"/>
    <col min="8216" max="8451" width="9.1796875" style="767"/>
    <col min="8452" max="8452" width="3.7265625" style="767" customWidth="1"/>
    <col min="8453" max="8453" width="14.453125" style="767" customWidth="1"/>
    <col min="8454" max="8454" width="3.7265625" style="767" customWidth="1"/>
    <col min="8455" max="8455" width="14.7265625" style="767" customWidth="1"/>
    <col min="8456" max="8469" width="7" style="767" customWidth="1"/>
    <col min="8470" max="8471" width="13.81640625" style="767" customWidth="1"/>
    <col min="8472" max="8707" width="9.1796875" style="767"/>
    <col min="8708" max="8708" width="3.7265625" style="767" customWidth="1"/>
    <col min="8709" max="8709" width="14.453125" style="767" customWidth="1"/>
    <col min="8710" max="8710" width="3.7265625" style="767" customWidth="1"/>
    <col min="8711" max="8711" width="14.7265625" style="767" customWidth="1"/>
    <col min="8712" max="8725" width="7" style="767" customWidth="1"/>
    <col min="8726" max="8727" width="13.81640625" style="767" customWidth="1"/>
    <col min="8728" max="8963" width="9.1796875" style="767"/>
    <col min="8964" max="8964" width="3.7265625" style="767" customWidth="1"/>
    <col min="8965" max="8965" width="14.453125" style="767" customWidth="1"/>
    <col min="8966" max="8966" width="3.7265625" style="767" customWidth="1"/>
    <col min="8967" max="8967" width="14.7265625" style="767" customWidth="1"/>
    <col min="8968" max="8981" width="7" style="767" customWidth="1"/>
    <col min="8982" max="8983" width="13.81640625" style="767" customWidth="1"/>
    <col min="8984" max="9219" width="9.1796875" style="767"/>
    <col min="9220" max="9220" width="3.7265625" style="767" customWidth="1"/>
    <col min="9221" max="9221" width="14.453125" style="767" customWidth="1"/>
    <col min="9222" max="9222" width="3.7265625" style="767" customWidth="1"/>
    <col min="9223" max="9223" width="14.7265625" style="767" customWidth="1"/>
    <col min="9224" max="9237" width="7" style="767" customWidth="1"/>
    <col min="9238" max="9239" width="13.81640625" style="767" customWidth="1"/>
    <col min="9240" max="9475" width="9.1796875" style="767"/>
    <col min="9476" max="9476" width="3.7265625" style="767" customWidth="1"/>
    <col min="9477" max="9477" width="14.453125" style="767" customWidth="1"/>
    <col min="9478" max="9478" width="3.7265625" style="767" customWidth="1"/>
    <col min="9479" max="9479" width="14.7265625" style="767" customWidth="1"/>
    <col min="9480" max="9493" width="7" style="767" customWidth="1"/>
    <col min="9494" max="9495" width="13.81640625" style="767" customWidth="1"/>
    <col min="9496" max="9731" width="9.1796875" style="767"/>
    <col min="9732" max="9732" width="3.7265625" style="767" customWidth="1"/>
    <col min="9733" max="9733" width="14.453125" style="767" customWidth="1"/>
    <col min="9734" max="9734" width="3.7265625" style="767" customWidth="1"/>
    <col min="9735" max="9735" width="14.7265625" style="767" customWidth="1"/>
    <col min="9736" max="9749" width="7" style="767" customWidth="1"/>
    <col min="9750" max="9751" width="13.81640625" style="767" customWidth="1"/>
    <col min="9752" max="9987" width="9.1796875" style="767"/>
    <col min="9988" max="9988" width="3.7265625" style="767" customWidth="1"/>
    <col min="9989" max="9989" width="14.453125" style="767" customWidth="1"/>
    <col min="9990" max="9990" width="3.7265625" style="767" customWidth="1"/>
    <col min="9991" max="9991" width="14.7265625" style="767" customWidth="1"/>
    <col min="9992" max="10005" width="7" style="767" customWidth="1"/>
    <col min="10006" max="10007" width="13.81640625" style="767" customWidth="1"/>
    <col min="10008" max="10243" width="9.1796875" style="767"/>
    <col min="10244" max="10244" width="3.7265625" style="767" customWidth="1"/>
    <col min="10245" max="10245" width="14.453125" style="767" customWidth="1"/>
    <col min="10246" max="10246" width="3.7265625" style="767" customWidth="1"/>
    <col min="10247" max="10247" width="14.7265625" style="767" customWidth="1"/>
    <col min="10248" max="10261" width="7" style="767" customWidth="1"/>
    <col min="10262" max="10263" width="13.81640625" style="767" customWidth="1"/>
    <col min="10264" max="10499" width="9.1796875" style="767"/>
    <col min="10500" max="10500" width="3.7265625" style="767" customWidth="1"/>
    <col min="10501" max="10501" width="14.453125" style="767" customWidth="1"/>
    <col min="10502" max="10502" width="3.7265625" style="767" customWidth="1"/>
    <col min="10503" max="10503" width="14.7265625" style="767" customWidth="1"/>
    <col min="10504" max="10517" width="7" style="767" customWidth="1"/>
    <col min="10518" max="10519" width="13.81640625" style="767" customWidth="1"/>
    <col min="10520" max="10755" width="9.1796875" style="767"/>
    <col min="10756" max="10756" width="3.7265625" style="767" customWidth="1"/>
    <col min="10757" max="10757" width="14.453125" style="767" customWidth="1"/>
    <col min="10758" max="10758" width="3.7265625" style="767" customWidth="1"/>
    <col min="10759" max="10759" width="14.7265625" style="767" customWidth="1"/>
    <col min="10760" max="10773" width="7" style="767" customWidth="1"/>
    <col min="10774" max="10775" width="13.81640625" style="767" customWidth="1"/>
    <col min="10776" max="11011" width="9.1796875" style="767"/>
    <col min="11012" max="11012" width="3.7265625" style="767" customWidth="1"/>
    <col min="11013" max="11013" width="14.453125" style="767" customWidth="1"/>
    <col min="11014" max="11014" width="3.7265625" style="767" customWidth="1"/>
    <col min="11015" max="11015" width="14.7265625" style="767" customWidth="1"/>
    <col min="11016" max="11029" width="7" style="767" customWidth="1"/>
    <col min="11030" max="11031" width="13.81640625" style="767" customWidth="1"/>
    <col min="11032" max="11267" width="9.1796875" style="767"/>
    <col min="11268" max="11268" width="3.7265625" style="767" customWidth="1"/>
    <col min="11269" max="11269" width="14.453125" style="767" customWidth="1"/>
    <col min="11270" max="11270" width="3.7265625" style="767" customWidth="1"/>
    <col min="11271" max="11271" width="14.7265625" style="767" customWidth="1"/>
    <col min="11272" max="11285" width="7" style="767" customWidth="1"/>
    <col min="11286" max="11287" width="13.81640625" style="767" customWidth="1"/>
    <col min="11288" max="11523" width="9.1796875" style="767"/>
    <col min="11524" max="11524" width="3.7265625" style="767" customWidth="1"/>
    <col min="11525" max="11525" width="14.453125" style="767" customWidth="1"/>
    <col min="11526" max="11526" width="3.7265625" style="767" customWidth="1"/>
    <col min="11527" max="11527" width="14.7265625" style="767" customWidth="1"/>
    <col min="11528" max="11541" width="7" style="767" customWidth="1"/>
    <col min="11542" max="11543" width="13.81640625" style="767" customWidth="1"/>
    <col min="11544" max="11779" width="9.1796875" style="767"/>
    <col min="11780" max="11780" width="3.7265625" style="767" customWidth="1"/>
    <col min="11781" max="11781" width="14.453125" style="767" customWidth="1"/>
    <col min="11782" max="11782" width="3.7265625" style="767" customWidth="1"/>
    <col min="11783" max="11783" width="14.7265625" style="767" customWidth="1"/>
    <col min="11784" max="11797" width="7" style="767" customWidth="1"/>
    <col min="11798" max="11799" width="13.81640625" style="767" customWidth="1"/>
    <col min="11800" max="12035" width="9.1796875" style="767"/>
    <col min="12036" max="12036" width="3.7265625" style="767" customWidth="1"/>
    <col min="12037" max="12037" width="14.453125" style="767" customWidth="1"/>
    <col min="12038" max="12038" width="3.7265625" style="767" customWidth="1"/>
    <col min="12039" max="12039" width="14.7265625" style="767" customWidth="1"/>
    <col min="12040" max="12053" width="7" style="767" customWidth="1"/>
    <col min="12054" max="12055" width="13.81640625" style="767" customWidth="1"/>
    <col min="12056" max="12291" width="9.1796875" style="767"/>
    <col min="12292" max="12292" width="3.7265625" style="767" customWidth="1"/>
    <col min="12293" max="12293" width="14.453125" style="767" customWidth="1"/>
    <col min="12294" max="12294" width="3.7265625" style="767" customWidth="1"/>
    <col min="12295" max="12295" width="14.7265625" style="767" customWidth="1"/>
    <col min="12296" max="12309" width="7" style="767" customWidth="1"/>
    <col min="12310" max="12311" width="13.81640625" style="767" customWidth="1"/>
    <col min="12312" max="12547" width="9.1796875" style="767"/>
    <col min="12548" max="12548" width="3.7265625" style="767" customWidth="1"/>
    <col min="12549" max="12549" width="14.453125" style="767" customWidth="1"/>
    <col min="12550" max="12550" width="3.7265625" style="767" customWidth="1"/>
    <col min="12551" max="12551" width="14.7265625" style="767" customWidth="1"/>
    <col min="12552" max="12565" width="7" style="767" customWidth="1"/>
    <col min="12566" max="12567" width="13.81640625" style="767" customWidth="1"/>
    <col min="12568" max="12803" width="9.1796875" style="767"/>
    <col min="12804" max="12804" width="3.7265625" style="767" customWidth="1"/>
    <col min="12805" max="12805" width="14.453125" style="767" customWidth="1"/>
    <col min="12806" max="12806" width="3.7265625" style="767" customWidth="1"/>
    <col min="12807" max="12807" width="14.7265625" style="767" customWidth="1"/>
    <col min="12808" max="12821" width="7" style="767" customWidth="1"/>
    <col min="12822" max="12823" width="13.81640625" style="767" customWidth="1"/>
    <col min="12824" max="13059" width="9.1796875" style="767"/>
    <col min="13060" max="13060" width="3.7265625" style="767" customWidth="1"/>
    <col min="13061" max="13061" width="14.453125" style="767" customWidth="1"/>
    <col min="13062" max="13062" width="3.7265625" style="767" customWidth="1"/>
    <col min="13063" max="13063" width="14.7265625" style="767" customWidth="1"/>
    <col min="13064" max="13077" width="7" style="767" customWidth="1"/>
    <col min="13078" max="13079" width="13.81640625" style="767" customWidth="1"/>
    <col min="13080" max="13315" width="9.1796875" style="767"/>
    <col min="13316" max="13316" width="3.7265625" style="767" customWidth="1"/>
    <col min="13317" max="13317" width="14.453125" style="767" customWidth="1"/>
    <col min="13318" max="13318" width="3.7265625" style="767" customWidth="1"/>
    <col min="13319" max="13319" width="14.7265625" style="767" customWidth="1"/>
    <col min="13320" max="13333" width="7" style="767" customWidth="1"/>
    <col min="13334" max="13335" width="13.81640625" style="767" customWidth="1"/>
    <col min="13336" max="13571" width="9.1796875" style="767"/>
    <col min="13572" max="13572" width="3.7265625" style="767" customWidth="1"/>
    <col min="13573" max="13573" width="14.453125" style="767" customWidth="1"/>
    <col min="13574" max="13574" width="3.7265625" style="767" customWidth="1"/>
    <col min="13575" max="13575" width="14.7265625" style="767" customWidth="1"/>
    <col min="13576" max="13589" width="7" style="767" customWidth="1"/>
    <col min="13590" max="13591" width="13.81640625" style="767" customWidth="1"/>
    <col min="13592" max="13827" width="9.1796875" style="767"/>
    <col min="13828" max="13828" width="3.7265625" style="767" customWidth="1"/>
    <col min="13829" max="13829" width="14.453125" style="767" customWidth="1"/>
    <col min="13830" max="13830" width="3.7265625" style="767" customWidth="1"/>
    <col min="13831" max="13831" width="14.7265625" style="767" customWidth="1"/>
    <col min="13832" max="13845" width="7" style="767" customWidth="1"/>
    <col min="13846" max="13847" width="13.81640625" style="767" customWidth="1"/>
    <col min="13848" max="14083" width="9.1796875" style="767"/>
    <col min="14084" max="14084" width="3.7265625" style="767" customWidth="1"/>
    <col min="14085" max="14085" width="14.453125" style="767" customWidth="1"/>
    <col min="14086" max="14086" width="3.7265625" style="767" customWidth="1"/>
    <col min="14087" max="14087" width="14.7265625" style="767" customWidth="1"/>
    <col min="14088" max="14101" width="7" style="767" customWidth="1"/>
    <col min="14102" max="14103" width="13.81640625" style="767" customWidth="1"/>
    <col min="14104" max="14339" width="9.1796875" style="767"/>
    <col min="14340" max="14340" width="3.7265625" style="767" customWidth="1"/>
    <col min="14341" max="14341" width="14.453125" style="767" customWidth="1"/>
    <col min="14342" max="14342" width="3.7265625" style="767" customWidth="1"/>
    <col min="14343" max="14343" width="14.7265625" style="767" customWidth="1"/>
    <col min="14344" max="14357" width="7" style="767" customWidth="1"/>
    <col min="14358" max="14359" width="13.81640625" style="767" customWidth="1"/>
    <col min="14360" max="14595" width="9.1796875" style="767"/>
    <col min="14596" max="14596" width="3.7265625" style="767" customWidth="1"/>
    <col min="14597" max="14597" width="14.453125" style="767" customWidth="1"/>
    <col min="14598" max="14598" width="3.7265625" style="767" customWidth="1"/>
    <col min="14599" max="14599" width="14.7265625" style="767" customWidth="1"/>
    <col min="14600" max="14613" width="7" style="767" customWidth="1"/>
    <col min="14614" max="14615" width="13.81640625" style="767" customWidth="1"/>
    <col min="14616" max="14851" width="9.1796875" style="767"/>
    <col min="14852" max="14852" width="3.7265625" style="767" customWidth="1"/>
    <col min="14853" max="14853" width="14.453125" style="767" customWidth="1"/>
    <col min="14854" max="14854" width="3.7265625" style="767" customWidth="1"/>
    <col min="14855" max="14855" width="14.7265625" style="767" customWidth="1"/>
    <col min="14856" max="14869" width="7" style="767" customWidth="1"/>
    <col min="14870" max="14871" width="13.81640625" style="767" customWidth="1"/>
    <col min="14872" max="15107" width="9.1796875" style="767"/>
    <col min="15108" max="15108" width="3.7265625" style="767" customWidth="1"/>
    <col min="15109" max="15109" width="14.453125" style="767" customWidth="1"/>
    <col min="15110" max="15110" width="3.7265625" style="767" customWidth="1"/>
    <col min="15111" max="15111" width="14.7265625" style="767" customWidth="1"/>
    <col min="15112" max="15125" width="7" style="767" customWidth="1"/>
    <col min="15126" max="15127" width="13.81640625" style="767" customWidth="1"/>
    <col min="15128" max="15363" width="9.1796875" style="767"/>
    <col min="15364" max="15364" width="3.7265625" style="767" customWidth="1"/>
    <col min="15365" max="15365" width="14.453125" style="767" customWidth="1"/>
    <col min="15366" max="15366" width="3.7265625" style="767" customWidth="1"/>
    <col min="15367" max="15367" width="14.7265625" style="767" customWidth="1"/>
    <col min="15368" max="15381" width="7" style="767" customWidth="1"/>
    <col min="15382" max="15383" width="13.81640625" style="767" customWidth="1"/>
    <col min="15384" max="15619" width="9.1796875" style="767"/>
    <col min="15620" max="15620" width="3.7265625" style="767" customWidth="1"/>
    <col min="15621" max="15621" width="14.453125" style="767" customWidth="1"/>
    <col min="15622" max="15622" width="3.7265625" style="767" customWidth="1"/>
    <col min="15623" max="15623" width="14.7265625" style="767" customWidth="1"/>
    <col min="15624" max="15637" width="7" style="767" customWidth="1"/>
    <col min="15638" max="15639" width="13.81640625" style="767" customWidth="1"/>
    <col min="15640" max="15875" width="9.1796875" style="767"/>
    <col min="15876" max="15876" width="3.7265625" style="767" customWidth="1"/>
    <col min="15877" max="15877" width="14.453125" style="767" customWidth="1"/>
    <col min="15878" max="15878" width="3.7265625" style="767" customWidth="1"/>
    <col min="15879" max="15879" width="14.7265625" style="767" customWidth="1"/>
    <col min="15880" max="15893" width="7" style="767" customWidth="1"/>
    <col min="15894" max="15895" width="13.81640625" style="767" customWidth="1"/>
    <col min="15896" max="16131" width="9.1796875" style="767"/>
    <col min="16132" max="16132" width="3.7265625" style="767" customWidth="1"/>
    <col min="16133" max="16133" width="14.453125" style="767" customWidth="1"/>
    <col min="16134" max="16134" width="3.7265625" style="767" customWidth="1"/>
    <col min="16135" max="16135" width="14.7265625" style="767" customWidth="1"/>
    <col min="16136" max="16149" width="7" style="767" customWidth="1"/>
    <col min="16150" max="16151" width="13.81640625" style="767" customWidth="1"/>
    <col min="16152" max="16384" width="9.1796875" style="767"/>
  </cols>
  <sheetData>
    <row r="1" spans="1:27" s="1764" customFormat="1" ht="14" x14ac:dyDescent="0.3">
      <c r="A1" s="2070"/>
      <c r="B1" s="1768"/>
      <c r="C1" s="1768"/>
    </row>
    <row r="2" spans="1:27" s="1764" customFormat="1" ht="14.25" customHeight="1" x14ac:dyDescent="0.3">
      <c r="A2" s="1255">
        <v>1</v>
      </c>
      <c r="B2" s="1255" t="s">
        <v>0</v>
      </c>
      <c r="C2" s="1255">
        <v>80</v>
      </c>
      <c r="D2" s="4733" t="s">
        <v>1737</v>
      </c>
      <c r="E2" s="4734"/>
      <c r="F2" s="4734"/>
      <c r="G2" s="4734"/>
      <c r="H2" s="4734"/>
      <c r="I2" s="4734"/>
      <c r="J2" s="4734"/>
      <c r="K2" s="4734"/>
      <c r="L2" s="4734"/>
      <c r="M2" s="4734"/>
      <c r="N2" s="4734"/>
      <c r="O2" s="4734"/>
      <c r="P2" s="4734"/>
      <c r="Q2" s="4734"/>
      <c r="R2" s="4734"/>
      <c r="S2" s="4734"/>
      <c r="T2" s="4734"/>
      <c r="U2" s="4734"/>
      <c r="V2" s="4734"/>
      <c r="W2" s="4734"/>
      <c r="X2" s="4734"/>
      <c r="Y2" s="4734"/>
      <c r="Z2" s="4735"/>
    </row>
    <row r="3" spans="1:27" s="1764" customFormat="1" ht="14.25" customHeight="1" x14ac:dyDescent="0.3">
      <c r="A3" s="1255">
        <v>2</v>
      </c>
      <c r="B3" s="1255" t="s">
        <v>2</v>
      </c>
      <c r="C3" s="1255"/>
      <c r="D3" s="4733" t="s">
        <v>1738</v>
      </c>
      <c r="E3" s="4734"/>
      <c r="F3" s="4734"/>
      <c r="G3" s="4734"/>
      <c r="H3" s="4734"/>
      <c r="I3" s="4734"/>
      <c r="J3" s="4734"/>
      <c r="K3" s="4734"/>
      <c r="L3" s="4734"/>
      <c r="M3" s="4734"/>
      <c r="N3" s="4734"/>
      <c r="O3" s="4734"/>
      <c r="P3" s="4734"/>
      <c r="Q3" s="4734"/>
      <c r="R3" s="4734"/>
      <c r="S3" s="4734"/>
      <c r="T3" s="4734"/>
      <c r="U3" s="4734"/>
      <c r="V3" s="4734"/>
      <c r="W3" s="4734"/>
      <c r="X3" s="4734"/>
      <c r="Y3" s="4734"/>
      <c r="Z3" s="4735"/>
    </row>
    <row r="4" spans="1:27" s="1764" customFormat="1" ht="14" x14ac:dyDescent="0.3">
      <c r="A4" s="1255">
        <v>3</v>
      </c>
      <c r="B4" s="1255" t="s">
        <v>4</v>
      </c>
      <c r="C4" s="1255"/>
      <c r="D4" s="4733" t="s">
        <v>1739</v>
      </c>
      <c r="E4" s="4734"/>
      <c r="F4" s="4734"/>
      <c r="G4" s="4734"/>
      <c r="H4" s="4734"/>
      <c r="I4" s="4734"/>
      <c r="J4" s="4734"/>
      <c r="K4" s="4734"/>
      <c r="L4" s="4734"/>
      <c r="M4" s="4734"/>
      <c r="N4" s="4734"/>
      <c r="O4" s="4734"/>
      <c r="P4" s="4734"/>
      <c r="Q4" s="4734"/>
      <c r="R4" s="4734"/>
      <c r="S4" s="4734"/>
      <c r="T4" s="4734"/>
      <c r="U4" s="4734"/>
      <c r="V4" s="4734"/>
      <c r="W4" s="4734"/>
      <c r="X4" s="4734"/>
      <c r="Y4" s="4734"/>
      <c r="Z4" s="4735"/>
    </row>
    <row r="5" spans="1:27" ht="16" customHeight="1" x14ac:dyDescent="0.25">
      <c r="C5" s="728"/>
      <c r="D5" s="4176"/>
      <c r="E5" s="4176"/>
      <c r="F5" s="4176"/>
      <c r="G5" s="4176"/>
      <c r="H5" s="4176"/>
      <c r="I5" s="4176"/>
      <c r="J5" s="4176"/>
      <c r="K5" s="4176"/>
      <c r="L5" s="4176"/>
      <c r="M5" s="4176"/>
      <c r="N5" s="4176"/>
      <c r="O5" s="4176"/>
      <c r="P5" s="4176"/>
      <c r="Q5" s="4176"/>
      <c r="R5" s="4176"/>
      <c r="S5" s="4176"/>
      <c r="T5" s="4176"/>
      <c r="U5" s="4176"/>
      <c r="V5" s="4176"/>
      <c r="W5" s="4176"/>
    </row>
    <row r="6" spans="1:27" s="1265" customFormat="1" ht="17.25" customHeight="1" x14ac:dyDescent="0.3">
      <c r="A6" s="1255">
        <v>4</v>
      </c>
      <c r="B6" s="728" t="s">
        <v>6</v>
      </c>
      <c r="C6" s="1260"/>
      <c r="D6" s="1629" t="s">
        <v>7</v>
      </c>
      <c r="E6" s="1629" t="s">
        <v>1740</v>
      </c>
      <c r="F6" s="1629"/>
      <c r="G6" s="1629"/>
      <c r="H6" s="2173"/>
      <c r="I6" s="2173"/>
      <c r="J6" s="1629"/>
      <c r="K6" s="1629"/>
      <c r="L6" s="1629"/>
      <c r="M6" s="1270"/>
      <c r="N6" s="1270"/>
      <c r="O6" s="1270"/>
      <c r="P6" s="1270"/>
      <c r="Q6" s="1270"/>
      <c r="R6" s="1270"/>
      <c r="S6" s="1270"/>
      <c r="T6" s="1270"/>
      <c r="U6" s="1270"/>
    </row>
    <row r="7" spans="1:27" s="1265" customFormat="1" ht="19.5" customHeight="1" x14ac:dyDescent="0.2">
      <c r="A7" s="1259"/>
      <c r="B7" s="1260"/>
      <c r="C7" s="1522"/>
      <c r="D7" s="4177"/>
      <c r="E7" s="4178">
        <v>1997</v>
      </c>
      <c r="F7" s="4178">
        <v>1998</v>
      </c>
      <c r="G7" s="4178">
        <v>1999</v>
      </c>
      <c r="H7" s="4178">
        <v>2000</v>
      </c>
      <c r="I7" s="4178">
        <v>2001</v>
      </c>
      <c r="J7" s="4178">
        <v>2002</v>
      </c>
      <c r="K7" s="4178">
        <v>2003</v>
      </c>
      <c r="L7" s="4178">
        <v>2004</v>
      </c>
      <c r="M7" s="4178">
        <v>2005</v>
      </c>
      <c r="N7" s="4178">
        <v>2006</v>
      </c>
      <c r="O7" s="4178">
        <v>2007</v>
      </c>
      <c r="P7" s="4178">
        <v>2008</v>
      </c>
      <c r="Q7" s="4178">
        <v>2009</v>
      </c>
      <c r="R7" s="4179">
        <v>2010</v>
      </c>
      <c r="S7" s="4179">
        <v>2011</v>
      </c>
      <c r="T7" s="4179">
        <v>2012</v>
      </c>
      <c r="U7" s="4179">
        <v>2013</v>
      </c>
      <c r="V7" s="4179">
        <v>2014</v>
      </c>
      <c r="W7" s="4180">
        <v>2015</v>
      </c>
      <c r="X7" s="4180">
        <v>2016</v>
      </c>
      <c r="Y7" s="4180">
        <v>2017</v>
      </c>
      <c r="Z7" s="4181">
        <v>2018</v>
      </c>
      <c r="AA7" s="4181">
        <v>2019</v>
      </c>
    </row>
    <row r="8" spans="1:27" s="1265" customFormat="1" ht="20.25" customHeight="1" x14ac:dyDescent="0.2">
      <c r="A8" s="1259"/>
      <c r="B8" s="1260"/>
      <c r="C8" s="1522"/>
      <c r="D8" s="4182" t="s">
        <v>1741</v>
      </c>
      <c r="E8" s="4183">
        <v>33</v>
      </c>
      <c r="F8" s="4183">
        <v>32</v>
      </c>
      <c r="G8" s="4183">
        <v>34</v>
      </c>
      <c r="H8" s="4183">
        <v>34</v>
      </c>
      <c r="I8" s="4183">
        <v>38</v>
      </c>
      <c r="J8" s="4183">
        <v>36</v>
      </c>
      <c r="K8" s="4183">
        <v>48</v>
      </c>
      <c r="L8" s="4183">
        <v>44</v>
      </c>
      <c r="M8" s="4183">
        <v>46</v>
      </c>
      <c r="N8" s="4183">
        <v>51</v>
      </c>
      <c r="O8" s="4183">
        <v>43</v>
      </c>
      <c r="P8" s="4183">
        <v>54</v>
      </c>
      <c r="Q8" s="4183">
        <v>55</v>
      </c>
      <c r="R8" s="4184">
        <v>54</v>
      </c>
      <c r="S8" s="4184">
        <v>64</v>
      </c>
      <c r="T8" s="4184">
        <v>69</v>
      </c>
      <c r="U8" s="4184">
        <v>72</v>
      </c>
      <c r="V8" s="4185">
        <v>67</v>
      </c>
      <c r="W8" s="4185">
        <v>61</v>
      </c>
      <c r="X8" s="4185">
        <v>64</v>
      </c>
      <c r="Y8" s="4185">
        <v>71</v>
      </c>
      <c r="Z8" s="4186">
        <v>73</v>
      </c>
      <c r="AA8" s="4186">
        <v>70</v>
      </c>
    </row>
    <row r="9" spans="1:27" s="1270" customFormat="1" ht="25.5" customHeight="1" x14ac:dyDescent="0.2">
      <c r="A9" s="1959"/>
      <c r="B9" s="1522"/>
      <c r="C9" s="1522"/>
      <c r="D9" s="4182" t="s">
        <v>1742</v>
      </c>
      <c r="E9" s="4183">
        <v>49</v>
      </c>
      <c r="F9" s="4183">
        <v>52</v>
      </c>
      <c r="G9" s="4183">
        <v>50</v>
      </c>
      <c r="H9" s="4183">
        <v>50</v>
      </c>
      <c r="I9" s="4183">
        <v>48</v>
      </c>
      <c r="J9" s="4183">
        <v>48</v>
      </c>
      <c r="K9" s="4183">
        <v>44</v>
      </c>
      <c r="L9" s="4183">
        <v>46</v>
      </c>
      <c r="M9" s="4183">
        <v>45</v>
      </c>
      <c r="N9" s="4183">
        <v>46</v>
      </c>
      <c r="O9" s="4183">
        <v>51</v>
      </c>
      <c r="P9" s="4183">
        <v>49</v>
      </c>
      <c r="Q9" s="4183">
        <v>47</v>
      </c>
      <c r="R9" s="4184">
        <v>45</v>
      </c>
      <c r="S9" s="4184">
        <v>41</v>
      </c>
      <c r="T9" s="4184">
        <v>43</v>
      </c>
      <c r="U9" s="4184">
        <v>42</v>
      </c>
      <c r="V9" s="4184">
        <v>44</v>
      </c>
      <c r="W9" s="4184">
        <v>44</v>
      </c>
      <c r="X9" s="4184">
        <v>45</v>
      </c>
      <c r="Y9" s="4184">
        <v>43</v>
      </c>
      <c r="Z9" s="4187">
        <v>43</v>
      </c>
      <c r="AA9" s="4187">
        <v>44</v>
      </c>
    </row>
    <row r="10" spans="1:27" s="1265" customFormat="1" ht="14.25" customHeight="1" x14ac:dyDescent="0.2">
      <c r="A10" s="1259"/>
      <c r="B10" s="1260"/>
      <c r="C10" s="1522"/>
      <c r="D10" s="4188" t="s">
        <v>311</v>
      </c>
      <c r="E10" s="4189"/>
      <c r="F10" s="4189">
        <v>85</v>
      </c>
      <c r="G10" s="4189">
        <v>99</v>
      </c>
      <c r="H10" s="4189">
        <v>90</v>
      </c>
      <c r="I10" s="4189">
        <v>91</v>
      </c>
      <c r="J10" s="4189">
        <v>102</v>
      </c>
      <c r="K10" s="4189">
        <v>133</v>
      </c>
      <c r="L10" s="4189">
        <v>146</v>
      </c>
      <c r="M10" s="4189">
        <v>159</v>
      </c>
      <c r="N10" s="4189">
        <v>163</v>
      </c>
      <c r="O10" s="4189">
        <v>180</v>
      </c>
      <c r="P10" s="4189">
        <v>180</v>
      </c>
      <c r="Q10" s="4189">
        <v>180</v>
      </c>
      <c r="R10" s="4190">
        <v>178</v>
      </c>
      <c r="S10" s="4190">
        <v>183</v>
      </c>
      <c r="T10" s="4190">
        <v>176</v>
      </c>
      <c r="U10" s="4190">
        <v>177</v>
      </c>
      <c r="V10" s="4190">
        <v>175</v>
      </c>
      <c r="W10" s="4190">
        <v>168</v>
      </c>
      <c r="X10" s="4190">
        <v>176</v>
      </c>
      <c r="Y10" s="4190">
        <v>180</v>
      </c>
      <c r="Z10" s="4191">
        <v>180</v>
      </c>
      <c r="AA10" s="4191">
        <v>180</v>
      </c>
    </row>
    <row r="11" spans="1:27" s="1265" customFormat="1" ht="14.25" customHeight="1" x14ac:dyDescent="0.2">
      <c r="A11" s="1255">
        <v>5</v>
      </c>
      <c r="B11" s="728" t="s">
        <v>56</v>
      </c>
      <c r="C11" s="1260"/>
      <c r="D11" s="1804"/>
      <c r="E11" s="2153"/>
      <c r="F11" s="2153"/>
      <c r="G11" s="2153"/>
      <c r="H11" s="2153"/>
      <c r="I11" s="2153"/>
      <c r="J11" s="2153"/>
      <c r="K11" s="2153"/>
      <c r="L11" s="2153"/>
      <c r="M11" s="2153"/>
      <c r="N11" s="2153"/>
      <c r="O11" s="2153"/>
      <c r="P11" s="2153"/>
      <c r="Q11" s="2153"/>
      <c r="R11" s="2153"/>
      <c r="S11" s="2153"/>
      <c r="T11" s="2153"/>
    </row>
    <row r="12" spans="1:27" x14ac:dyDescent="0.25">
      <c r="M12" s="787"/>
    </row>
    <row r="13" spans="1:27" x14ac:dyDescent="0.25">
      <c r="M13" s="787"/>
    </row>
    <row r="14" spans="1:27" x14ac:dyDescent="0.25">
      <c r="M14" s="787"/>
    </row>
    <row r="15" spans="1:27" x14ac:dyDescent="0.25">
      <c r="M15" s="787"/>
    </row>
    <row r="16" spans="1:27" x14ac:dyDescent="0.25">
      <c r="M16" s="787"/>
      <c r="W16" s="767" t="s">
        <v>294</v>
      </c>
    </row>
    <row r="17" spans="13:13" x14ac:dyDescent="0.25">
      <c r="M17" s="787"/>
    </row>
    <row r="18" spans="13:13" x14ac:dyDescent="0.25">
      <c r="M18" s="787"/>
    </row>
    <row r="19" spans="13:13" x14ac:dyDescent="0.25">
      <c r="M19" s="4192"/>
    </row>
    <row r="20" spans="13:13" x14ac:dyDescent="0.25">
      <c r="M20" s="787"/>
    </row>
    <row r="34" spans="1:26" s="1764" customFormat="1" ht="14.25" customHeight="1" x14ac:dyDescent="0.3">
      <c r="A34" s="1255">
        <v>6</v>
      </c>
      <c r="B34" s="1255" t="s">
        <v>58</v>
      </c>
      <c r="C34" s="1255"/>
      <c r="D34" s="4733" t="s">
        <v>1743</v>
      </c>
      <c r="E34" s="4734"/>
      <c r="F34" s="4734"/>
      <c r="G34" s="4734"/>
      <c r="H34" s="4734"/>
      <c r="I34" s="4734"/>
      <c r="J34" s="4734"/>
      <c r="K34" s="4734"/>
      <c r="L34" s="4734"/>
      <c r="M34" s="4734"/>
      <c r="N34" s="4734"/>
      <c r="O34" s="4734"/>
      <c r="P34" s="4734"/>
      <c r="Q34" s="4734"/>
      <c r="R34" s="4734"/>
      <c r="S34" s="4734"/>
      <c r="T34" s="4734"/>
      <c r="U34" s="4734"/>
      <c r="V34" s="4734"/>
      <c r="W34" s="4734"/>
      <c r="X34" s="4734"/>
      <c r="Y34" s="4734"/>
      <c r="Z34" s="4735"/>
    </row>
    <row r="35" spans="1:26" s="1764" customFormat="1" ht="19.5" customHeight="1" x14ac:dyDescent="0.3">
      <c r="A35" s="1306">
        <v>7</v>
      </c>
      <c r="B35" s="1306" t="s">
        <v>60</v>
      </c>
      <c r="C35" s="1306"/>
      <c r="D35" s="4733" t="s">
        <v>1744</v>
      </c>
      <c r="E35" s="4734"/>
      <c r="F35" s="4734"/>
      <c r="G35" s="4734"/>
      <c r="H35" s="4734"/>
      <c r="I35" s="4734"/>
      <c r="J35" s="4734"/>
      <c r="K35" s="4734"/>
      <c r="L35" s="4734"/>
      <c r="M35" s="4734"/>
      <c r="N35" s="4734"/>
      <c r="O35" s="4734"/>
      <c r="P35" s="4734"/>
      <c r="Q35" s="4734"/>
      <c r="R35" s="4734"/>
      <c r="S35" s="4734"/>
      <c r="T35" s="4734"/>
      <c r="U35" s="4734"/>
      <c r="V35" s="4734"/>
      <c r="W35" s="4734"/>
      <c r="X35" s="4734"/>
      <c r="Y35" s="4734"/>
      <c r="Z35" s="4735"/>
    </row>
    <row r="36" spans="1:26" s="1764" customFormat="1" ht="30" customHeight="1" x14ac:dyDescent="0.3">
      <c r="A36" s="1255">
        <v>8</v>
      </c>
      <c r="B36" s="1255" t="s">
        <v>278</v>
      </c>
      <c r="C36" s="1255"/>
      <c r="D36" s="4733" t="s">
        <v>1745</v>
      </c>
      <c r="E36" s="4734"/>
      <c r="F36" s="4734"/>
      <c r="G36" s="4734"/>
      <c r="H36" s="4734"/>
      <c r="I36" s="4734"/>
      <c r="J36" s="4734"/>
      <c r="K36" s="4734"/>
      <c r="L36" s="4734"/>
      <c r="M36" s="4734"/>
      <c r="N36" s="4734"/>
      <c r="O36" s="4734"/>
      <c r="P36" s="4734"/>
      <c r="Q36" s="4734"/>
      <c r="R36" s="4734"/>
      <c r="S36" s="4734"/>
      <c r="T36" s="4734"/>
      <c r="U36" s="4734"/>
      <c r="V36" s="4734"/>
      <c r="W36" s="4734"/>
      <c r="X36" s="4734"/>
      <c r="Y36" s="4734"/>
      <c r="Z36" s="4735"/>
    </row>
    <row r="37" spans="1:26" s="1764" customFormat="1" ht="14.25" customHeight="1" x14ac:dyDescent="0.3">
      <c r="A37" s="1255">
        <v>9</v>
      </c>
      <c r="B37" s="1255" t="s">
        <v>62</v>
      </c>
      <c r="C37" s="1255"/>
      <c r="D37" s="4733" t="s">
        <v>1746</v>
      </c>
      <c r="E37" s="4734"/>
      <c r="F37" s="4734"/>
      <c r="G37" s="4734"/>
      <c r="H37" s="4734"/>
      <c r="I37" s="4734"/>
      <c r="J37" s="4734"/>
      <c r="K37" s="4734"/>
      <c r="L37" s="4734"/>
      <c r="M37" s="4734"/>
      <c r="N37" s="4734"/>
      <c r="O37" s="4734"/>
      <c r="P37" s="4734"/>
      <c r="Q37" s="4734"/>
      <c r="R37" s="4734"/>
      <c r="S37" s="4734"/>
      <c r="T37" s="4734"/>
      <c r="U37" s="4734"/>
      <c r="V37" s="4734"/>
      <c r="W37" s="4734"/>
      <c r="X37" s="4734"/>
      <c r="Y37" s="4734"/>
      <c r="Z37" s="4735"/>
    </row>
    <row r="38" spans="1:26" s="3012" customFormat="1" ht="14.5" x14ac:dyDescent="0.35">
      <c r="A38" s="4193"/>
      <c r="B38" s="3006"/>
      <c r="C38" s="3006"/>
      <c r="D38" s="5087"/>
      <c r="E38" s="5087"/>
      <c r="F38" s="5087"/>
      <c r="G38" s="5087"/>
      <c r="H38" s="5087"/>
      <c r="I38" s="5087"/>
      <c r="J38" s="5087"/>
      <c r="K38" s="5087"/>
      <c r="L38" s="5087"/>
      <c r="M38" s="5087"/>
      <c r="N38" s="5087"/>
      <c r="O38" s="5087"/>
      <c r="P38" s="5087"/>
      <c r="Q38" s="5087"/>
      <c r="R38" s="5087"/>
      <c r="S38" s="5087"/>
      <c r="T38" s="5087"/>
      <c r="U38" s="724"/>
      <c r="V38" s="3090"/>
    </row>
  </sheetData>
  <mergeCells count="8">
    <mergeCell ref="D37:Z37"/>
    <mergeCell ref="D38:T38"/>
    <mergeCell ref="D2:Z2"/>
    <mergeCell ref="D3:Z3"/>
    <mergeCell ref="D4:Z4"/>
    <mergeCell ref="D34:Z34"/>
    <mergeCell ref="D35:Z35"/>
    <mergeCell ref="D36:Z36"/>
  </mergeCells>
  <hyperlinks>
    <hyperlink ref="D37" r:id="rId1" display="www.transparency.org" xr:uid="{00000000-0004-0000-4F00-000000000000}"/>
  </hyperlinks>
  <pageMargins left="0.74803149606299213" right="0.74803149606299213" top="0.98425196850393704" bottom="0.98425196850393704" header="0.51181102362204722" footer="0.51181102362204722"/>
  <pageSetup paperSize="9" scale="61" orientation="landscape" r:id="rId2"/>
  <headerFooter alignWithMargins="0">
    <oddHeader>&amp;C&amp;"-,Bold"DEVELOPMENT INDICATORS 2014</oddHeader>
    <oddFooter>&amp;LDepartment of Planning, Monitoring and Evaluation (DPME). &amp;CPage &amp;P of &amp;N&amp;R&amp;D</oddFooter>
  </headerFooter>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pageSetUpPr fitToPage="1"/>
  </sheetPr>
  <dimension ref="A1:BC65"/>
  <sheetViews>
    <sheetView showGridLines="0" view="pageBreakPreview" zoomScaleNormal="100" zoomScaleSheetLayoutView="100" workbookViewId="0">
      <selection activeCell="B36" sqref="B36"/>
    </sheetView>
  </sheetViews>
  <sheetFormatPr defaultRowHeight="14.5" x14ac:dyDescent="0.25"/>
  <cols>
    <col min="1" max="1" width="3.7265625" style="4194" customWidth="1"/>
    <col min="2" max="2" width="14.453125" style="4194" customWidth="1"/>
    <col min="3" max="3" width="3.7265625" style="4194" customWidth="1"/>
    <col min="4" max="11" width="10.7265625" style="1510" customWidth="1"/>
    <col min="12" max="12" width="9.1796875" style="1510" customWidth="1"/>
    <col min="13" max="13" width="10.26953125" style="1510" customWidth="1"/>
    <col min="14" max="24" width="10.7265625" style="1510" customWidth="1"/>
    <col min="25" max="25" width="11.26953125" style="1510" customWidth="1"/>
    <col min="26" max="26" width="11" style="1510" customWidth="1"/>
    <col min="27" max="27" width="11.81640625" style="1510" customWidth="1"/>
    <col min="28" max="28" width="10.26953125" style="1510" customWidth="1"/>
    <col min="29" max="29" width="8.7265625" style="1510"/>
    <col min="30" max="35" width="10.7265625" style="1510" customWidth="1"/>
    <col min="36" max="36" width="9.81640625" style="1510" customWidth="1"/>
    <col min="37" max="37" width="10" style="1510" customWidth="1"/>
    <col min="38" max="39" width="8.7265625" style="1510"/>
    <col min="40" max="40" width="9.81640625" style="1510" customWidth="1"/>
    <col min="41" max="41" width="11" style="1510" customWidth="1"/>
    <col min="42" max="42" width="10.1796875" style="1510" customWidth="1"/>
    <col min="43" max="43" width="8.7265625" style="1510"/>
    <col min="44" max="44" width="9.7265625" style="1510" customWidth="1"/>
    <col min="45" max="45" width="8.7265625" style="1510"/>
    <col min="46" max="46" width="9.453125" style="1510" customWidth="1"/>
    <col min="47" max="47" width="9.7265625" style="1510" customWidth="1"/>
    <col min="48" max="48" width="9.54296875" style="1510" customWidth="1"/>
    <col min="49" max="50" width="8.7265625" style="1510"/>
    <col min="51" max="51" width="10.54296875" style="1510" customWidth="1"/>
    <col min="52" max="275" width="8.7265625" style="1510"/>
    <col min="276" max="276" width="3.7265625" style="1510" customWidth="1"/>
    <col min="277" max="277" width="14.453125" style="1510" customWidth="1"/>
    <col min="278" max="278" width="3.7265625" style="1510" customWidth="1"/>
    <col min="279" max="293" width="10.7265625" style="1510" customWidth="1"/>
    <col min="294" max="294" width="8.7265625" style="1510" customWidth="1"/>
    <col min="295" max="531" width="8.7265625" style="1510"/>
    <col min="532" max="532" width="3.7265625" style="1510" customWidth="1"/>
    <col min="533" max="533" width="14.453125" style="1510" customWidth="1"/>
    <col min="534" max="534" width="3.7265625" style="1510" customWidth="1"/>
    <col min="535" max="549" width="10.7265625" style="1510" customWidth="1"/>
    <col min="550" max="550" width="8.7265625" style="1510" customWidth="1"/>
    <col min="551" max="787" width="8.7265625" style="1510"/>
    <col min="788" max="788" width="3.7265625" style="1510" customWidth="1"/>
    <col min="789" max="789" width="14.453125" style="1510" customWidth="1"/>
    <col min="790" max="790" width="3.7265625" style="1510" customWidth="1"/>
    <col min="791" max="805" width="10.7265625" style="1510" customWidth="1"/>
    <col min="806" max="806" width="8.7265625" style="1510" customWidth="1"/>
    <col min="807" max="1043" width="8.7265625" style="1510"/>
    <col min="1044" max="1044" width="3.7265625" style="1510" customWidth="1"/>
    <col min="1045" max="1045" width="14.453125" style="1510" customWidth="1"/>
    <col min="1046" max="1046" width="3.7265625" style="1510" customWidth="1"/>
    <col min="1047" max="1061" width="10.7265625" style="1510" customWidth="1"/>
    <col min="1062" max="1062" width="8.7265625" style="1510" customWidth="1"/>
    <col min="1063" max="1299" width="8.7265625" style="1510"/>
    <col min="1300" max="1300" width="3.7265625" style="1510" customWidth="1"/>
    <col min="1301" max="1301" width="14.453125" style="1510" customWidth="1"/>
    <col min="1302" max="1302" width="3.7265625" style="1510" customWidth="1"/>
    <col min="1303" max="1317" width="10.7265625" style="1510" customWidth="1"/>
    <col min="1318" max="1318" width="8.7265625" style="1510" customWidth="1"/>
    <col min="1319" max="1555" width="8.7265625" style="1510"/>
    <col min="1556" max="1556" width="3.7265625" style="1510" customWidth="1"/>
    <col min="1557" max="1557" width="14.453125" style="1510" customWidth="1"/>
    <col min="1558" max="1558" width="3.7265625" style="1510" customWidth="1"/>
    <col min="1559" max="1573" width="10.7265625" style="1510" customWidth="1"/>
    <col min="1574" max="1574" width="8.7265625" style="1510" customWidth="1"/>
    <col min="1575" max="1811" width="8.7265625" style="1510"/>
    <col min="1812" max="1812" width="3.7265625" style="1510" customWidth="1"/>
    <col min="1813" max="1813" width="14.453125" style="1510" customWidth="1"/>
    <col min="1814" max="1814" width="3.7265625" style="1510" customWidth="1"/>
    <col min="1815" max="1829" width="10.7265625" style="1510" customWidth="1"/>
    <col min="1830" max="1830" width="8.7265625" style="1510" customWidth="1"/>
    <col min="1831" max="2067" width="8.7265625" style="1510"/>
    <col min="2068" max="2068" width="3.7265625" style="1510" customWidth="1"/>
    <col min="2069" max="2069" width="14.453125" style="1510" customWidth="1"/>
    <col min="2070" max="2070" width="3.7265625" style="1510" customWidth="1"/>
    <col min="2071" max="2085" width="10.7265625" style="1510" customWidth="1"/>
    <col min="2086" max="2086" width="8.7265625" style="1510" customWidth="1"/>
    <col min="2087" max="2323" width="8.7265625" style="1510"/>
    <col min="2324" max="2324" width="3.7265625" style="1510" customWidth="1"/>
    <col min="2325" max="2325" width="14.453125" style="1510" customWidth="1"/>
    <col min="2326" max="2326" width="3.7265625" style="1510" customWidth="1"/>
    <col min="2327" max="2341" width="10.7265625" style="1510" customWidth="1"/>
    <col min="2342" max="2342" width="8.7265625" style="1510" customWidth="1"/>
    <col min="2343" max="2579" width="8.7265625" style="1510"/>
    <col min="2580" max="2580" width="3.7265625" style="1510" customWidth="1"/>
    <col min="2581" max="2581" width="14.453125" style="1510" customWidth="1"/>
    <col min="2582" max="2582" width="3.7265625" style="1510" customWidth="1"/>
    <col min="2583" max="2597" width="10.7265625" style="1510" customWidth="1"/>
    <col min="2598" max="2598" width="8.7265625" style="1510" customWidth="1"/>
    <col min="2599" max="2835" width="8.7265625" style="1510"/>
    <col min="2836" max="2836" width="3.7265625" style="1510" customWidth="1"/>
    <col min="2837" max="2837" width="14.453125" style="1510" customWidth="1"/>
    <col min="2838" max="2838" width="3.7265625" style="1510" customWidth="1"/>
    <col min="2839" max="2853" width="10.7265625" style="1510" customWidth="1"/>
    <col min="2854" max="2854" width="8.7265625" style="1510" customWidth="1"/>
    <col min="2855" max="3091" width="8.7265625" style="1510"/>
    <col min="3092" max="3092" width="3.7265625" style="1510" customWidth="1"/>
    <col min="3093" max="3093" width="14.453125" style="1510" customWidth="1"/>
    <col min="3094" max="3094" width="3.7265625" style="1510" customWidth="1"/>
    <col min="3095" max="3109" width="10.7265625" style="1510" customWidth="1"/>
    <col min="3110" max="3110" width="8.7265625" style="1510" customWidth="1"/>
    <col min="3111" max="3347" width="8.7265625" style="1510"/>
    <col min="3348" max="3348" width="3.7265625" style="1510" customWidth="1"/>
    <col min="3349" max="3349" width="14.453125" style="1510" customWidth="1"/>
    <col min="3350" max="3350" width="3.7265625" style="1510" customWidth="1"/>
    <col min="3351" max="3365" width="10.7265625" style="1510" customWidth="1"/>
    <col min="3366" max="3366" width="8.7265625" style="1510" customWidth="1"/>
    <col min="3367" max="3603" width="8.7265625" style="1510"/>
    <col min="3604" max="3604" width="3.7265625" style="1510" customWidth="1"/>
    <col min="3605" max="3605" width="14.453125" style="1510" customWidth="1"/>
    <col min="3606" max="3606" width="3.7265625" style="1510" customWidth="1"/>
    <col min="3607" max="3621" width="10.7265625" style="1510" customWidth="1"/>
    <col min="3622" max="3622" width="8.7265625" style="1510" customWidth="1"/>
    <col min="3623" max="3859" width="8.7265625" style="1510"/>
    <col min="3860" max="3860" width="3.7265625" style="1510" customWidth="1"/>
    <col min="3861" max="3861" width="14.453125" style="1510" customWidth="1"/>
    <col min="3862" max="3862" width="3.7265625" style="1510" customWidth="1"/>
    <col min="3863" max="3877" width="10.7265625" style="1510" customWidth="1"/>
    <col min="3878" max="3878" width="8.7265625" style="1510" customWidth="1"/>
    <col min="3879" max="4115" width="8.7265625" style="1510"/>
    <col min="4116" max="4116" width="3.7265625" style="1510" customWidth="1"/>
    <col min="4117" max="4117" width="14.453125" style="1510" customWidth="1"/>
    <col min="4118" max="4118" width="3.7265625" style="1510" customWidth="1"/>
    <col min="4119" max="4133" width="10.7265625" style="1510" customWidth="1"/>
    <col min="4134" max="4134" width="8.7265625" style="1510" customWidth="1"/>
    <col min="4135" max="4371" width="8.7265625" style="1510"/>
    <col min="4372" max="4372" width="3.7265625" style="1510" customWidth="1"/>
    <col min="4373" max="4373" width="14.453125" style="1510" customWidth="1"/>
    <col min="4374" max="4374" width="3.7265625" style="1510" customWidth="1"/>
    <col min="4375" max="4389" width="10.7265625" style="1510" customWidth="1"/>
    <col min="4390" max="4390" width="8.7265625" style="1510" customWidth="1"/>
    <col min="4391" max="4627" width="8.7265625" style="1510"/>
    <col min="4628" max="4628" width="3.7265625" style="1510" customWidth="1"/>
    <col min="4629" max="4629" width="14.453125" style="1510" customWidth="1"/>
    <col min="4630" max="4630" width="3.7265625" style="1510" customWidth="1"/>
    <col min="4631" max="4645" width="10.7265625" style="1510" customWidth="1"/>
    <col min="4646" max="4646" width="8.7265625" style="1510" customWidth="1"/>
    <col min="4647" max="4883" width="8.7265625" style="1510"/>
    <col min="4884" max="4884" width="3.7265625" style="1510" customWidth="1"/>
    <col min="4885" max="4885" width="14.453125" style="1510" customWidth="1"/>
    <col min="4886" max="4886" width="3.7265625" style="1510" customWidth="1"/>
    <col min="4887" max="4901" width="10.7265625" style="1510" customWidth="1"/>
    <col min="4902" max="4902" width="8.7265625" style="1510" customWidth="1"/>
    <col min="4903" max="5139" width="8.7265625" style="1510"/>
    <col min="5140" max="5140" width="3.7265625" style="1510" customWidth="1"/>
    <col min="5141" max="5141" width="14.453125" style="1510" customWidth="1"/>
    <col min="5142" max="5142" width="3.7265625" style="1510" customWidth="1"/>
    <col min="5143" max="5157" width="10.7265625" style="1510" customWidth="1"/>
    <col min="5158" max="5158" width="8.7265625" style="1510" customWidth="1"/>
    <col min="5159" max="5395" width="8.7265625" style="1510"/>
    <col min="5396" max="5396" width="3.7265625" style="1510" customWidth="1"/>
    <col min="5397" max="5397" width="14.453125" style="1510" customWidth="1"/>
    <col min="5398" max="5398" width="3.7265625" style="1510" customWidth="1"/>
    <col min="5399" max="5413" width="10.7265625" style="1510" customWidth="1"/>
    <col min="5414" max="5414" width="8.7265625" style="1510" customWidth="1"/>
    <col min="5415" max="5651" width="8.7265625" style="1510"/>
    <col min="5652" max="5652" width="3.7265625" style="1510" customWidth="1"/>
    <col min="5653" max="5653" width="14.453125" style="1510" customWidth="1"/>
    <col min="5654" max="5654" width="3.7265625" style="1510" customWidth="1"/>
    <col min="5655" max="5669" width="10.7265625" style="1510" customWidth="1"/>
    <col min="5670" max="5670" width="8.7265625" style="1510" customWidth="1"/>
    <col min="5671" max="5907" width="8.7265625" style="1510"/>
    <col min="5908" max="5908" width="3.7265625" style="1510" customWidth="1"/>
    <col min="5909" max="5909" width="14.453125" style="1510" customWidth="1"/>
    <col min="5910" max="5910" width="3.7265625" style="1510" customWidth="1"/>
    <col min="5911" max="5925" width="10.7265625" style="1510" customWidth="1"/>
    <col min="5926" max="5926" width="8.7265625" style="1510" customWidth="1"/>
    <col min="5927" max="6163" width="8.7265625" style="1510"/>
    <col min="6164" max="6164" width="3.7265625" style="1510" customWidth="1"/>
    <col min="6165" max="6165" width="14.453125" style="1510" customWidth="1"/>
    <col min="6166" max="6166" width="3.7265625" style="1510" customWidth="1"/>
    <col min="6167" max="6181" width="10.7265625" style="1510" customWidth="1"/>
    <col min="6182" max="6182" width="8.7265625" style="1510" customWidth="1"/>
    <col min="6183" max="6419" width="8.7265625" style="1510"/>
    <col min="6420" max="6420" width="3.7265625" style="1510" customWidth="1"/>
    <col min="6421" max="6421" width="14.453125" style="1510" customWidth="1"/>
    <col min="6422" max="6422" width="3.7265625" style="1510" customWidth="1"/>
    <col min="6423" max="6437" width="10.7265625" style="1510" customWidth="1"/>
    <col min="6438" max="6438" width="8.7265625" style="1510" customWidth="1"/>
    <col min="6439" max="6675" width="8.7265625" style="1510"/>
    <col min="6676" max="6676" width="3.7265625" style="1510" customWidth="1"/>
    <col min="6677" max="6677" width="14.453125" style="1510" customWidth="1"/>
    <col min="6678" max="6678" width="3.7265625" style="1510" customWidth="1"/>
    <col min="6679" max="6693" width="10.7265625" style="1510" customWidth="1"/>
    <col min="6694" max="6694" width="8.7265625" style="1510" customWidth="1"/>
    <col min="6695" max="6931" width="8.7265625" style="1510"/>
    <col min="6932" max="6932" width="3.7265625" style="1510" customWidth="1"/>
    <col min="6933" max="6933" width="14.453125" style="1510" customWidth="1"/>
    <col min="6934" max="6934" width="3.7265625" style="1510" customWidth="1"/>
    <col min="6935" max="6949" width="10.7265625" style="1510" customWidth="1"/>
    <col min="6950" max="6950" width="8.7265625" style="1510" customWidth="1"/>
    <col min="6951" max="7187" width="8.7265625" style="1510"/>
    <col min="7188" max="7188" width="3.7265625" style="1510" customWidth="1"/>
    <col min="7189" max="7189" width="14.453125" style="1510" customWidth="1"/>
    <col min="7190" max="7190" width="3.7265625" style="1510" customWidth="1"/>
    <col min="7191" max="7205" width="10.7265625" style="1510" customWidth="1"/>
    <col min="7206" max="7206" width="8.7265625" style="1510" customWidth="1"/>
    <col min="7207" max="7443" width="8.7265625" style="1510"/>
    <col min="7444" max="7444" width="3.7265625" style="1510" customWidth="1"/>
    <col min="7445" max="7445" width="14.453125" style="1510" customWidth="1"/>
    <col min="7446" max="7446" width="3.7265625" style="1510" customWidth="1"/>
    <col min="7447" max="7461" width="10.7265625" style="1510" customWidth="1"/>
    <col min="7462" max="7462" width="8.7265625" style="1510" customWidth="1"/>
    <col min="7463" max="7699" width="8.7265625" style="1510"/>
    <col min="7700" max="7700" width="3.7265625" style="1510" customWidth="1"/>
    <col min="7701" max="7701" width="14.453125" style="1510" customWidth="1"/>
    <col min="7702" max="7702" width="3.7265625" style="1510" customWidth="1"/>
    <col min="7703" max="7717" width="10.7265625" style="1510" customWidth="1"/>
    <col min="7718" max="7718" width="8.7265625" style="1510" customWidth="1"/>
    <col min="7719" max="7955" width="8.7265625" style="1510"/>
    <col min="7956" max="7956" width="3.7265625" style="1510" customWidth="1"/>
    <col min="7957" max="7957" width="14.453125" style="1510" customWidth="1"/>
    <col min="7958" max="7958" width="3.7265625" style="1510" customWidth="1"/>
    <col min="7959" max="7973" width="10.7265625" style="1510" customWidth="1"/>
    <col min="7974" max="7974" width="8.7265625" style="1510" customWidth="1"/>
    <col min="7975" max="8211" width="8.7265625" style="1510"/>
    <col min="8212" max="8212" width="3.7265625" style="1510" customWidth="1"/>
    <col min="8213" max="8213" width="14.453125" style="1510" customWidth="1"/>
    <col min="8214" max="8214" width="3.7265625" style="1510" customWidth="1"/>
    <col min="8215" max="8229" width="10.7265625" style="1510" customWidth="1"/>
    <col min="8230" max="8230" width="8.7265625" style="1510" customWidth="1"/>
    <col min="8231" max="8467" width="8.7265625" style="1510"/>
    <col min="8468" max="8468" width="3.7265625" style="1510" customWidth="1"/>
    <col min="8469" max="8469" width="14.453125" style="1510" customWidth="1"/>
    <col min="8470" max="8470" width="3.7265625" style="1510" customWidth="1"/>
    <col min="8471" max="8485" width="10.7265625" style="1510" customWidth="1"/>
    <col min="8486" max="8486" width="8.7265625" style="1510" customWidth="1"/>
    <col min="8487" max="8723" width="8.7265625" style="1510"/>
    <col min="8724" max="8724" width="3.7265625" style="1510" customWidth="1"/>
    <col min="8725" max="8725" width="14.453125" style="1510" customWidth="1"/>
    <col min="8726" max="8726" width="3.7265625" style="1510" customWidth="1"/>
    <col min="8727" max="8741" width="10.7265625" style="1510" customWidth="1"/>
    <col min="8742" max="8742" width="8.7265625" style="1510" customWidth="1"/>
    <col min="8743" max="8979" width="8.7265625" style="1510"/>
    <col min="8980" max="8980" width="3.7265625" style="1510" customWidth="1"/>
    <col min="8981" max="8981" width="14.453125" style="1510" customWidth="1"/>
    <col min="8982" max="8982" width="3.7265625" style="1510" customWidth="1"/>
    <col min="8983" max="8997" width="10.7265625" style="1510" customWidth="1"/>
    <col min="8998" max="8998" width="8.7265625" style="1510" customWidth="1"/>
    <col min="8999" max="9235" width="8.7265625" style="1510"/>
    <col min="9236" max="9236" width="3.7265625" style="1510" customWidth="1"/>
    <col min="9237" max="9237" width="14.453125" style="1510" customWidth="1"/>
    <col min="9238" max="9238" width="3.7265625" style="1510" customWidth="1"/>
    <col min="9239" max="9253" width="10.7265625" style="1510" customWidth="1"/>
    <col min="9254" max="9254" width="8.7265625" style="1510" customWidth="1"/>
    <col min="9255" max="9491" width="8.7265625" style="1510"/>
    <col min="9492" max="9492" width="3.7265625" style="1510" customWidth="1"/>
    <col min="9493" max="9493" width="14.453125" style="1510" customWidth="1"/>
    <col min="9494" max="9494" width="3.7265625" style="1510" customWidth="1"/>
    <col min="9495" max="9509" width="10.7265625" style="1510" customWidth="1"/>
    <col min="9510" max="9510" width="8.7265625" style="1510" customWidth="1"/>
    <col min="9511" max="9747" width="8.7265625" style="1510"/>
    <col min="9748" max="9748" width="3.7265625" style="1510" customWidth="1"/>
    <col min="9749" max="9749" width="14.453125" style="1510" customWidth="1"/>
    <col min="9750" max="9750" width="3.7265625" style="1510" customWidth="1"/>
    <col min="9751" max="9765" width="10.7265625" style="1510" customWidth="1"/>
    <col min="9766" max="9766" width="8.7265625" style="1510" customWidth="1"/>
    <col min="9767" max="10003" width="8.7265625" style="1510"/>
    <col min="10004" max="10004" width="3.7265625" style="1510" customWidth="1"/>
    <col min="10005" max="10005" width="14.453125" style="1510" customWidth="1"/>
    <col min="10006" max="10006" width="3.7265625" style="1510" customWidth="1"/>
    <col min="10007" max="10021" width="10.7265625" style="1510" customWidth="1"/>
    <col min="10022" max="10022" width="8.7265625" style="1510" customWidth="1"/>
    <col min="10023" max="10259" width="8.7265625" style="1510"/>
    <col min="10260" max="10260" width="3.7265625" style="1510" customWidth="1"/>
    <col min="10261" max="10261" width="14.453125" style="1510" customWidth="1"/>
    <col min="10262" max="10262" width="3.7265625" style="1510" customWidth="1"/>
    <col min="10263" max="10277" width="10.7265625" style="1510" customWidth="1"/>
    <col min="10278" max="10278" width="8.7265625" style="1510" customWidth="1"/>
    <col min="10279" max="10515" width="8.7265625" style="1510"/>
    <col min="10516" max="10516" width="3.7265625" style="1510" customWidth="1"/>
    <col min="10517" max="10517" width="14.453125" style="1510" customWidth="1"/>
    <col min="10518" max="10518" width="3.7265625" style="1510" customWidth="1"/>
    <col min="10519" max="10533" width="10.7265625" style="1510" customWidth="1"/>
    <col min="10534" max="10534" width="8.7265625" style="1510" customWidth="1"/>
    <col min="10535" max="10771" width="8.7265625" style="1510"/>
    <col min="10772" max="10772" width="3.7265625" style="1510" customWidth="1"/>
    <col min="10773" max="10773" width="14.453125" style="1510" customWidth="1"/>
    <col min="10774" max="10774" width="3.7265625" style="1510" customWidth="1"/>
    <col min="10775" max="10789" width="10.7265625" style="1510" customWidth="1"/>
    <col min="10790" max="10790" width="8.7265625" style="1510" customWidth="1"/>
    <col min="10791" max="11027" width="8.7265625" style="1510"/>
    <col min="11028" max="11028" width="3.7265625" style="1510" customWidth="1"/>
    <col min="11029" max="11029" width="14.453125" style="1510" customWidth="1"/>
    <col min="11030" max="11030" width="3.7265625" style="1510" customWidth="1"/>
    <col min="11031" max="11045" width="10.7265625" style="1510" customWidth="1"/>
    <col min="11046" max="11046" width="8.7265625" style="1510" customWidth="1"/>
    <col min="11047" max="11283" width="8.7265625" style="1510"/>
    <col min="11284" max="11284" width="3.7265625" style="1510" customWidth="1"/>
    <col min="11285" max="11285" width="14.453125" style="1510" customWidth="1"/>
    <col min="11286" max="11286" width="3.7265625" style="1510" customWidth="1"/>
    <col min="11287" max="11301" width="10.7265625" style="1510" customWidth="1"/>
    <col min="11302" max="11302" width="8.7265625" style="1510" customWidth="1"/>
    <col min="11303" max="11539" width="8.7265625" style="1510"/>
    <col min="11540" max="11540" width="3.7265625" style="1510" customWidth="1"/>
    <col min="11541" max="11541" width="14.453125" style="1510" customWidth="1"/>
    <col min="11542" max="11542" width="3.7265625" style="1510" customWidth="1"/>
    <col min="11543" max="11557" width="10.7265625" style="1510" customWidth="1"/>
    <col min="11558" max="11558" width="8.7265625" style="1510" customWidth="1"/>
    <col min="11559" max="11795" width="8.7265625" style="1510"/>
    <col min="11796" max="11796" width="3.7265625" style="1510" customWidth="1"/>
    <col min="11797" max="11797" width="14.453125" style="1510" customWidth="1"/>
    <col min="11798" max="11798" width="3.7265625" style="1510" customWidth="1"/>
    <col min="11799" max="11813" width="10.7265625" style="1510" customWidth="1"/>
    <col min="11814" max="11814" width="8.7265625" style="1510" customWidth="1"/>
    <col min="11815" max="12051" width="8.7265625" style="1510"/>
    <col min="12052" max="12052" width="3.7265625" style="1510" customWidth="1"/>
    <col min="12053" max="12053" width="14.453125" style="1510" customWidth="1"/>
    <col min="12054" max="12054" width="3.7265625" style="1510" customWidth="1"/>
    <col min="12055" max="12069" width="10.7265625" style="1510" customWidth="1"/>
    <col min="12070" max="12070" width="8.7265625" style="1510" customWidth="1"/>
    <col min="12071" max="12307" width="8.7265625" style="1510"/>
    <col min="12308" max="12308" width="3.7265625" style="1510" customWidth="1"/>
    <col min="12309" max="12309" width="14.453125" style="1510" customWidth="1"/>
    <col min="12310" max="12310" width="3.7265625" style="1510" customWidth="1"/>
    <col min="12311" max="12325" width="10.7265625" style="1510" customWidth="1"/>
    <col min="12326" max="12326" width="8.7265625" style="1510" customWidth="1"/>
    <col min="12327" max="12563" width="8.7265625" style="1510"/>
    <col min="12564" max="12564" width="3.7265625" style="1510" customWidth="1"/>
    <col min="12565" max="12565" width="14.453125" style="1510" customWidth="1"/>
    <col min="12566" max="12566" width="3.7265625" style="1510" customWidth="1"/>
    <col min="12567" max="12581" width="10.7265625" style="1510" customWidth="1"/>
    <col min="12582" max="12582" width="8.7265625" style="1510" customWidth="1"/>
    <col min="12583" max="12819" width="8.7265625" style="1510"/>
    <col min="12820" max="12820" width="3.7265625" style="1510" customWidth="1"/>
    <col min="12821" max="12821" width="14.453125" style="1510" customWidth="1"/>
    <col min="12822" max="12822" width="3.7265625" style="1510" customWidth="1"/>
    <col min="12823" max="12837" width="10.7265625" style="1510" customWidth="1"/>
    <col min="12838" max="12838" width="8.7265625" style="1510" customWidth="1"/>
    <col min="12839" max="13075" width="8.7265625" style="1510"/>
    <col min="13076" max="13076" width="3.7265625" style="1510" customWidth="1"/>
    <col min="13077" max="13077" width="14.453125" style="1510" customWidth="1"/>
    <col min="13078" max="13078" width="3.7265625" style="1510" customWidth="1"/>
    <col min="13079" max="13093" width="10.7265625" style="1510" customWidth="1"/>
    <col min="13094" max="13094" width="8.7265625" style="1510" customWidth="1"/>
    <col min="13095" max="13331" width="8.7265625" style="1510"/>
    <col min="13332" max="13332" width="3.7265625" style="1510" customWidth="1"/>
    <col min="13333" max="13333" width="14.453125" style="1510" customWidth="1"/>
    <col min="13334" max="13334" width="3.7265625" style="1510" customWidth="1"/>
    <col min="13335" max="13349" width="10.7265625" style="1510" customWidth="1"/>
    <col min="13350" max="13350" width="8.7265625" style="1510" customWidth="1"/>
    <col min="13351" max="13587" width="8.7265625" style="1510"/>
    <col min="13588" max="13588" width="3.7265625" style="1510" customWidth="1"/>
    <col min="13589" max="13589" width="14.453125" style="1510" customWidth="1"/>
    <col min="13590" max="13590" width="3.7265625" style="1510" customWidth="1"/>
    <col min="13591" max="13605" width="10.7265625" style="1510" customWidth="1"/>
    <col min="13606" max="13606" width="8.7265625" style="1510" customWidth="1"/>
    <col min="13607" max="13843" width="8.7265625" style="1510"/>
    <col min="13844" max="13844" width="3.7265625" style="1510" customWidth="1"/>
    <col min="13845" max="13845" width="14.453125" style="1510" customWidth="1"/>
    <col min="13846" max="13846" width="3.7265625" style="1510" customWidth="1"/>
    <col min="13847" max="13861" width="10.7265625" style="1510" customWidth="1"/>
    <col min="13862" max="13862" width="8.7265625" style="1510" customWidth="1"/>
    <col min="13863" max="14099" width="8.7265625" style="1510"/>
    <col min="14100" max="14100" width="3.7265625" style="1510" customWidth="1"/>
    <col min="14101" max="14101" width="14.453125" style="1510" customWidth="1"/>
    <col min="14102" max="14102" width="3.7265625" style="1510" customWidth="1"/>
    <col min="14103" max="14117" width="10.7265625" style="1510" customWidth="1"/>
    <col min="14118" max="14118" width="8.7265625" style="1510" customWidth="1"/>
    <col min="14119" max="14355" width="8.7265625" style="1510"/>
    <col min="14356" max="14356" width="3.7265625" style="1510" customWidth="1"/>
    <col min="14357" max="14357" width="14.453125" style="1510" customWidth="1"/>
    <col min="14358" max="14358" width="3.7265625" style="1510" customWidth="1"/>
    <col min="14359" max="14373" width="10.7265625" style="1510" customWidth="1"/>
    <col min="14374" max="14374" width="8.7265625" style="1510" customWidth="1"/>
    <col min="14375" max="14611" width="8.7265625" style="1510"/>
    <col min="14612" max="14612" width="3.7265625" style="1510" customWidth="1"/>
    <col min="14613" max="14613" width="14.453125" style="1510" customWidth="1"/>
    <col min="14614" max="14614" width="3.7265625" style="1510" customWidth="1"/>
    <col min="14615" max="14629" width="10.7265625" style="1510" customWidth="1"/>
    <col min="14630" max="14630" width="8.7265625" style="1510" customWidth="1"/>
    <col min="14631" max="14867" width="8.7265625" style="1510"/>
    <col min="14868" max="14868" width="3.7265625" style="1510" customWidth="1"/>
    <col min="14869" max="14869" width="14.453125" style="1510" customWidth="1"/>
    <col min="14870" max="14870" width="3.7265625" style="1510" customWidth="1"/>
    <col min="14871" max="14885" width="10.7265625" style="1510" customWidth="1"/>
    <col min="14886" max="14886" width="8.7265625" style="1510" customWidth="1"/>
    <col min="14887" max="15123" width="8.7265625" style="1510"/>
    <col min="15124" max="15124" width="3.7265625" style="1510" customWidth="1"/>
    <col min="15125" max="15125" width="14.453125" style="1510" customWidth="1"/>
    <col min="15126" max="15126" width="3.7265625" style="1510" customWidth="1"/>
    <col min="15127" max="15141" width="10.7265625" style="1510" customWidth="1"/>
    <col min="15142" max="15142" width="8.7265625" style="1510" customWidth="1"/>
    <col min="15143" max="15379" width="8.7265625" style="1510"/>
    <col min="15380" max="15380" width="3.7265625" style="1510" customWidth="1"/>
    <col min="15381" max="15381" width="14.453125" style="1510" customWidth="1"/>
    <col min="15382" max="15382" width="3.7265625" style="1510" customWidth="1"/>
    <col min="15383" max="15397" width="10.7265625" style="1510" customWidth="1"/>
    <col min="15398" max="15398" width="8.7265625" style="1510" customWidth="1"/>
    <col min="15399" max="15635" width="8.7265625" style="1510"/>
    <col min="15636" max="15636" width="3.7265625" style="1510" customWidth="1"/>
    <col min="15637" max="15637" width="14.453125" style="1510" customWidth="1"/>
    <col min="15638" max="15638" width="3.7265625" style="1510" customWidth="1"/>
    <col min="15639" max="15653" width="10.7265625" style="1510" customWidth="1"/>
    <col min="15654" max="15654" width="8.7265625" style="1510" customWidth="1"/>
    <col min="15655" max="15891" width="8.7265625" style="1510"/>
    <col min="15892" max="15892" width="3.7265625" style="1510" customWidth="1"/>
    <col min="15893" max="15893" width="14.453125" style="1510" customWidth="1"/>
    <col min="15894" max="15894" width="3.7265625" style="1510" customWidth="1"/>
    <col min="15895" max="15909" width="10.7265625" style="1510" customWidth="1"/>
    <col min="15910" max="15910" width="8.7265625" style="1510" customWidth="1"/>
    <col min="15911" max="16147" width="8.7265625" style="1510"/>
    <col min="16148" max="16148" width="3.7265625" style="1510" customWidth="1"/>
    <col min="16149" max="16149" width="14.453125" style="1510" customWidth="1"/>
    <col min="16150" max="16150" width="3.7265625" style="1510" customWidth="1"/>
    <col min="16151" max="16165" width="10.7265625" style="1510" customWidth="1"/>
    <col min="16166" max="16166" width="8.7265625" style="1510" customWidth="1"/>
    <col min="16167" max="16384" width="8.7265625" style="1510"/>
  </cols>
  <sheetData>
    <row r="1" spans="1:55" x14ac:dyDescent="0.35">
      <c r="O1" s="1919"/>
      <c r="P1" s="1919"/>
      <c r="Q1" s="1919"/>
      <c r="R1" s="1919"/>
      <c r="T1" s="1919"/>
      <c r="U1" s="1919"/>
      <c r="V1" s="1919"/>
      <c r="W1" s="1919"/>
      <c r="X1" s="1919"/>
      <c r="Y1" s="1919"/>
      <c r="Z1" s="1919"/>
      <c r="AA1" s="1919"/>
      <c r="AB1" s="1919"/>
      <c r="AC1" s="1919"/>
    </row>
    <row r="2" spans="1:55" ht="12.75" customHeight="1" x14ac:dyDescent="0.25">
      <c r="A2" s="1255">
        <v>1</v>
      </c>
      <c r="B2" s="1255" t="s">
        <v>0</v>
      </c>
      <c r="C2" s="1255">
        <v>81</v>
      </c>
      <c r="D2" s="4733" t="s">
        <v>1747</v>
      </c>
      <c r="E2" s="4734"/>
      <c r="F2" s="4734"/>
      <c r="G2" s="4734"/>
      <c r="H2" s="4734"/>
      <c r="I2" s="4734"/>
      <c r="J2" s="4734"/>
      <c r="K2" s="4734"/>
      <c r="L2" s="4734"/>
      <c r="M2" s="4734"/>
      <c r="N2" s="4734"/>
      <c r="O2" s="4734"/>
      <c r="P2" s="4734"/>
      <c r="Q2" s="4734"/>
      <c r="R2" s="4734"/>
      <c r="S2" s="4734"/>
      <c r="T2" s="4734"/>
      <c r="U2" s="4734"/>
      <c r="V2" s="4734"/>
      <c r="W2" s="4734"/>
      <c r="X2" s="4734"/>
      <c r="Y2" s="4734"/>
      <c r="Z2" s="4734"/>
      <c r="AA2" s="4734"/>
      <c r="AB2" s="4734"/>
      <c r="AC2" s="4734"/>
      <c r="AD2" s="4735"/>
      <c r="AE2" s="1513"/>
      <c r="AF2" s="1513"/>
      <c r="AG2" s="1513"/>
      <c r="AH2" s="1513"/>
      <c r="AI2" s="1513"/>
    </row>
    <row r="3" spans="1:55" ht="12.75" customHeight="1" x14ac:dyDescent="0.25">
      <c r="A3" s="1255">
        <v>2</v>
      </c>
      <c r="B3" s="1255" t="s">
        <v>2</v>
      </c>
      <c r="C3" s="1255"/>
      <c r="D3" s="4733" t="s">
        <v>1748</v>
      </c>
      <c r="E3" s="4734"/>
      <c r="F3" s="4734"/>
      <c r="G3" s="4734"/>
      <c r="H3" s="4734"/>
      <c r="I3" s="4734"/>
      <c r="J3" s="4734"/>
      <c r="K3" s="4734"/>
      <c r="L3" s="4734"/>
      <c r="M3" s="4734"/>
      <c r="N3" s="4734"/>
      <c r="O3" s="4734"/>
      <c r="P3" s="4734"/>
      <c r="Q3" s="4734"/>
      <c r="R3" s="4734"/>
      <c r="S3" s="4734"/>
      <c r="T3" s="4734"/>
      <c r="U3" s="4734"/>
      <c r="V3" s="4734"/>
      <c r="W3" s="4734"/>
      <c r="X3" s="4734"/>
      <c r="Y3" s="4734"/>
      <c r="Z3" s="4734"/>
      <c r="AA3" s="4734"/>
      <c r="AB3" s="4734"/>
      <c r="AC3" s="4734"/>
      <c r="AD3" s="4735"/>
      <c r="AE3" s="1513"/>
      <c r="AF3" s="1513"/>
      <c r="AG3" s="1513"/>
      <c r="AH3" s="1513"/>
      <c r="AI3" s="1513"/>
    </row>
    <row r="4" spans="1:55" ht="15" customHeight="1" x14ac:dyDescent="0.25">
      <c r="A4" s="1255">
        <v>3</v>
      </c>
      <c r="B4" s="1255" t="s">
        <v>4</v>
      </c>
      <c r="C4" s="1255"/>
      <c r="D4" s="4733" t="s">
        <v>1749</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4"/>
      <c r="AC4" s="4734"/>
      <c r="AD4" s="4735"/>
      <c r="AE4" s="1513"/>
      <c r="AF4" s="1513"/>
      <c r="AG4" s="1513"/>
      <c r="AH4" s="1513"/>
      <c r="AI4" s="1513"/>
    </row>
    <row r="5" spans="1:55" ht="15" customHeight="1" x14ac:dyDescent="0.25">
      <c r="A5" s="1255"/>
      <c r="B5" s="1255"/>
      <c r="C5" s="1255"/>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row>
    <row r="6" spans="1:55" ht="13.5" thickBot="1" x14ac:dyDescent="0.35">
      <c r="A6" s="4193">
        <v>4</v>
      </c>
      <c r="B6" s="4193" t="s">
        <v>6</v>
      </c>
      <c r="C6" s="1260"/>
      <c r="D6" s="2173" t="s">
        <v>1750</v>
      </c>
      <c r="E6" s="2173">
        <v>2006</v>
      </c>
      <c r="F6" s="1766"/>
      <c r="G6" s="1766"/>
      <c r="H6" s="1766"/>
      <c r="I6" s="2173">
        <v>2008</v>
      </c>
      <c r="J6" s="2173"/>
      <c r="K6" s="1632"/>
      <c r="L6" s="1632"/>
      <c r="M6" s="1632"/>
      <c r="N6" s="2173">
        <v>2010</v>
      </c>
      <c r="O6" s="2173"/>
      <c r="P6" s="1632"/>
      <c r="Q6" s="1632"/>
      <c r="R6" s="1632"/>
      <c r="S6" s="2173">
        <v>2012</v>
      </c>
      <c r="T6" s="2173"/>
      <c r="U6" s="1632"/>
      <c r="V6" s="1632"/>
      <c r="W6" s="1632"/>
      <c r="X6" s="1632"/>
      <c r="Y6" s="2173">
        <v>2015</v>
      </c>
      <c r="Z6" s="1270"/>
      <c r="AA6" s="1270"/>
      <c r="AB6" s="2283"/>
      <c r="AC6" s="2283"/>
      <c r="AD6" s="2283"/>
      <c r="AE6" s="2173">
        <v>2016</v>
      </c>
      <c r="AF6" s="1270"/>
      <c r="AG6" s="1270"/>
      <c r="AH6" s="2283"/>
      <c r="AI6" s="2283"/>
      <c r="AJ6" s="2283"/>
      <c r="AK6" s="2173">
        <v>2017</v>
      </c>
      <c r="AL6" s="1270"/>
      <c r="AM6" s="1270"/>
      <c r="AN6" s="2283"/>
      <c r="AO6" s="2283"/>
      <c r="AP6" s="2283"/>
      <c r="AQ6" s="2173">
        <v>2018</v>
      </c>
      <c r="AR6" s="1270"/>
      <c r="AS6" s="1270"/>
      <c r="AT6" s="2283"/>
      <c r="AU6" s="2283"/>
      <c r="AV6" s="2283"/>
      <c r="AW6" s="2173">
        <v>2019</v>
      </c>
      <c r="AX6" s="1270"/>
      <c r="AY6" s="1270"/>
      <c r="AZ6" s="2283"/>
      <c r="BA6" s="2283"/>
      <c r="BB6" s="2283"/>
      <c r="BC6" s="2283"/>
    </row>
    <row r="7" spans="1:55" ht="12.5" x14ac:dyDescent="0.25">
      <c r="A7" s="1259"/>
      <c r="B7" s="1260"/>
      <c r="C7" s="1260"/>
      <c r="D7" s="4195"/>
      <c r="E7" s="4196"/>
      <c r="F7" s="4197"/>
      <c r="G7" s="4197"/>
      <c r="H7" s="4198"/>
      <c r="I7" s="4195"/>
      <c r="J7" s="4196"/>
      <c r="K7" s="4197"/>
      <c r="L7" s="4197"/>
      <c r="M7" s="4198"/>
      <c r="N7" s="4195"/>
      <c r="O7" s="4196"/>
      <c r="P7" s="4197"/>
      <c r="Q7" s="4197"/>
      <c r="R7" s="4198"/>
      <c r="S7" s="4195"/>
      <c r="T7" s="4196"/>
      <c r="U7" s="4197"/>
      <c r="V7" s="4197"/>
      <c r="W7" s="4197"/>
      <c r="X7" s="4198"/>
      <c r="Y7" s="4195"/>
      <c r="Z7" s="4196"/>
      <c r="AA7" s="4197"/>
      <c r="AB7" s="4197"/>
      <c r="AC7" s="4197"/>
      <c r="AD7" s="4198"/>
      <c r="AE7" s="4195"/>
      <c r="AF7" s="4196"/>
      <c r="AG7" s="4197"/>
      <c r="AH7" s="4197"/>
      <c r="AI7" s="4197"/>
      <c r="AJ7" s="4198"/>
      <c r="AK7" s="4195"/>
      <c r="AL7" s="4196"/>
      <c r="AM7" s="4197"/>
      <c r="AN7" s="4197"/>
      <c r="AO7" s="4197"/>
      <c r="AP7" s="4198"/>
      <c r="AQ7" s="4195"/>
      <c r="AR7" s="4196"/>
      <c r="AS7" s="4197"/>
      <c r="AT7" s="4197"/>
      <c r="AU7" s="4197"/>
      <c r="AV7" s="4198"/>
      <c r="AW7" s="4195"/>
      <c r="AX7" s="4196"/>
      <c r="AY7" s="4197"/>
      <c r="AZ7" s="4197"/>
      <c r="BA7" s="4197"/>
      <c r="BB7" s="4198"/>
      <c r="BC7" s="1632"/>
    </row>
    <row r="8" spans="1:55" ht="12.75" customHeight="1" x14ac:dyDescent="0.25">
      <c r="A8" s="1259"/>
      <c r="B8" s="1260"/>
      <c r="C8" s="1260"/>
      <c r="D8" s="4199" t="s">
        <v>1751</v>
      </c>
      <c r="E8" s="1522"/>
      <c r="F8" s="1522"/>
      <c r="G8" s="1522"/>
      <c r="H8" s="4200"/>
      <c r="I8" s="4199" t="s">
        <v>1751</v>
      </c>
      <c r="J8" s="1522"/>
      <c r="K8" s="1522"/>
      <c r="L8" s="1522"/>
      <c r="M8" s="4200"/>
      <c r="N8" s="4199" t="s">
        <v>1751</v>
      </c>
      <c r="O8" s="1522"/>
      <c r="P8" s="1522"/>
      <c r="Q8" s="1522"/>
      <c r="R8" s="4200"/>
      <c r="S8" s="4199" t="s">
        <v>1751</v>
      </c>
      <c r="T8" s="1522"/>
      <c r="U8" s="1522"/>
      <c r="V8" s="1522"/>
      <c r="W8" s="1522"/>
      <c r="X8" s="4200"/>
      <c r="Y8" s="4199" t="s">
        <v>1751</v>
      </c>
      <c r="Z8" s="1522"/>
      <c r="AA8" s="1522"/>
      <c r="AB8" s="1522"/>
      <c r="AC8" s="1522"/>
      <c r="AD8" s="4200"/>
      <c r="AE8" s="4199" t="s">
        <v>1751</v>
      </c>
      <c r="AF8" s="1522"/>
      <c r="AG8" s="1522"/>
      <c r="AH8" s="1522"/>
      <c r="AI8" s="1522"/>
      <c r="AJ8" s="4200"/>
      <c r="AK8" s="4199" t="s">
        <v>1751</v>
      </c>
      <c r="AL8" s="1522"/>
      <c r="AM8" s="1522"/>
      <c r="AN8" s="1522"/>
      <c r="AO8" s="1522"/>
      <c r="AP8" s="4200"/>
      <c r="AQ8" s="4199" t="s">
        <v>1751</v>
      </c>
      <c r="AR8" s="1522"/>
      <c r="AS8" s="1522"/>
      <c r="AT8" s="1522"/>
      <c r="AU8" s="1522"/>
      <c r="AV8" s="4200"/>
      <c r="AW8" s="4199" t="s">
        <v>1751</v>
      </c>
      <c r="AX8" s="1522"/>
      <c r="AY8" s="1522"/>
      <c r="AZ8" s="1522"/>
      <c r="BA8" s="1522"/>
      <c r="BB8" s="4200"/>
      <c r="BC8" s="1522"/>
    </row>
    <row r="9" spans="1:55" ht="21" x14ac:dyDescent="0.25">
      <c r="A9" s="1259"/>
      <c r="B9" s="1260"/>
      <c r="C9" s="1260"/>
      <c r="D9" s="4201"/>
      <c r="E9" s="4202" t="s">
        <v>1752</v>
      </c>
      <c r="F9" s="4202" t="s">
        <v>1753</v>
      </c>
      <c r="G9" s="4202" t="s">
        <v>225</v>
      </c>
      <c r="H9" s="4203"/>
      <c r="I9" s="4204" t="s">
        <v>1752</v>
      </c>
      <c r="J9" s="4205" t="s">
        <v>316</v>
      </c>
      <c r="K9" s="4206" t="s">
        <v>1754</v>
      </c>
      <c r="L9" s="4206"/>
      <c r="M9" s="4203"/>
      <c r="N9" s="4204" t="s">
        <v>1752</v>
      </c>
      <c r="O9" s="4206" t="s">
        <v>1755</v>
      </c>
      <c r="P9" s="4206" t="s">
        <v>1756</v>
      </c>
      <c r="Q9" s="4206" t="s">
        <v>1754</v>
      </c>
      <c r="R9" s="4203"/>
      <c r="S9" s="4204" t="s">
        <v>226</v>
      </c>
      <c r="T9" s="4205" t="s">
        <v>306</v>
      </c>
      <c r="U9" s="4206" t="s">
        <v>225</v>
      </c>
      <c r="V9" s="4206" t="s">
        <v>1756</v>
      </c>
      <c r="W9" s="4206" t="s">
        <v>1755</v>
      </c>
      <c r="X9" s="4203"/>
      <c r="Y9" s="4204" t="s">
        <v>226</v>
      </c>
      <c r="Z9" s="4206" t="s">
        <v>1756</v>
      </c>
      <c r="AA9" s="4205" t="s">
        <v>306</v>
      </c>
      <c r="AB9" s="4206" t="s">
        <v>1755</v>
      </c>
      <c r="AC9" s="4206"/>
      <c r="AD9" s="4203"/>
      <c r="AE9" s="4204" t="s">
        <v>226</v>
      </c>
      <c r="AF9" s="4206" t="s">
        <v>1756</v>
      </c>
      <c r="AG9" s="4205" t="s">
        <v>306</v>
      </c>
      <c r="AH9" s="4206" t="s">
        <v>1755</v>
      </c>
      <c r="AI9" s="4206"/>
      <c r="AJ9" s="4203"/>
      <c r="AK9" s="4204" t="s">
        <v>226</v>
      </c>
      <c r="AL9" s="4206" t="s">
        <v>1756</v>
      </c>
      <c r="AM9" s="4205" t="s">
        <v>306</v>
      </c>
      <c r="AN9" s="4206" t="s">
        <v>1755</v>
      </c>
      <c r="AO9" s="4206"/>
      <c r="AP9" s="4203"/>
      <c r="AQ9" s="4207" t="s">
        <v>226</v>
      </c>
      <c r="AR9" s="4208" t="s">
        <v>306</v>
      </c>
      <c r="AS9" s="4209" t="s">
        <v>1756</v>
      </c>
      <c r="AT9" s="4209" t="s">
        <v>1755</v>
      </c>
      <c r="AU9" s="4209" t="s">
        <v>1757</v>
      </c>
      <c r="AV9" s="4203"/>
      <c r="AW9" s="4207" t="s">
        <v>226</v>
      </c>
      <c r="AX9" s="4208" t="s">
        <v>306</v>
      </c>
      <c r="AY9" s="4209" t="s">
        <v>1756</v>
      </c>
      <c r="AZ9" s="4209" t="s">
        <v>51</v>
      </c>
      <c r="BA9" s="4209" t="s">
        <v>1757</v>
      </c>
      <c r="BB9" s="4203" t="s">
        <v>40</v>
      </c>
      <c r="BC9" s="1522"/>
    </row>
    <row r="10" spans="1:55" x14ac:dyDescent="0.25">
      <c r="A10" s="1259"/>
      <c r="B10" s="1260"/>
      <c r="C10" s="1260"/>
      <c r="D10" s="4210"/>
      <c r="E10" s="4211" t="s">
        <v>1758</v>
      </c>
      <c r="F10" s="4212" t="s">
        <v>316</v>
      </c>
      <c r="G10" s="4211" t="s">
        <v>1754</v>
      </c>
      <c r="H10" s="4213"/>
      <c r="I10" s="4214" t="s">
        <v>1758</v>
      </c>
      <c r="J10" s="4211" t="s">
        <v>225</v>
      </c>
      <c r="K10" s="4215"/>
      <c r="L10" s="4216"/>
      <c r="M10" s="4213"/>
      <c r="N10" s="4214" t="s">
        <v>226</v>
      </c>
      <c r="O10" s="4217" t="s">
        <v>306</v>
      </c>
      <c r="P10" s="4211" t="s">
        <v>225</v>
      </c>
      <c r="Q10" s="4216"/>
      <c r="R10" s="4213"/>
      <c r="S10" s="4214" t="s">
        <v>1752</v>
      </c>
      <c r="T10" s="4217"/>
      <c r="U10" s="4211"/>
      <c r="V10" s="4216"/>
      <c r="W10" s="4216"/>
      <c r="X10" s="4213"/>
      <c r="Y10" s="4214" t="s">
        <v>1754</v>
      </c>
      <c r="Z10" s="4216"/>
      <c r="AA10" s="4216"/>
      <c r="AB10" s="4216"/>
      <c r="AC10" s="4216"/>
      <c r="AD10" s="4218"/>
      <c r="AE10" s="4214" t="s">
        <v>1754</v>
      </c>
      <c r="AF10" s="4216"/>
      <c r="AG10" s="4216"/>
      <c r="AH10" s="4216"/>
      <c r="AI10" s="4216"/>
      <c r="AJ10" s="4218"/>
      <c r="AK10" s="4214" t="s">
        <v>1754</v>
      </c>
      <c r="AL10" s="4216"/>
      <c r="AM10" s="4216"/>
      <c r="AN10" s="4216"/>
      <c r="AO10" s="4216"/>
      <c r="AP10" s="4218"/>
      <c r="AQ10" s="4214"/>
      <c r="AR10" s="4216"/>
      <c r="AS10" s="4216"/>
      <c r="AT10" s="4216"/>
      <c r="AU10" s="4216"/>
      <c r="AV10" s="4218"/>
      <c r="AW10" s="4214"/>
      <c r="AX10" s="4216"/>
      <c r="AY10" s="4216"/>
      <c r="AZ10" s="4216"/>
      <c r="BA10" s="4216"/>
      <c r="BB10" s="4218"/>
      <c r="BC10" s="1930"/>
    </row>
    <row r="11" spans="1:55" ht="12.75" customHeight="1" x14ac:dyDescent="0.25">
      <c r="A11" s="1259"/>
      <c r="B11" s="1260"/>
      <c r="C11" s="1260"/>
      <c r="D11" s="4199" t="s">
        <v>1759</v>
      </c>
      <c r="E11" s="1522"/>
      <c r="F11" s="1522"/>
      <c r="G11" s="1522"/>
      <c r="H11" s="4200"/>
      <c r="I11" s="4199" t="s">
        <v>1759</v>
      </c>
      <c r="J11" s="1930"/>
      <c r="K11" s="1930"/>
      <c r="L11" s="1930"/>
      <c r="M11" s="4200"/>
      <c r="N11" s="4199" t="s">
        <v>1759</v>
      </c>
      <c r="O11" s="1930"/>
      <c r="P11" s="1930"/>
      <c r="Q11" s="1930"/>
      <c r="R11" s="4200"/>
      <c r="S11" s="4199" t="s">
        <v>1759</v>
      </c>
      <c r="T11" s="1930"/>
      <c r="U11" s="1930"/>
      <c r="V11" s="1930"/>
      <c r="W11" s="1930"/>
      <c r="X11" s="4200"/>
      <c r="Y11" s="4199" t="s">
        <v>1759</v>
      </c>
      <c r="Z11" s="1930"/>
      <c r="AA11" s="1930"/>
      <c r="AB11" s="1930"/>
      <c r="AC11" s="1930"/>
      <c r="AD11" s="4219"/>
      <c r="AE11" s="4199" t="s">
        <v>1759</v>
      </c>
      <c r="AF11" s="1930"/>
      <c r="AG11" s="1930"/>
      <c r="AH11" s="1930"/>
      <c r="AI11" s="1930"/>
      <c r="AJ11" s="4219"/>
      <c r="AK11" s="4199" t="s">
        <v>1759</v>
      </c>
      <c r="AL11" s="1930"/>
      <c r="AM11" s="1930"/>
      <c r="AN11" s="1930"/>
      <c r="AO11" s="1930"/>
      <c r="AP11" s="4219"/>
      <c r="AQ11" s="4199" t="s">
        <v>1759</v>
      </c>
      <c r="AR11" s="1930"/>
      <c r="AS11" s="1930"/>
      <c r="AT11" s="1930"/>
      <c r="AU11" s="1930"/>
      <c r="AV11" s="4219"/>
      <c r="AW11" s="4199" t="s">
        <v>1759</v>
      </c>
      <c r="AX11" s="1930"/>
      <c r="AY11" s="1930"/>
      <c r="AZ11" s="1930"/>
      <c r="BA11" s="1930"/>
      <c r="BB11" s="4219"/>
      <c r="BC11" s="1930"/>
    </row>
    <row r="12" spans="1:55" ht="20" x14ac:dyDescent="0.25">
      <c r="A12" s="1259"/>
      <c r="B12" s="1260"/>
      <c r="C12" s="1260"/>
      <c r="D12" s="4201"/>
      <c r="E12" s="4206" t="s">
        <v>1760</v>
      </c>
      <c r="F12" s="4206" t="s">
        <v>1755</v>
      </c>
      <c r="G12" s="4206" t="s">
        <v>310</v>
      </c>
      <c r="H12" s="4203"/>
      <c r="I12" s="4204" t="s">
        <v>39</v>
      </c>
      <c r="J12" s="4206" t="s">
        <v>1761</v>
      </c>
      <c r="K12" s="4206" t="s">
        <v>52</v>
      </c>
      <c r="L12" s="4206" t="s">
        <v>1762</v>
      </c>
      <c r="M12" s="4203"/>
      <c r="N12" s="4204" t="s">
        <v>40</v>
      </c>
      <c r="O12" s="4206" t="s">
        <v>1763</v>
      </c>
      <c r="P12" s="4206" t="s">
        <v>1764</v>
      </c>
      <c r="Q12" s="4206" t="s">
        <v>1762</v>
      </c>
      <c r="R12" s="4203" t="s">
        <v>1765</v>
      </c>
      <c r="S12" s="4204" t="s">
        <v>1754</v>
      </c>
      <c r="T12" s="4206" t="s">
        <v>1762</v>
      </c>
      <c r="U12" s="4206" t="s">
        <v>1763</v>
      </c>
      <c r="V12" s="4206" t="s">
        <v>1766</v>
      </c>
      <c r="W12" s="4206" t="s">
        <v>1753</v>
      </c>
      <c r="X12" s="4203"/>
      <c r="Y12" s="4204" t="s">
        <v>40</v>
      </c>
      <c r="Z12" s="4206" t="s">
        <v>1752</v>
      </c>
      <c r="AA12" s="4206" t="s">
        <v>225</v>
      </c>
      <c r="AB12" s="4206" t="s">
        <v>310</v>
      </c>
      <c r="AC12" s="4206" t="s">
        <v>1764</v>
      </c>
      <c r="AD12" s="4203" t="s">
        <v>1766</v>
      </c>
      <c r="AE12" s="4204" t="s">
        <v>40</v>
      </c>
      <c r="AF12" s="4206" t="s">
        <v>1752</v>
      </c>
      <c r="AG12" s="4206" t="s">
        <v>225</v>
      </c>
      <c r="AH12" s="4206" t="s">
        <v>310</v>
      </c>
      <c r="AI12" s="4206" t="s">
        <v>1764</v>
      </c>
      <c r="AJ12" s="4203" t="s">
        <v>1766</v>
      </c>
      <c r="AK12" s="4204" t="s">
        <v>40</v>
      </c>
      <c r="AL12" s="4206" t="s">
        <v>1752</v>
      </c>
      <c r="AM12" s="4206" t="s">
        <v>225</v>
      </c>
      <c r="AN12" s="4206" t="s">
        <v>310</v>
      </c>
      <c r="AO12" s="4206" t="s">
        <v>1764</v>
      </c>
      <c r="AP12" s="4203" t="s">
        <v>1766</v>
      </c>
      <c r="AQ12" s="4204" t="s">
        <v>51</v>
      </c>
      <c r="AR12" s="4206" t="s">
        <v>40</v>
      </c>
      <c r="AS12" s="4206" t="s">
        <v>1754</v>
      </c>
      <c r="AT12" s="4206" t="s">
        <v>310</v>
      </c>
      <c r="AU12" s="4206" t="s">
        <v>225</v>
      </c>
      <c r="AV12" s="4203" t="s">
        <v>1752</v>
      </c>
      <c r="AW12" s="4204" t="s">
        <v>1755</v>
      </c>
      <c r="AX12" s="4206" t="s">
        <v>38</v>
      </c>
      <c r="AY12" s="4206" t="s">
        <v>1754</v>
      </c>
      <c r="AZ12" s="4206" t="s">
        <v>1767</v>
      </c>
      <c r="BA12" s="4206" t="s">
        <v>1764</v>
      </c>
      <c r="BB12" s="4220" t="s">
        <v>1768</v>
      </c>
      <c r="BC12" s="1522"/>
    </row>
    <row r="13" spans="1:55" ht="22.5" customHeight="1" x14ac:dyDescent="0.25">
      <c r="A13" s="1259"/>
      <c r="B13" s="1260"/>
      <c r="C13" s="1260"/>
      <c r="D13" s="4221"/>
      <c r="E13" s="1930" t="s">
        <v>40</v>
      </c>
      <c r="F13" s="1930" t="s">
        <v>1764</v>
      </c>
      <c r="G13" s="1930" t="s">
        <v>1762</v>
      </c>
      <c r="H13" s="4200"/>
      <c r="I13" s="4222" t="s">
        <v>40</v>
      </c>
      <c r="J13" s="1930" t="s">
        <v>1755</v>
      </c>
      <c r="K13" s="1930" t="s">
        <v>310</v>
      </c>
      <c r="L13" s="1930" t="s">
        <v>1769</v>
      </c>
      <c r="M13" s="4200"/>
      <c r="N13" s="4222" t="s">
        <v>42</v>
      </c>
      <c r="O13" s="1930" t="s">
        <v>1761</v>
      </c>
      <c r="P13" s="1930" t="s">
        <v>52</v>
      </c>
      <c r="Q13" s="1930" t="s">
        <v>55</v>
      </c>
      <c r="R13" s="4200"/>
      <c r="S13" s="4222" t="s">
        <v>40</v>
      </c>
      <c r="T13" s="1930" t="s">
        <v>1761</v>
      </c>
      <c r="U13" s="1930" t="s">
        <v>46</v>
      </c>
      <c r="V13" s="1930" t="s">
        <v>305</v>
      </c>
      <c r="W13" s="1930" t="s">
        <v>42</v>
      </c>
      <c r="X13" s="4200"/>
      <c r="Y13" s="4222" t="s">
        <v>1770</v>
      </c>
      <c r="Z13" s="1930" t="s">
        <v>1761</v>
      </c>
      <c r="AA13" s="1930" t="s">
        <v>1763</v>
      </c>
      <c r="AB13" s="1930" t="s">
        <v>1753</v>
      </c>
      <c r="AC13" s="1930" t="s">
        <v>1757</v>
      </c>
      <c r="AD13" s="4200" t="s">
        <v>51</v>
      </c>
      <c r="AE13" s="4222" t="s">
        <v>1770</v>
      </c>
      <c r="AF13" s="1930" t="s">
        <v>1761</v>
      </c>
      <c r="AG13" s="1930" t="s">
        <v>1763</v>
      </c>
      <c r="AH13" s="1930" t="s">
        <v>1753</v>
      </c>
      <c r="AI13" s="1930" t="s">
        <v>1757</v>
      </c>
      <c r="AJ13" s="4200" t="s">
        <v>51</v>
      </c>
      <c r="AK13" s="4222" t="s">
        <v>1770</v>
      </c>
      <c r="AL13" s="1930" t="s">
        <v>1761</v>
      </c>
      <c r="AM13" s="1930" t="s">
        <v>1763</v>
      </c>
      <c r="AN13" s="1930" t="s">
        <v>1753</v>
      </c>
      <c r="AO13" s="1930" t="s">
        <v>1757</v>
      </c>
      <c r="AP13" s="4200" t="s">
        <v>51</v>
      </c>
      <c r="AQ13" s="4222" t="s">
        <v>38</v>
      </c>
      <c r="AR13" s="1930" t="s">
        <v>1770</v>
      </c>
      <c r="AS13" s="1930" t="s">
        <v>1764</v>
      </c>
      <c r="AT13" s="1522" t="s">
        <v>1766</v>
      </c>
      <c r="AU13" s="1930" t="s">
        <v>41</v>
      </c>
      <c r="AV13" s="4200" t="s">
        <v>1753</v>
      </c>
      <c r="AW13" s="4222" t="s">
        <v>1752</v>
      </c>
      <c r="AX13" s="1930" t="s">
        <v>1766</v>
      </c>
      <c r="AY13" s="1930" t="s">
        <v>41</v>
      </c>
      <c r="AZ13" s="1522" t="s">
        <v>1771</v>
      </c>
      <c r="BA13" s="1930" t="s">
        <v>1770</v>
      </c>
      <c r="BB13" s="4200" t="s">
        <v>47</v>
      </c>
      <c r="BC13" s="1522"/>
    </row>
    <row r="14" spans="1:55" ht="23.25" customHeight="1" x14ac:dyDescent="0.25">
      <c r="A14" s="1959"/>
      <c r="B14" s="1522"/>
      <c r="C14" s="1522"/>
      <c r="D14" s="4221"/>
      <c r="E14" s="1930" t="s">
        <v>1772</v>
      </c>
      <c r="F14" s="1930" t="s">
        <v>1773</v>
      </c>
      <c r="G14" s="1930" t="s">
        <v>1756</v>
      </c>
      <c r="H14" s="4200"/>
      <c r="I14" s="4222" t="s">
        <v>1763</v>
      </c>
      <c r="J14" s="1930" t="s">
        <v>1764</v>
      </c>
      <c r="K14" s="1930" t="s">
        <v>1753</v>
      </c>
      <c r="L14" s="1930" t="s">
        <v>1756</v>
      </c>
      <c r="M14" s="4200"/>
      <c r="N14" s="4222" t="s">
        <v>43</v>
      </c>
      <c r="O14" s="1930" t="s">
        <v>46</v>
      </c>
      <c r="P14" s="1930" t="s">
        <v>1753</v>
      </c>
      <c r="Q14" s="1930" t="s">
        <v>1769</v>
      </c>
      <c r="R14" s="4200"/>
      <c r="S14" s="4222" t="s">
        <v>1771</v>
      </c>
      <c r="T14" s="1930" t="s">
        <v>1774</v>
      </c>
      <c r="U14" s="1930" t="s">
        <v>55</v>
      </c>
      <c r="V14" s="1930" t="s">
        <v>1775</v>
      </c>
      <c r="W14" s="1930" t="s">
        <v>53</v>
      </c>
      <c r="X14" s="4200"/>
      <c r="Y14" s="4222" t="s">
        <v>1771</v>
      </c>
      <c r="Z14" s="1930" t="s">
        <v>1762</v>
      </c>
      <c r="AA14" s="1930" t="s">
        <v>1776</v>
      </c>
      <c r="AB14" s="1930" t="s">
        <v>53</v>
      </c>
      <c r="AC14" s="1930" t="s">
        <v>52</v>
      </c>
      <c r="AD14" s="4219" t="s">
        <v>1777</v>
      </c>
      <c r="AE14" s="4222" t="s">
        <v>1771</v>
      </c>
      <c r="AF14" s="1930" t="s">
        <v>1762</v>
      </c>
      <c r="AG14" s="1930" t="s">
        <v>1776</v>
      </c>
      <c r="AH14" s="1930" t="s">
        <v>53</v>
      </c>
      <c r="AI14" s="1930" t="s">
        <v>52</v>
      </c>
      <c r="AJ14" s="4219" t="s">
        <v>1777</v>
      </c>
      <c r="AK14" s="4222" t="s">
        <v>1771</v>
      </c>
      <c r="AL14" s="1930" t="s">
        <v>1762</v>
      </c>
      <c r="AM14" s="1930" t="s">
        <v>1776</v>
      </c>
      <c r="AN14" s="1930" t="s">
        <v>53</v>
      </c>
      <c r="AO14" s="1930" t="s">
        <v>52</v>
      </c>
      <c r="AP14" s="4219" t="s">
        <v>1777</v>
      </c>
      <c r="AQ14" s="4222" t="s">
        <v>1761</v>
      </c>
      <c r="AR14" s="1930" t="s">
        <v>1157</v>
      </c>
      <c r="AS14" s="1769" t="s">
        <v>1768</v>
      </c>
      <c r="AT14" s="1930" t="s">
        <v>1771</v>
      </c>
      <c r="AU14" s="1930" t="s">
        <v>53</v>
      </c>
      <c r="AV14" s="4219" t="s">
        <v>47</v>
      </c>
      <c r="AW14" s="4222" t="s">
        <v>225</v>
      </c>
      <c r="AX14" s="1930" t="s">
        <v>1761</v>
      </c>
      <c r="AY14" s="4223" t="s">
        <v>1778</v>
      </c>
      <c r="AZ14" s="1930" t="s">
        <v>1753</v>
      </c>
      <c r="BA14" s="1930" t="s">
        <v>53</v>
      </c>
      <c r="BB14" s="4219" t="s">
        <v>1779</v>
      </c>
      <c r="BC14" s="1930"/>
    </row>
    <row r="15" spans="1:55" ht="23.25" customHeight="1" x14ac:dyDescent="0.25">
      <c r="A15" s="1959"/>
      <c r="B15" s="1522"/>
      <c r="C15" s="1522"/>
      <c r="D15" s="4221"/>
      <c r="E15" s="1930"/>
      <c r="F15" s="1930"/>
      <c r="G15" s="1930"/>
      <c r="H15" s="4200"/>
      <c r="I15" s="4222"/>
      <c r="J15" s="1930"/>
      <c r="K15" s="1930"/>
      <c r="L15" s="1930"/>
      <c r="M15" s="4200"/>
      <c r="N15" s="4222"/>
      <c r="O15" s="1930"/>
      <c r="P15" s="1930"/>
      <c r="Q15" s="1930"/>
      <c r="R15" s="4200"/>
      <c r="S15" s="4222" t="s">
        <v>1778</v>
      </c>
      <c r="T15" s="1930" t="s">
        <v>51</v>
      </c>
      <c r="U15" s="1930"/>
      <c r="V15" s="1930"/>
      <c r="W15" s="1930"/>
      <c r="X15" s="4200"/>
      <c r="Y15" s="4222" t="s">
        <v>1774</v>
      </c>
      <c r="Z15" s="1930"/>
      <c r="AA15" s="1930"/>
      <c r="AB15" s="1930"/>
      <c r="AC15" s="1930"/>
      <c r="AD15" s="4219"/>
      <c r="AE15" s="4222" t="s">
        <v>1774</v>
      </c>
      <c r="AF15" s="1930"/>
      <c r="AG15" s="1930"/>
      <c r="AH15" s="1930"/>
      <c r="AI15" s="1930"/>
      <c r="AJ15" s="4219"/>
      <c r="AK15" s="4222" t="s">
        <v>1774</v>
      </c>
      <c r="AL15" s="1930"/>
      <c r="AM15" s="1930"/>
      <c r="AN15" s="1930"/>
      <c r="AO15" s="1930"/>
      <c r="AP15" s="4219"/>
      <c r="AQ15" s="4222" t="s">
        <v>1780</v>
      </c>
      <c r="AR15" s="1930" t="s">
        <v>1763</v>
      </c>
      <c r="AS15" s="1769" t="s">
        <v>1779</v>
      </c>
      <c r="AT15" s="1930"/>
      <c r="AU15" s="1930"/>
      <c r="AV15" s="4219"/>
      <c r="AW15" s="4222" t="s">
        <v>310</v>
      </c>
      <c r="AX15" s="1930" t="s">
        <v>1765</v>
      </c>
      <c r="AY15" s="4223" t="s">
        <v>1781</v>
      </c>
      <c r="AZ15" s="1930" t="s">
        <v>230</v>
      </c>
      <c r="BA15" s="1930" t="s">
        <v>1762</v>
      </c>
      <c r="BB15" s="4219" t="s">
        <v>1782</v>
      </c>
      <c r="BC15" s="1930"/>
    </row>
    <row r="16" spans="1:55" ht="24.75" customHeight="1" x14ac:dyDescent="0.25">
      <c r="A16" s="1259"/>
      <c r="B16" s="1260"/>
      <c r="C16" s="1260"/>
      <c r="D16" s="4210"/>
      <c r="E16" s="4216"/>
      <c r="F16" s="4216"/>
      <c r="G16" s="4216"/>
      <c r="H16" s="4213"/>
      <c r="I16" s="4214"/>
      <c r="J16" s="4216"/>
      <c r="K16" s="4216"/>
      <c r="L16" s="4216"/>
      <c r="M16" s="4213"/>
      <c r="N16" s="4214"/>
      <c r="O16" s="4216"/>
      <c r="P16" s="4216"/>
      <c r="Q16" s="4216"/>
      <c r="R16" s="4213"/>
      <c r="S16" s="4214"/>
      <c r="T16" s="4216"/>
      <c r="U16" s="4216"/>
      <c r="V16" s="4216"/>
      <c r="W16" s="4216"/>
      <c r="X16" s="4213"/>
      <c r="Y16" s="4214"/>
      <c r="Z16" s="4216"/>
      <c r="AA16" s="4216"/>
      <c r="AB16" s="4216"/>
      <c r="AC16" s="4216"/>
      <c r="AD16" s="4213"/>
      <c r="AE16" s="4214"/>
      <c r="AF16" s="4216"/>
      <c r="AG16" s="4216"/>
      <c r="AH16" s="4216"/>
      <c r="AI16" s="4216"/>
      <c r="AJ16" s="4213"/>
      <c r="AK16" s="4214"/>
      <c r="AL16" s="4216"/>
      <c r="AM16" s="4216"/>
      <c r="AN16" s="4216"/>
      <c r="AO16" s="4216"/>
      <c r="AP16" s="4213"/>
      <c r="AQ16" s="4214"/>
      <c r="AR16" s="4216"/>
      <c r="AS16" s="4216"/>
      <c r="AT16" s="4216"/>
      <c r="AU16" s="4216"/>
      <c r="AV16" s="4213"/>
      <c r="AW16" s="4214" t="s">
        <v>1780</v>
      </c>
      <c r="AX16" s="4216"/>
      <c r="AY16" s="4216"/>
      <c r="AZ16" s="4216"/>
      <c r="BA16" s="4216"/>
      <c r="BB16" s="4213"/>
      <c r="BC16" s="1522"/>
    </row>
    <row r="17" spans="1:55" ht="12.75" customHeight="1" x14ac:dyDescent="0.25">
      <c r="A17" s="1259"/>
      <c r="B17" s="1260"/>
      <c r="C17" s="1260"/>
      <c r="D17" s="4224" t="s">
        <v>1783</v>
      </c>
      <c r="E17" s="1522"/>
      <c r="F17" s="1522"/>
      <c r="G17" s="1522"/>
      <c r="H17" s="4200"/>
      <c r="I17" s="4224" t="s">
        <v>1783</v>
      </c>
      <c r="J17" s="1930"/>
      <c r="K17" s="1930"/>
      <c r="L17" s="1930"/>
      <c r="M17" s="4200"/>
      <c r="N17" s="4224" t="s">
        <v>1783</v>
      </c>
      <c r="O17" s="1930"/>
      <c r="P17" s="1930"/>
      <c r="Q17" s="1930"/>
      <c r="R17" s="4200"/>
      <c r="S17" s="4224" t="s">
        <v>1783</v>
      </c>
      <c r="T17" s="1930"/>
      <c r="U17" s="1930"/>
      <c r="V17" s="1930"/>
      <c r="W17" s="1930"/>
      <c r="X17" s="4200"/>
      <c r="Y17" s="4224" t="s">
        <v>1783</v>
      </c>
      <c r="Z17" s="1930"/>
      <c r="AA17" s="1930"/>
      <c r="AB17" s="1930"/>
      <c r="AC17" s="1930"/>
      <c r="AD17" s="4200"/>
      <c r="AE17" s="4224" t="s">
        <v>1783</v>
      </c>
      <c r="AF17" s="1930"/>
      <c r="AG17" s="1930"/>
      <c r="AH17" s="1930"/>
      <c r="AI17" s="1930"/>
      <c r="AJ17" s="4200"/>
      <c r="AK17" s="4224" t="s">
        <v>1783</v>
      </c>
      <c r="AL17" s="1930"/>
      <c r="AM17" s="1930"/>
      <c r="AN17" s="1930"/>
      <c r="AO17" s="1930"/>
      <c r="AP17" s="4200"/>
      <c r="AQ17" s="4224" t="s">
        <v>1783</v>
      </c>
      <c r="AR17" s="1930"/>
      <c r="AS17" s="1930"/>
      <c r="AT17" s="1930"/>
      <c r="AU17" s="1930"/>
      <c r="AV17" s="4200"/>
      <c r="AW17" s="4224" t="s">
        <v>1783</v>
      </c>
      <c r="AX17" s="1930"/>
      <c r="AY17" s="1930"/>
      <c r="AZ17" s="1930"/>
      <c r="BA17" s="1930"/>
      <c r="BB17" s="4200"/>
      <c r="BC17" s="1522"/>
    </row>
    <row r="18" spans="1:55" ht="20" x14ac:dyDescent="0.25">
      <c r="A18" s="1259"/>
      <c r="B18" s="1260"/>
      <c r="C18" s="1260"/>
      <c r="D18" s="4225"/>
      <c r="E18" s="4206" t="s">
        <v>43</v>
      </c>
      <c r="F18" s="4206" t="s">
        <v>47</v>
      </c>
      <c r="G18" s="4206" t="s">
        <v>1784</v>
      </c>
      <c r="H18" s="4220" t="s">
        <v>1769</v>
      </c>
      <c r="I18" s="4204" t="s">
        <v>37</v>
      </c>
      <c r="J18" s="4206" t="s">
        <v>1785</v>
      </c>
      <c r="K18" s="4206" t="s">
        <v>48</v>
      </c>
      <c r="L18" s="4206" t="s">
        <v>1766</v>
      </c>
      <c r="M18" s="4203"/>
      <c r="N18" s="4204" t="s">
        <v>37</v>
      </c>
      <c r="O18" s="4206" t="s">
        <v>1778</v>
      </c>
      <c r="P18" s="4206" t="s">
        <v>1780</v>
      </c>
      <c r="Q18" s="4206" t="s">
        <v>1786</v>
      </c>
      <c r="R18" s="4203" t="s">
        <v>305</v>
      </c>
      <c r="S18" s="4204" t="s">
        <v>1770</v>
      </c>
      <c r="T18" s="4206" t="s">
        <v>52</v>
      </c>
      <c r="U18" s="4206" t="s">
        <v>1787</v>
      </c>
      <c r="V18" s="4206" t="s">
        <v>43</v>
      </c>
      <c r="W18" s="4206" t="s">
        <v>1788</v>
      </c>
      <c r="X18" s="4203"/>
      <c r="Y18" s="4204" t="s">
        <v>37</v>
      </c>
      <c r="Z18" s="4206" t="s">
        <v>1775</v>
      </c>
      <c r="AA18" s="4206" t="s">
        <v>55</v>
      </c>
      <c r="AB18" s="4206" t="s">
        <v>42</v>
      </c>
      <c r="AC18" s="4206" t="s">
        <v>43</v>
      </c>
      <c r="AD18" s="4203" t="s">
        <v>305</v>
      </c>
      <c r="AE18" s="4204" t="s">
        <v>37</v>
      </c>
      <c r="AF18" s="4206" t="s">
        <v>1775</v>
      </c>
      <c r="AG18" s="4206" t="s">
        <v>55</v>
      </c>
      <c r="AH18" s="4206" t="s">
        <v>42</v>
      </c>
      <c r="AI18" s="4206" t="s">
        <v>43</v>
      </c>
      <c r="AJ18" s="4203" t="s">
        <v>305</v>
      </c>
      <c r="AK18" s="4204" t="s">
        <v>37</v>
      </c>
      <c r="AL18" s="4206" t="s">
        <v>1775</v>
      </c>
      <c r="AM18" s="4206" t="s">
        <v>55</v>
      </c>
      <c r="AN18" s="4206" t="s">
        <v>42</v>
      </c>
      <c r="AO18" s="4206" t="s">
        <v>43</v>
      </c>
      <c r="AP18" s="4203" t="s">
        <v>305</v>
      </c>
      <c r="AQ18" s="4204" t="s">
        <v>230</v>
      </c>
      <c r="AR18" s="4206" t="s">
        <v>1762</v>
      </c>
      <c r="AS18" s="4206" t="s">
        <v>1774</v>
      </c>
      <c r="AT18" s="4206" t="s">
        <v>52</v>
      </c>
      <c r="AU18" s="4206" t="s">
        <v>305</v>
      </c>
      <c r="AV18" s="4203" t="s">
        <v>1789</v>
      </c>
      <c r="AW18" s="4204" t="s">
        <v>52</v>
      </c>
      <c r="AX18" s="4206" t="s">
        <v>305</v>
      </c>
      <c r="AY18" s="4206" t="s">
        <v>1763</v>
      </c>
      <c r="AZ18" s="4206" t="s">
        <v>1790</v>
      </c>
      <c r="BA18" s="4206" t="s">
        <v>1774</v>
      </c>
      <c r="BB18" s="4203" t="s">
        <v>1791</v>
      </c>
      <c r="BC18" s="1522"/>
    </row>
    <row r="19" spans="1:55" ht="20" x14ac:dyDescent="0.25">
      <c r="A19" s="1259"/>
      <c r="B19" s="1260"/>
      <c r="C19" s="1260"/>
      <c r="D19" s="4226"/>
      <c r="E19" s="1930" t="s">
        <v>1792</v>
      </c>
      <c r="F19" s="1930" t="s">
        <v>1793</v>
      </c>
      <c r="G19" s="1930" t="s">
        <v>1794</v>
      </c>
      <c r="H19" s="4219" t="s">
        <v>1795</v>
      </c>
      <c r="I19" s="4222" t="s">
        <v>1788</v>
      </c>
      <c r="J19" s="1930" t="s">
        <v>1757</v>
      </c>
      <c r="K19" s="1930" t="s">
        <v>1796</v>
      </c>
      <c r="L19" s="1930" t="s">
        <v>1797</v>
      </c>
      <c r="M19" s="4200"/>
      <c r="N19" s="4222" t="s">
        <v>1798</v>
      </c>
      <c r="O19" s="1930" t="s">
        <v>1785</v>
      </c>
      <c r="P19" s="1930" t="s">
        <v>48</v>
      </c>
      <c r="Q19" s="1930" t="s">
        <v>1799</v>
      </c>
      <c r="R19" s="4200" t="s">
        <v>1795</v>
      </c>
      <c r="S19" s="4222" t="s">
        <v>1794</v>
      </c>
      <c r="T19" s="1930" t="s">
        <v>1780</v>
      </c>
      <c r="U19" s="1930" t="s">
        <v>1764</v>
      </c>
      <c r="V19" s="1930" t="s">
        <v>1799</v>
      </c>
      <c r="W19" s="1930" t="s">
        <v>1757</v>
      </c>
      <c r="X19" s="4200"/>
      <c r="Y19" s="4222" t="s">
        <v>1788</v>
      </c>
      <c r="Z19" s="1930" t="s">
        <v>1799</v>
      </c>
      <c r="AA19" s="1930" t="s">
        <v>1780</v>
      </c>
      <c r="AB19" s="1930" t="s">
        <v>1781</v>
      </c>
      <c r="AC19" s="1930" t="s">
        <v>1792</v>
      </c>
      <c r="AD19" s="4200" t="s">
        <v>1778</v>
      </c>
      <c r="AE19" s="4222" t="s">
        <v>1788</v>
      </c>
      <c r="AF19" s="1930" t="s">
        <v>1799</v>
      </c>
      <c r="AG19" s="1930" t="s">
        <v>1780</v>
      </c>
      <c r="AH19" s="1930" t="s">
        <v>1781</v>
      </c>
      <c r="AI19" s="1930" t="s">
        <v>1792</v>
      </c>
      <c r="AJ19" s="4200" t="s">
        <v>1778</v>
      </c>
      <c r="AK19" s="4222" t="s">
        <v>1788</v>
      </c>
      <c r="AL19" s="1930" t="s">
        <v>1799</v>
      </c>
      <c r="AM19" s="1930" t="s">
        <v>1780</v>
      </c>
      <c r="AN19" s="1930" t="s">
        <v>1781</v>
      </c>
      <c r="AO19" s="1930" t="s">
        <v>1792</v>
      </c>
      <c r="AP19" s="4200" t="s">
        <v>1778</v>
      </c>
      <c r="AQ19" s="4222" t="s">
        <v>1800</v>
      </c>
      <c r="AR19" s="1930" t="s">
        <v>1778</v>
      </c>
      <c r="AS19" s="1930" t="s">
        <v>42</v>
      </c>
      <c r="AT19" s="1930" t="s">
        <v>1792</v>
      </c>
      <c r="AU19" s="1930" t="s">
        <v>1782</v>
      </c>
      <c r="AV19" s="4219" t="s">
        <v>1781</v>
      </c>
      <c r="AW19" s="4222" t="s">
        <v>37</v>
      </c>
      <c r="AX19" s="1930" t="s">
        <v>1800</v>
      </c>
      <c r="AY19" s="1930" t="s">
        <v>1792</v>
      </c>
      <c r="AZ19" s="1930" t="s">
        <v>1801</v>
      </c>
      <c r="BA19" s="1930" t="s">
        <v>42</v>
      </c>
      <c r="BB19" s="4219" t="s">
        <v>1802</v>
      </c>
      <c r="BC19" s="1522"/>
    </row>
    <row r="20" spans="1:55" ht="20" x14ac:dyDescent="0.25">
      <c r="A20" s="1259"/>
      <c r="B20" s="1260"/>
      <c r="C20" s="1260"/>
      <c r="D20" s="4226"/>
      <c r="E20" s="1930" t="s">
        <v>1778</v>
      </c>
      <c r="F20" s="1930" t="s">
        <v>1791</v>
      </c>
      <c r="G20" s="1930" t="s">
        <v>1799</v>
      </c>
      <c r="H20" s="4219" t="s">
        <v>1789</v>
      </c>
      <c r="I20" s="4222" t="s">
        <v>1803</v>
      </c>
      <c r="J20" s="1930" t="s">
        <v>44</v>
      </c>
      <c r="K20" s="1930" t="s">
        <v>51</v>
      </c>
      <c r="L20" s="1930" t="s">
        <v>1789</v>
      </c>
      <c r="M20" s="4200"/>
      <c r="N20" s="4222" t="s">
        <v>1788</v>
      </c>
      <c r="O20" s="1930" t="s">
        <v>1757</v>
      </c>
      <c r="P20" s="1930" t="s">
        <v>1796</v>
      </c>
      <c r="Q20" s="1930" t="s">
        <v>1767</v>
      </c>
      <c r="R20" s="4200" t="s">
        <v>1782</v>
      </c>
      <c r="S20" s="4222" t="s">
        <v>1784</v>
      </c>
      <c r="T20" s="1930" t="s">
        <v>1765</v>
      </c>
      <c r="U20" s="1930" t="s">
        <v>1790</v>
      </c>
      <c r="V20" s="1930" t="s">
        <v>1776</v>
      </c>
      <c r="W20" s="1930" t="s">
        <v>1804</v>
      </c>
      <c r="X20" s="4200"/>
      <c r="Y20" s="4222" t="s">
        <v>1805</v>
      </c>
      <c r="Z20" s="1930" t="s">
        <v>1806</v>
      </c>
      <c r="AA20" s="1930" t="s">
        <v>1804</v>
      </c>
      <c r="AB20" s="1930" t="s">
        <v>44</v>
      </c>
      <c r="AC20" s="1930" t="s">
        <v>1791</v>
      </c>
      <c r="AD20" s="4200" t="s">
        <v>1798</v>
      </c>
      <c r="AE20" s="4222" t="s">
        <v>1805</v>
      </c>
      <c r="AF20" s="1930" t="s">
        <v>1806</v>
      </c>
      <c r="AG20" s="1930" t="s">
        <v>1804</v>
      </c>
      <c r="AH20" s="1930" t="s">
        <v>44</v>
      </c>
      <c r="AI20" s="1930" t="s">
        <v>1791</v>
      </c>
      <c r="AJ20" s="4200" t="s">
        <v>1798</v>
      </c>
      <c r="AK20" s="4222" t="s">
        <v>1805</v>
      </c>
      <c r="AL20" s="1930" t="s">
        <v>1806</v>
      </c>
      <c r="AM20" s="1930" t="s">
        <v>1804</v>
      </c>
      <c r="AN20" s="1930" t="s">
        <v>44</v>
      </c>
      <c r="AO20" s="1930" t="s">
        <v>1791</v>
      </c>
      <c r="AP20" s="4200" t="s">
        <v>1798</v>
      </c>
      <c r="AQ20" s="4222" t="s">
        <v>1765</v>
      </c>
      <c r="AR20" s="1930" t="s">
        <v>55</v>
      </c>
      <c r="AS20" s="1930" t="s">
        <v>1790</v>
      </c>
      <c r="AT20" s="1930" t="s">
        <v>1791</v>
      </c>
      <c r="AU20" s="1930" t="s">
        <v>1786</v>
      </c>
      <c r="AV20" s="4200" t="s">
        <v>1807</v>
      </c>
      <c r="AW20" s="4222" t="s">
        <v>44</v>
      </c>
      <c r="AX20" s="1930" t="s">
        <v>55</v>
      </c>
      <c r="AY20" s="1930" t="s">
        <v>1789</v>
      </c>
      <c r="AZ20" s="1930" t="s">
        <v>1784</v>
      </c>
      <c r="BA20" s="1930" t="s">
        <v>1799</v>
      </c>
      <c r="BB20" s="4200" t="s">
        <v>48</v>
      </c>
      <c r="BC20" s="1522"/>
    </row>
    <row r="21" spans="1:55" ht="20" x14ac:dyDescent="0.25">
      <c r="A21" s="1259"/>
      <c r="B21" s="1260"/>
      <c r="C21" s="1260"/>
      <c r="D21" s="4226"/>
      <c r="E21" s="1930" t="s">
        <v>44</v>
      </c>
      <c r="F21" s="1930" t="s">
        <v>48</v>
      </c>
      <c r="G21" s="1930" t="s">
        <v>1767</v>
      </c>
      <c r="H21" s="4219"/>
      <c r="I21" s="4222" t="s">
        <v>1771</v>
      </c>
      <c r="J21" s="1930" t="s">
        <v>1779</v>
      </c>
      <c r="K21" s="1930" t="s">
        <v>1784</v>
      </c>
      <c r="L21" s="1930" t="s">
        <v>1774</v>
      </c>
      <c r="M21" s="4200"/>
      <c r="N21" s="4222" t="s">
        <v>1808</v>
      </c>
      <c r="O21" s="1930" t="s">
        <v>44</v>
      </c>
      <c r="P21" s="1930" t="s">
        <v>1776</v>
      </c>
      <c r="Q21" s="1930" t="s">
        <v>53</v>
      </c>
      <c r="R21" s="4200" t="s">
        <v>1789</v>
      </c>
      <c r="S21" s="4222" t="s">
        <v>1779</v>
      </c>
      <c r="T21" s="1930" t="s">
        <v>37</v>
      </c>
      <c r="U21" s="1930" t="s">
        <v>1792</v>
      </c>
      <c r="V21" s="1930" t="s">
        <v>1789</v>
      </c>
      <c r="W21" s="1930" t="s">
        <v>1809</v>
      </c>
      <c r="X21" s="4219"/>
      <c r="Y21" s="4222" t="s">
        <v>1768</v>
      </c>
      <c r="Z21" s="1930" t="s">
        <v>1810</v>
      </c>
      <c r="AA21" s="1930" t="s">
        <v>308</v>
      </c>
      <c r="AB21" s="1930" t="s">
        <v>48</v>
      </c>
      <c r="AC21" s="1930" t="s">
        <v>1797</v>
      </c>
      <c r="AD21" s="4219" t="s">
        <v>39</v>
      </c>
      <c r="AE21" s="4222" t="s">
        <v>1768</v>
      </c>
      <c r="AF21" s="1930" t="s">
        <v>1810</v>
      </c>
      <c r="AG21" s="1930" t="s">
        <v>308</v>
      </c>
      <c r="AH21" s="1930" t="s">
        <v>48</v>
      </c>
      <c r="AI21" s="1930" t="s">
        <v>1797</v>
      </c>
      <c r="AJ21" s="4219" t="s">
        <v>39</v>
      </c>
      <c r="AK21" s="4222" t="s">
        <v>1768</v>
      </c>
      <c r="AL21" s="1930" t="s">
        <v>1810</v>
      </c>
      <c r="AM21" s="1930" t="s">
        <v>308</v>
      </c>
      <c r="AN21" s="1930" t="s">
        <v>48</v>
      </c>
      <c r="AO21" s="1930" t="s">
        <v>1797</v>
      </c>
      <c r="AP21" s="4219" t="s">
        <v>39</v>
      </c>
      <c r="AQ21" s="4222" t="s">
        <v>44</v>
      </c>
      <c r="AR21" s="1930" t="s">
        <v>37</v>
      </c>
      <c r="AS21" s="1930" t="s">
        <v>1784</v>
      </c>
      <c r="AT21" s="1930" t="s">
        <v>1802</v>
      </c>
      <c r="AU21" s="1930" t="s">
        <v>43</v>
      </c>
      <c r="AV21" s="4219" t="s">
        <v>1799</v>
      </c>
      <c r="AW21" s="4222" t="s">
        <v>1787</v>
      </c>
      <c r="AX21" s="1930" t="s">
        <v>1811</v>
      </c>
      <c r="AY21" s="1930" t="s">
        <v>1812</v>
      </c>
      <c r="AZ21" s="1930" t="s">
        <v>46</v>
      </c>
      <c r="BA21" s="1930" t="s">
        <v>1769</v>
      </c>
      <c r="BB21" s="4219" t="s">
        <v>50</v>
      </c>
      <c r="BC21" s="1930"/>
    </row>
    <row r="22" spans="1:55" ht="12.5" x14ac:dyDescent="0.25">
      <c r="A22" s="1259"/>
      <c r="B22" s="1260"/>
      <c r="C22" s="1260"/>
      <c r="D22" s="4226"/>
      <c r="E22" s="1930" t="s">
        <v>1779</v>
      </c>
      <c r="F22" s="1930" t="s">
        <v>1776</v>
      </c>
      <c r="G22" s="1930" t="s">
        <v>1766</v>
      </c>
      <c r="H22" s="4219"/>
      <c r="I22" s="4222" t="s">
        <v>43</v>
      </c>
      <c r="J22" s="1930" t="s">
        <v>46</v>
      </c>
      <c r="K22" s="1930" t="s">
        <v>1786</v>
      </c>
      <c r="L22" s="1930" t="s">
        <v>1765</v>
      </c>
      <c r="M22" s="4200"/>
      <c r="N22" s="4222" t="s">
        <v>39</v>
      </c>
      <c r="O22" s="1930" t="s">
        <v>1779</v>
      </c>
      <c r="P22" s="1930" t="s">
        <v>51</v>
      </c>
      <c r="Q22" s="1930" t="s">
        <v>310</v>
      </c>
      <c r="R22" s="4200" t="s">
        <v>1774</v>
      </c>
      <c r="S22" s="4222" t="s">
        <v>44</v>
      </c>
      <c r="T22" s="1930" t="s">
        <v>39</v>
      </c>
      <c r="U22" s="1930" t="s">
        <v>48</v>
      </c>
      <c r="V22" s="1930" t="s">
        <v>1777</v>
      </c>
      <c r="W22" s="1930" t="s">
        <v>1791</v>
      </c>
      <c r="X22" s="4200"/>
      <c r="Y22" s="4222" t="s">
        <v>1813</v>
      </c>
      <c r="Z22" s="1930" t="s">
        <v>1814</v>
      </c>
      <c r="AA22" s="1930" t="s">
        <v>1779</v>
      </c>
      <c r="AB22" s="1930" t="s">
        <v>1784</v>
      </c>
      <c r="AC22" s="1930" t="s">
        <v>46</v>
      </c>
      <c r="AD22" s="4200" t="s">
        <v>1795</v>
      </c>
      <c r="AE22" s="4222" t="s">
        <v>1813</v>
      </c>
      <c r="AF22" s="1930" t="s">
        <v>1814</v>
      </c>
      <c r="AG22" s="1930" t="s">
        <v>1779</v>
      </c>
      <c r="AH22" s="1930" t="s">
        <v>1784</v>
      </c>
      <c r="AI22" s="1930" t="s">
        <v>46</v>
      </c>
      <c r="AJ22" s="4200" t="s">
        <v>1795</v>
      </c>
      <c r="AK22" s="4222" t="s">
        <v>1813</v>
      </c>
      <c r="AL22" s="1930" t="s">
        <v>1814</v>
      </c>
      <c r="AM22" s="1930" t="s">
        <v>1779</v>
      </c>
      <c r="AN22" s="1930" t="s">
        <v>1784</v>
      </c>
      <c r="AO22" s="1930" t="s">
        <v>46</v>
      </c>
      <c r="AP22" s="4200" t="s">
        <v>1795</v>
      </c>
      <c r="AQ22" s="4222" t="s">
        <v>1810</v>
      </c>
      <c r="AR22" s="1930" t="s">
        <v>1787</v>
      </c>
      <c r="AS22" s="1930" t="s">
        <v>46</v>
      </c>
      <c r="AT22" s="1930" t="s">
        <v>48</v>
      </c>
      <c r="AU22" s="1930" t="s">
        <v>50</v>
      </c>
      <c r="AV22" s="4200" t="s">
        <v>1801</v>
      </c>
      <c r="AW22" s="4222" t="s">
        <v>43</v>
      </c>
      <c r="AX22" s="1930" t="s">
        <v>1815</v>
      </c>
      <c r="AY22" s="1930" t="s">
        <v>1805</v>
      </c>
      <c r="AZ22" s="1930" t="s">
        <v>1807</v>
      </c>
      <c r="BA22" s="1930" t="s">
        <v>308</v>
      </c>
      <c r="BB22" s="4200" t="s">
        <v>1785</v>
      </c>
      <c r="BC22" s="1522"/>
    </row>
    <row r="23" spans="1:55" ht="23.25" customHeight="1" x14ac:dyDescent="0.25">
      <c r="A23" s="1259"/>
      <c r="B23" s="1260"/>
      <c r="C23" s="1260"/>
      <c r="D23" s="4226"/>
      <c r="E23" s="1522"/>
      <c r="F23" s="1522"/>
      <c r="G23" s="1522"/>
      <c r="H23" s="4200"/>
      <c r="I23" s="4222" t="s">
        <v>1792</v>
      </c>
      <c r="J23" s="1930" t="s">
        <v>47</v>
      </c>
      <c r="K23" s="1930" t="s">
        <v>1799</v>
      </c>
      <c r="L23" s="1930" t="s">
        <v>1816</v>
      </c>
      <c r="M23" s="4200"/>
      <c r="N23" s="4222" t="s">
        <v>1771</v>
      </c>
      <c r="O23" s="1930" t="s">
        <v>47</v>
      </c>
      <c r="P23" s="1930" t="s">
        <v>1801</v>
      </c>
      <c r="Q23" s="1930" t="s">
        <v>1766</v>
      </c>
      <c r="R23" s="4200"/>
      <c r="S23" s="4222" t="s">
        <v>310</v>
      </c>
      <c r="T23" s="1930" t="s">
        <v>1817</v>
      </c>
      <c r="U23" s="1930" t="s">
        <v>1795</v>
      </c>
      <c r="V23" s="1930" t="s">
        <v>1802</v>
      </c>
      <c r="W23" s="1930" t="s">
        <v>1769</v>
      </c>
      <c r="X23" s="4200"/>
      <c r="Y23" s="4222" t="s">
        <v>50</v>
      </c>
      <c r="Z23" s="1930" t="s">
        <v>1765</v>
      </c>
      <c r="AA23" s="1930" t="s">
        <v>1811</v>
      </c>
      <c r="AB23" s="1930" t="s">
        <v>1789</v>
      </c>
      <c r="AC23" s="1930" t="s">
        <v>1818</v>
      </c>
      <c r="AD23" s="4219" t="s">
        <v>1809</v>
      </c>
      <c r="AE23" s="4222" t="s">
        <v>50</v>
      </c>
      <c r="AF23" s="1930" t="s">
        <v>1765</v>
      </c>
      <c r="AG23" s="1930" t="s">
        <v>1811</v>
      </c>
      <c r="AH23" s="1930" t="s">
        <v>1789</v>
      </c>
      <c r="AI23" s="1930" t="s">
        <v>1818</v>
      </c>
      <c r="AJ23" s="4219" t="s">
        <v>1809</v>
      </c>
      <c r="AK23" s="4222" t="s">
        <v>50</v>
      </c>
      <c r="AL23" s="1930" t="s">
        <v>1765</v>
      </c>
      <c r="AM23" s="1930" t="s">
        <v>1811</v>
      </c>
      <c r="AN23" s="1930" t="s">
        <v>1789</v>
      </c>
      <c r="AO23" s="1930" t="s">
        <v>1818</v>
      </c>
      <c r="AP23" s="4219" t="s">
        <v>1809</v>
      </c>
      <c r="AQ23" s="4222" t="s">
        <v>308</v>
      </c>
      <c r="AR23" s="1930" t="s">
        <v>1819</v>
      </c>
      <c r="AS23" s="1930" t="s">
        <v>1805</v>
      </c>
      <c r="AT23" s="1930" t="s">
        <v>1769</v>
      </c>
      <c r="AU23" s="1930" t="s">
        <v>1794</v>
      </c>
      <c r="AV23" s="4219" t="s">
        <v>1797</v>
      </c>
      <c r="AW23" s="4222" t="s">
        <v>1819</v>
      </c>
      <c r="AX23" s="1930" t="s">
        <v>1820</v>
      </c>
      <c r="AY23" s="1930" t="s">
        <v>1817</v>
      </c>
      <c r="AZ23" s="1930" t="s">
        <v>1786</v>
      </c>
      <c r="BA23" s="1930" t="s">
        <v>1814</v>
      </c>
      <c r="BB23" s="4219" t="s">
        <v>1796</v>
      </c>
      <c r="BC23" s="1930"/>
    </row>
    <row r="24" spans="1:55" ht="12.5" x14ac:dyDescent="0.25">
      <c r="A24" s="1259"/>
      <c r="B24" s="1260"/>
      <c r="C24" s="1260"/>
      <c r="D24" s="4221"/>
      <c r="E24" s="1522"/>
      <c r="F24" s="1522"/>
      <c r="G24" s="1522"/>
      <c r="H24" s="4200"/>
      <c r="I24" s="4221" t="s">
        <v>1778</v>
      </c>
      <c r="J24" s="1522" t="s">
        <v>1793</v>
      </c>
      <c r="K24" s="1522" t="s">
        <v>1767</v>
      </c>
      <c r="L24" s="1522"/>
      <c r="M24" s="4200"/>
      <c r="N24" s="4221" t="s">
        <v>1792</v>
      </c>
      <c r="O24" s="1522" t="s">
        <v>1770</v>
      </c>
      <c r="P24" s="1522" t="s">
        <v>1784</v>
      </c>
      <c r="Q24" s="1522" t="s">
        <v>1797</v>
      </c>
      <c r="R24" s="4200"/>
      <c r="S24" s="4221" t="s">
        <v>1786</v>
      </c>
      <c r="T24" s="1522" t="s">
        <v>1805</v>
      </c>
      <c r="U24" s="1522" t="s">
        <v>1821</v>
      </c>
      <c r="V24" s="1522" t="s">
        <v>1813</v>
      </c>
      <c r="W24" s="1522" t="s">
        <v>1798</v>
      </c>
      <c r="X24" s="4200" t="s">
        <v>1814</v>
      </c>
      <c r="Y24" s="4221" t="s">
        <v>1807</v>
      </c>
      <c r="Z24" s="1522" t="s">
        <v>1822</v>
      </c>
      <c r="AA24" s="1522" t="s">
        <v>1794</v>
      </c>
      <c r="AB24" s="1522" t="s">
        <v>1790</v>
      </c>
      <c r="AC24" s="1522" t="s">
        <v>1782</v>
      </c>
      <c r="AD24" s="4200" t="s">
        <v>1142</v>
      </c>
      <c r="AE24" s="4221" t="s">
        <v>1807</v>
      </c>
      <c r="AF24" s="1522" t="s">
        <v>1822</v>
      </c>
      <c r="AG24" s="1522" t="s">
        <v>1794</v>
      </c>
      <c r="AH24" s="1522" t="s">
        <v>1790</v>
      </c>
      <c r="AI24" s="1522" t="s">
        <v>1782</v>
      </c>
      <c r="AJ24" s="4200" t="s">
        <v>1142</v>
      </c>
      <c r="AK24" s="4221" t="s">
        <v>1807</v>
      </c>
      <c r="AL24" s="1522" t="s">
        <v>1822</v>
      </c>
      <c r="AM24" s="1522" t="s">
        <v>1794</v>
      </c>
      <c r="AN24" s="1522" t="s">
        <v>1790</v>
      </c>
      <c r="AO24" s="1522" t="s">
        <v>1782</v>
      </c>
      <c r="AP24" s="4200" t="s">
        <v>1142</v>
      </c>
      <c r="AQ24" s="4221" t="s">
        <v>1814</v>
      </c>
      <c r="AR24" s="1522" t="s">
        <v>1815</v>
      </c>
      <c r="AS24" s="1522" t="s">
        <v>1785</v>
      </c>
      <c r="AT24" s="1522" t="s">
        <v>1788</v>
      </c>
      <c r="AU24" s="1522" t="s">
        <v>1817</v>
      </c>
      <c r="AV24" s="4200" t="s">
        <v>1823</v>
      </c>
      <c r="AW24" s="4221"/>
      <c r="AX24" s="1522"/>
      <c r="AY24" s="1522"/>
      <c r="AZ24" s="1522"/>
      <c r="BA24" s="1522"/>
      <c r="BB24" s="4200"/>
      <c r="BC24" s="1522"/>
    </row>
    <row r="25" spans="1:55" x14ac:dyDescent="0.25">
      <c r="A25" s="1259"/>
      <c r="B25" s="1260"/>
      <c r="C25" s="1260"/>
      <c r="D25" s="4227"/>
      <c r="E25" s="4211"/>
      <c r="F25" s="4211"/>
      <c r="G25" s="4211"/>
      <c r="H25" s="4213"/>
      <c r="I25" s="4214"/>
      <c r="J25" s="4216"/>
      <c r="K25" s="4216"/>
      <c r="L25" s="4215"/>
      <c r="M25" s="4213"/>
      <c r="N25" s="4214"/>
      <c r="O25" s="4216"/>
      <c r="P25" s="4216"/>
      <c r="Q25" s="4216"/>
      <c r="R25" s="4213"/>
      <c r="S25" s="4214"/>
      <c r="T25" s="4216"/>
      <c r="U25" s="4216"/>
      <c r="V25" s="4216"/>
      <c r="W25" s="4216"/>
      <c r="X25" s="4213"/>
      <c r="Y25" s="4210" t="s">
        <v>1787</v>
      </c>
      <c r="Z25" s="4211" t="s">
        <v>1824</v>
      </c>
      <c r="AA25" s="4211"/>
      <c r="AB25" s="4211"/>
      <c r="AC25" s="4211"/>
      <c r="AD25" s="4213"/>
      <c r="AE25" s="4210" t="s">
        <v>1787</v>
      </c>
      <c r="AF25" s="4211" t="s">
        <v>1824</v>
      </c>
      <c r="AG25" s="4211"/>
      <c r="AH25" s="4211"/>
      <c r="AI25" s="4211"/>
      <c r="AJ25" s="4213"/>
      <c r="AK25" s="4210" t="s">
        <v>1787</v>
      </c>
      <c r="AL25" s="4211" t="s">
        <v>1824</v>
      </c>
      <c r="AM25" s="4211"/>
      <c r="AN25" s="4211"/>
      <c r="AO25" s="4211"/>
      <c r="AP25" s="4213"/>
      <c r="AQ25" s="4210"/>
      <c r="AR25" s="4211"/>
      <c r="AS25" s="4211"/>
      <c r="AT25" s="4211"/>
      <c r="AU25" s="4211"/>
      <c r="AV25" s="4213"/>
      <c r="AW25" s="4210"/>
      <c r="AX25" s="4211"/>
      <c r="AY25" s="4211"/>
      <c r="AZ25" s="4211"/>
      <c r="BA25" s="4211"/>
      <c r="BB25" s="4213"/>
      <c r="BC25" s="1522"/>
    </row>
    <row r="26" spans="1:55" ht="12.75" customHeight="1" x14ac:dyDescent="0.25">
      <c r="A26" s="1259"/>
      <c r="B26" s="1260"/>
      <c r="C26" s="1260"/>
      <c r="D26" s="4224" t="s">
        <v>1825</v>
      </c>
      <c r="E26" s="1930"/>
      <c r="F26" s="1930"/>
      <c r="G26" s="1930"/>
      <c r="H26" s="4219"/>
      <c r="I26" s="4224" t="s">
        <v>1825</v>
      </c>
      <c r="J26" s="1930"/>
      <c r="K26" s="1930"/>
      <c r="L26" s="1930"/>
      <c r="M26" s="4200"/>
      <c r="N26" s="4224" t="s">
        <v>1825</v>
      </c>
      <c r="O26" s="1930"/>
      <c r="P26" s="1930"/>
      <c r="Q26" s="1930"/>
      <c r="R26" s="4200"/>
      <c r="S26" s="4224" t="s">
        <v>1825</v>
      </c>
      <c r="T26" s="1930"/>
      <c r="U26" s="1930"/>
      <c r="V26" s="1930"/>
      <c r="W26" s="1930"/>
      <c r="X26" s="4200"/>
      <c r="Y26" s="4224" t="s">
        <v>1825</v>
      </c>
      <c r="Z26" s="1930"/>
      <c r="AA26" s="1930"/>
      <c r="AB26" s="1930"/>
      <c r="AC26" s="1930"/>
      <c r="AD26" s="4200"/>
      <c r="AE26" s="4224" t="s">
        <v>1825</v>
      </c>
      <c r="AF26" s="1930"/>
      <c r="AG26" s="1930"/>
      <c r="AH26" s="1930"/>
      <c r="AI26" s="1930"/>
      <c r="AJ26" s="4200"/>
      <c r="AK26" s="4224" t="s">
        <v>1825</v>
      </c>
      <c r="AL26" s="1930"/>
      <c r="AM26" s="1930"/>
      <c r="AN26" s="1930"/>
      <c r="AO26" s="1930"/>
      <c r="AP26" s="4200"/>
      <c r="AQ26" s="4224" t="s">
        <v>1825</v>
      </c>
      <c r="AR26" s="1930"/>
      <c r="AS26" s="1930"/>
      <c r="AT26" s="1930"/>
      <c r="AU26" s="1930"/>
      <c r="AV26" s="4200"/>
      <c r="AW26" s="4224" t="s">
        <v>1825</v>
      </c>
      <c r="AX26" s="1930"/>
      <c r="AY26" s="1930"/>
      <c r="AZ26" s="1930"/>
      <c r="BA26" s="1930"/>
      <c r="BB26" s="4200"/>
      <c r="BC26" s="1522"/>
    </row>
    <row r="27" spans="1:55" ht="20.5" customHeight="1" x14ac:dyDescent="0.25">
      <c r="A27" s="1259"/>
      <c r="B27" s="1260"/>
      <c r="C27" s="1260"/>
      <c r="D27" s="4225"/>
      <c r="E27" s="4206" t="s">
        <v>1802</v>
      </c>
      <c r="F27" s="4206" t="s">
        <v>1788</v>
      </c>
      <c r="G27" s="4206" t="s">
        <v>1757</v>
      </c>
      <c r="H27" s="4220" t="s">
        <v>1816</v>
      </c>
      <c r="I27" s="4204" t="s">
        <v>1802</v>
      </c>
      <c r="J27" s="4206" t="s">
        <v>1826</v>
      </c>
      <c r="K27" s="4206" t="s">
        <v>1801</v>
      </c>
      <c r="L27" s="4206" t="s">
        <v>1795</v>
      </c>
      <c r="M27" s="4203"/>
      <c r="N27" s="4204" t="s">
        <v>1787</v>
      </c>
      <c r="O27" s="4206" t="s">
        <v>1805</v>
      </c>
      <c r="P27" s="4206" t="s">
        <v>50</v>
      </c>
      <c r="Q27" s="4206" t="s">
        <v>1814</v>
      </c>
      <c r="R27" s="4203" t="s">
        <v>1827</v>
      </c>
      <c r="S27" s="4204" t="s">
        <v>1806</v>
      </c>
      <c r="T27" s="4206" t="s">
        <v>1797</v>
      </c>
      <c r="U27" s="4206" t="s">
        <v>50</v>
      </c>
      <c r="V27" s="4206" t="s">
        <v>1828</v>
      </c>
      <c r="W27" s="4206" t="s">
        <v>1819</v>
      </c>
      <c r="X27" s="4203"/>
      <c r="Y27" s="4204" t="s">
        <v>1829</v>
      </c>
      <c r="Z27" s="4206" t="s">
        <v>1769</v>
      </c>
      <c r="AA27" s="4206" t="s">
        <v>1816</v>
      </c>
      <c r="AB27" s="4206" t="s">
        <v>1817</v>
      </c>
      <c r="AC27" s="4206" t="s">
        <v>1802</v>
      </c>
      <c r="AD27" s="4203" t="s">
        <v>1819</v>
      </c>
      <c r="AE27" s="4204" t="s">
        <v>1829</v>
      </c>
      <c r="AF27" s="4206" t="s">
        <v>1769</v>
      </c>
      <c r="AG27" s="4206" t="s">
        <v>1816</v>
      </c>
      <c r="AH27" s="4206" t="s">
        <v>1817</v>
      </c>
      <c r="AI27" s="4206" t="s">
        <v>1802</v>
      </c>
      <c r="AJ27" s="4203" t="s">
        <v>1819</v>
      </c>
      <c r="AK27" s="4204" t="s">
        <v>1829</v>
      </c>
      <c r="AL27" s="4206" t="s">
        <v>1769</v>
      </c>
      <c r="AM27" s="4206" t="s">
        <v>1816</v>
      </c>
      <c r="AN27" s="4206" t="s">
        <v>1817</v>
      </c>
      <c r="AO27" s="4206" t="s">
        <v>1802</v>
      </c>
      <c r="AP27" s="4203" t="s">
        <v>1819</v>
      </c>
      <c r="AQ27" s="4204" t="s">
        <v>1830</v>
      </c>
      <c r="AR27" s="4206" t="s">
        <v>1813</v>
      </c>
      <c r="AS27" s="4206" t="s">
        <v>1142</v>
      </c>
      <c r="AT27" s="4206" t="s">
        <v>1811</v>
      </c>
      <c r="AU27" s="4206" t="s">
        <v>1806</v>
      </c>
      <c r="AV27" s="4203" t="s">
        <v>1796</v>
      </c>
      <c r="AW27" s="4204" t="s">
        <v>1831</v>
      </c>
      <c r="AX27" s="4206" t="s">
        <v>1824</v>
      </c>
      <c r="AY27" s="4206" t="s">
        <v>1797</v>
      </c>
      <c r="AZ27" s="4206" t="s">
        <v>1806</v>
      </c>
      <c r="BA27" s="4206" t="s">
        <v>1823</v>
      </c>
      <c r="BB27" s="4203" t="s">
        <v>1832</v>
      </c>
      <c r="BC27" s="1522"/>
    </row>
    <row r="28" spans="1:55" ht="20" x14ac:dyDescent="0.25">
      <c r="A28" s="1259"/>
      <c r="B28" s="1260"/>
      <c r="C28" s="1260"/>
      <c r="D28" s="4226"/>
      <c r="E28" s="1930" t="s">
        <v>1833</v>
      </c>
      <c r="F28" s="1930" t="s">
        <v>1834</v>
      </c>
      <c r="G28" s="1930" t="s">
        <v>1835</v>
      </c>
      <c r="H28" s="4219"/>
      <c r="I28" s="4222" t="s">
        <v>1798</v>
      </c>
      <c r="J28" s="1930" t="s">
        <v>1836</v>
      </c>
      <c r="K28" s="1930" t="s">
        <v>1837</v>
      </c>
      <c r="L28" s="1930" t="s">
        <v>1782</v>
      </c>
      <c r="M28" s="4200"/>
      <c r="N28" s="4222" t="s">
        <v>1802</v>
      </c>
      <c r="O28" s="1930" t="s">
        <v>1791</v>
      </c>
      <c r="P28" s="1930" t="s">
        <v>1813</v>
      </c>
      <c r="Q28" s="1930" t="s">
        <v>1794</v>
      </c>
      <c r="R28" s="4200" t="s">
        <v>1838</v>
      </c>
      <c r="S28" s="4222" t="s">
        <v>1827</v>
      </c>
      <c r="T28" s="1930" t="s">
        <v>1782</v>
      </c>
      <c r="U28" s="1930" t="s">
        <v>1839</v>
      </c>
      <c r="V28" s="1930" t="s">
        <v>1796</v>
      </c>
      <c r="W28" s="1930" t="s">
        <v>1836</v>
      </c>
      <c r="X28" s="4200"/>
      <c r="Y28" s="4222" t="s">
        <v>1821</v>
      </c>
      <c r="Z28" s="1930" t="s">
        <v>1832</v>
      </c>
      <c r="AA28" s="1930" t="s">
        <v>1796</v>
      </c>
      <c r="AB28" s="1930" t="s">
        <v>1812</v>
      </c>
      <c r="AC28" s="1930" t="s">
        <v>1828</v>
      </c>
      <c r="AD28" s="4200" t="s">
        <v>1838</v>
      </c>
      <c r="AE28" s="4222" t="s">
        <v>1821</v>
      </c>
      <c r="AF28" s="1930" t="s">
        <v>1832</v>
      </c>
      <c r="AG28" s="1930" t="s">
        <v>1796</v>
      </c>
      <c r="AH28" s="1930" t="s">
        <v>1812</v>
      </c>
      <c r="AI28" s="1930" t="s">
        <v>1828</v>
      </c>
      <c r="AJ28" s="4200" t="s">
        <v>1838</v>
      </c>
      <c r="AK28" s="4222" t="s">
        <v>1821</v>
      </c>
      <c r="AL28" s="1930" t="s">
        <v>1832</v>
      </c>
      <c r="AM28" s="1930" t="s">
        <v>1796</v>
      </c>
      <c r="AN28" s="1930" t="s">
        <v>1812</v>
      </c>
      <c r="AO28" s="1930" t="s">
        <v>1840</v>
      </c>
      <c r="AP28" s="4200" t="s">
        <v>1838</v>
      </c>
      <c r="AQ28" s="4222" t="s">
        <v>1821</v>
      </c>
      <c r="AR28" s="1930" t="s">
        <v>1841</v>
      </c>
      <c r="AS28" s="1930" t="s">
        <v>1831</v>
      </c>
      <c r="AT28" s="1930" t="s">
        <v>1798</v>
      </c>
      <c r="AU28" s="1930" t="s">
        <v>1840</v>
      </c>
      <c r="AV28" s="4219" t="s">
        <v>1842</v>
      </c>
      <c r="AW28" s="4222" t="s">
        <v>1821</v>
      </c>
      <c r="AX28" s="1930" t="s">
        <v>1813</v>
      </c>
      <c r="AY28" s="1930" t="s">
        <v>1810</v>
      </c>
      <c r="AZ28" s="1930" t="s">
        <v>39</v>
      </c>
      <c r="BA28" s="1930" t="s">
        <v>1843</v>
      </c>
      <c r="BB28" s="4219" t="s">
        <v>1788</v>
      </c>
      <c r="BC28" s="1522"/>
    </row>
    <row r="29" spans="1:55" ht="30" x14ac:dyDescent="0.25">
      <c r="A29" s="1259"/>
      <c r="B29" s="1260"/>
      <c r="C29" s="1260"/>
      <c r="D29" s="4226"/>
      <c r="E29" s="1930" t="s">
        <v>37</v>
      </c>
      <c r="F29" s="1930" t="s">
        <v>1810</v>
      </c>
      <c r="G29" s="1930" t="s">
        <v>1786</v>
      </c>
      <c r="H29" s="4219"/>
      <c r="I29" s="4222" t="s">
        <v>1810</v>
      </c>
      <c r="J29" s="1930" t="s">
        <v>1776</v>
      </c>
      <c r="K29" s="1930" t="s">
        <v>1844</v>
      </c>
      <c r="L29" s="1930" t="s">
        <v>1840</v>
      </c>
      <c r="M29" s="4200"/>
      <c r="N29" s="4222" t="s">
        <v>1845</v>
      </c>
      <c r="O29" s="1930" t="s">
        <v>1836</v>
      </c>
      <c r="P29" s="1930" t="s">
        <v>1819</v>
      </c>
      <c r="Q29" s="1930" t="s">
        <v>1824</v>
      </c>
      <c r="R29" s="4200" t="s">
        <v>1816</v>
      </c>
      <c r="S29" s="4222" t="s">
        <v>1810</v>
      </c>
      <c r="T29" s="1930" t="s">
        <v>1768</v>
      </c>
      <c r="U29" s="1930" t="s">
        <v>1842</v>
      </c>
      <c r="V29" s="1930" t="s">
        <v>1845</v>
      </c>
      <c r="W29" s="1930" t="s">
        <v>1822</v>
      </c>
      <c r="X29" s="4200"/>
      <c r="Y29" s="4222" t="s">
        <v>1842</v>
      </c>
      <c r="Z29" s="1930" t="s">
        <v>1845</v>
      </c>
      <c r="AA29" s="1930" t="s">
        <v>1846</v>
      </c>
      <c r="AB29" s="1930" t="s">
        <v>1786</v>
      </c>
      <c r="AC29" s="1930" t="s">
        <v>1847</v>
      </c>
      <c r="AD29" s="4200"/>
      <c r="AE29" s="4222" t="s">
        <v>1842</v>
      </c>
      <c r="AF29" s="1930" t="s">
        <v>1845</v>
      </c>
      <c r="AG29" s="1930" t="s">
        <v>1846</v>
      </c>
      <c r="AH29" s="1930" t="s">
        <v>1786</v>
      </c>
      <c r="AI29" s="1930" t="s">
        <v>1847</v>
      </c>
      <c r="AJ29" s="4200"/>
      <c r="AK29" s="4222" t="s">
        <v>1842</v>
      </c>
      <c r="AL29" s="1930" t="s">
        <v>1845</v>
      </c>
      <c r="AM29" s="1930" t="s">
        <v>1846</v>
      </c>
      <c r="AN29" s="1930" t="s">
        <v>1786</v>
      </c>
      <c r="AO29" s="1930" t="s">
        <v>1847</v>
      </c>
      <c r="AP29" s="4200"/>
      <c r="AQ29" s="4222" t="s">
        <v>1846</v>
      </c>
      <c r="AR29" s="1930" t="s">
        <v>1829</v>
      </c>
      <c r="AS29" s="1930" t="s">
        <v>1776</v>
      </c>
      <c r="AT29" s="1930" t="s">
        <v>1845</v>
      </c>
      <c r="AU29" s="1930" t="s">
        <v>1822</v>
      </c>
      <c r="AV29" s="4200" t="s">
        <v>1848</v>
      </c>
      <c r="AW29" s="4222" t="s">
        <v>1845</v>
      </c>
      <c r="AX29" s="1930" t="s">
        <v>1798</v>
      </c>
      <c r="AY29" s="1930" t="s">
        <v>1142</v>
      </c>
      <c r="AZ29" s="1930" t="s">
        <v>1848</v>
      </c>
      <c r="BA29" s="1930" t="s">
        <v>1841</v>
      </c>
      <c r="BB29" s="4228" t="s">
        <v>1829</v>
      </c>
      <c r="BC29" s="1522"/>
    </row>
    <row r="30" spans="1:55" ht="20" x14ac:dyDescent="0.25">
      <c r="A30" s="1259"/>
      <c r="B30" s="1260"/>
      <c r="C30" s="1260"/>
      <c r="D30" s="4226"/>
      <c r="E30" s="1930" t="s">
        <v>1798</v>
      </c>
      <c r="F30" s="1930" t="s">
        <v>1849</v>
      </c>
      <c r="G30" s="1930" t="s">
        <v>1850</v>
      </c>
      <c r="H30" s="4219"/>
      <c r="I30" s="4222" t="s">
        <v>1849</v>
      </c>
      <c r="J30" s="1930" t="s">
        <v>50</v>
      </c>
      <c r="K30" s="1930" t="s">
        <v>1794</v>
      </c>
      <c r="L30" s="1930" t="s">
        <v>1827</v>
      </c>
      <c r="M30" s="4200"/>
      <c r="N30" s="4222" t="s">
        <v>1810</v>
      </c>
      <c r="O30" s="1930" t="s">
        <v>1821</v>
      </c>
      <c r="P30" s="1930" t="s">
        <v>1817</v>
      </c>
      <c r="Q30" s="1930" t="s">
        <v>1840</v>
      </c>
      <c r="R30" s="4200"/>
      <c r="S30" s="4222"/>
      <c r="T30" s="1930"/>
      <c r="U30" s="1930"/>
      <c r="V30" s="1930"/>
      <c r="W30" s="1930"/>
      <c r="X30" s="4200"/>
      <c r="Y30" s="4222"/>
      <c r="Z30" s="1930"/>
      <c r="AA30" s="1930"/>
      <c r="AB30" s="1930"/>
      <c r="AC30" s="1930"/>
      <c r="AD30" s="4200"/>
      <c r="AE30" s="4222"/>
      <c r="AF30" s="1930"/>
      <c r="AG30" s="1930"/>
      <c r="AH30" s="1930"/>
      <c r="AI30" s="1930"/>
      <c r="AJ30" s="4200"/>
      <c r="AK30" s="4222"/>
      <c r="AL30" s="1930"/>
      <c r="AM30" s="1930"/>
      <c r="AN30" s="1930"/>
      <c r="AO30" s="1930"/>
      <c r="AP30" s="4200"/>
      <c r="AQ30" s="4222" t="s">
        <v>1812</v>
      </c>
      <c r="AR30" s="1930" t="s">
        <v>1832</v>
      </c>
      <c r="AS30" s="1930"/>
      <c r="AT30" s="1930"/>
      <c r="AU30" s="1930"/>
      <c r="AV30" s="4200"/>
      <c r="AW30" s="4222" t="s">
        <v>43</v>
      </c>
      <c r="AX30" s="1930" t="s">
        <v>1822</v>
      </c>
      <c r="AY30" s="1930" t="s">
        <v>1851</v>
      </c>
      <c r="AZ30" s="1930" t="s">
        <v>1852</v>
      </c>
      <c r="BA30" s="1930" t="s">
        <v>1840</v>
      </c>
      <c r="BB30" s="4228" t="s">
        <v>1816</v>
      </c>
      <c r="BC30" s="1522"/>
    </row>
    <row r="31" spans="1:55" ht="20" x14ac:dyDescent="0.25">
      <c r="A31" s="1259"/>
      <c r="B31" s="1260"/>
      <c r="C31" s="1260"/>
      <c r="D31" s="4227"/>
      <c r="E31" s="4216"/>
      <c r="F31" s="4216"/>
      <c r="G31" s="4216"/>
      <c r="H31" s="4218"/>
      <c r="I31" s="4214"/>
      <c r="J31" s="4216"/>
      <c r="K31" s="4216"/>
      <c r="L31" s="4216"/>
      <c r="M31" s="4213"/>
      <c r="N31" s="4214"/>
      <c r="O31" s="4216"/>
      <c r="P31" s="4216"/>
      <c r="Q31" s="4216"/>
      <c r="R31" s="4213"/>
      <c r="S31" s="4214"/>
      <c r="T31" s="4216"/>
      <c r="U31" s="4216"/>
      <c r="V31" s="4216"/>
      <c r="W31" s="4216"/>
      <c r="X31" s="4213"/>
      <c r="Y31" s="4214"/>
      <c r="Z31" s="4216"/>
      <c r="AA31" s="4216"/>
      <c r="AB31" s="4216"/>
      <c r="AC31" s="4216"/>
      <c r="AD31" s="4213"/>
      <c r="AE31" s="4214"/>
      <c r="AF31" s="4216"/>
      <c r="AG31" s="4216"/>
      <c r="AH31" s="4216"/>
      <c r="AI31" s="4216"/>
      <c r="AJ31" s="4213"/>
      <c r="AK31" s="4214"/>
      <c r="AL31" s="4216"/>
      <c r="AM31" s="4216"/>
      <c r="AN31" s="4216"/>
      <c r="AO31" s="4216"/>
      <c r="AP31" s="4213"/>
      <c r="AQ31" s="4214"/>
      <c r="AR31" s="4216"/>
      <c r="AS31" s="4216"/>
      <c r="AT31" s="4216"/>
      <c r="AU31" s="4216"/>
      <c r="AV31" s="4213"/>
      <c r="AW31" s="4214" t="s">
        <v>1853</v>
      </c>
      <c r="AX31" s="4216" t="s">
        <v>1794</v>
      </c>
      <c r="AY31" s="4216" t="s">
        <v>1818</v>
      </c>
      <c r="AZ31" s="4216" t="s">
        <v>1776</v>
      </c>
      <c r="BA31" s="4216" t="s">
        <v>1842</v>
      </c>
      <c r="BB31" s="4213" t="s">
        <v>1847</v>
      </c>
      <c r="BC31" s="1522"/>
    </row>
    <row r="32" spans="1:55" ht="12.75" customHeight="1" x14ac:dyDescent="0.25">
      <c r="A32" s="1259"/>
      <c r="B32" s="1260"/>
      <c r="C32" s="1260"/>
      <c r="D32" s="4224" t="s">
        <v>1854</v>
      </c>
      <c r="E32" s="1930"/>
      <c r="F32" s="1930"/>
      <c r="G32" s="1930"/>
      <c r="H32" s="4219"/>
      <c r="I32" s="5091" t="s">
        <v>1854</v>
      </c>
      <c r="J32" s="5092"/>
      <c r="K32" s="5092"/>
      <c r="L32" s="5092"/>
      <c r="M32" s="5093"/>
      <c r="N32" s="4199" t="s">
        <v>1854</v>
      </c>
      <c r="O32" s="1930"/>
      <c r="P32" s="1930"/>
      <c r="Q32" s="1930"/>
      <c r="R32" s="4200"/>
      <c r="S32" s="4199" t="s">
        <v>1854</v>
      </c>
      <c r="T32" s="1930"/>
      <c r="U32" s="1930"/>
      <c r="V32" s="1930"/>
      <c r="W32" s="1930"/>
      <c r="X32" s="4200"/>
      <c r="Y32" s="4199" t="s">
        <v>1854</v>
      </c>
      <c r="Z32" s="1930"/>
      <c r="AA32" s="1930"/>
      <c r="AB32" s="1930"/>
      <c r="AC32" s="1930"/>
      <c r="AD32" s="4213"/>
      <c r="AE32" s="4199" t="s">
        <v>1854</v>
      </c>
      <c r="AF32" s="1930"/>
      <c r="AG32" s="1930"/>
      <c r="AH32" s="1930"/>
      <c r="AI32" s="1930"/>
      <c r="AJ32" s="4213"/>
      <c r="AK32" s="4199" t="s">
        <v>1854</v>
      </c>
      <c r="AL32" s="1930"/>
      <c r="AM32" s="1930"/>
      <c r="AN32" s="1930"/>
      <c r="AO32" s="1930"/>
      <c r="AP32" s="4213"/>
      <c r="AQ32" s="4199" t="s">
        <v>1854</v>
      </c>
      <c r="AR32" s="1930"/>
      <c r="AS32" s="1930"/>
      <c r="AT32" s="1930"/>
      <c r="AU32" s="1930"/>
      <c r="AV32" s="4213"/>
      <c r="AW32" s="4199" t="s">
        <v>1854</v>
      </c>
      <c r="AX32" s="1930"/>
      <c r="AY32" s="1930"/>
      <c r="AZ32" s="1930"/>
      <c r="BA32" s="1930"/>
      <c r="BB32" s="4213"/>
      <c r="BC32" s="1522"/>
    </row>
    <row r="33" spans="1:55" ht="30" x14ac:dyDescent="0.25">
      <c r="A33" s="1259"/>
      <c r="B33" s="1260"/>
      <c r="C33" s="1260"/>
      <c r="D33" s="4225"/>
      <c r="E33" s="4202" t="s">
        <v>1855</v>
      </c>
      <c r="F33" s="4202" t="s">
        <v>1785</v>
      </c>
      <c r="G33" s="4202" t="s">
        <v>1856</v>
      </c>
      <c r="H33" s="4203"/>
      <c r="I33" s="4204" t="s">
        <v>1787</v>
      </c>
      <c r="J33" s="4206" t="s">
        <v>1857</v>
      </c>
      <c r="K33" s="4206" t="s">
        <v>1781</v>
      </c>
      <c r="L33" s="4206" t="s">
        <v>1858</v>
      </c>
      <c r="M33" s="4203"/>
      <c r="N33" s="4204" t="s">
        <v>1859</v>
      </c>
      <c r="O33" s="4206" t="s">
        <v>1829</v>
      </c>
      <c r="P33" s="4206" t="s">
        <v>1844</v>
      </c>
      <c r="Q33" s="4206" t="s">
        <v>1860</v>
      </c>
      <c r="R33" s="4203"/>
      <c r="S33" s="4204" t="s">
        <v>1812</v>
      </c>
      <c r="T33" s="4206" t="s">
        <v>1781</v>
      </c>
      <c r="U33" s="4206" t="s">
        <v>1843</v>
      </c>
      <c r="V33" s="4206" t="s">
        <v>1829</v>
      </c>
      <c r="W33" s="4206" t="s">
        <v>1846</v>
      </c>
      <c r="X33" s="4203" t="s">
        <v>1847</v>
      </c>
      <c r="Y33" s="4204" t="s">
        <v>1859</v>
      </c>
      <c r="Z33" s="4206" t="s">
        <v>1843</v>
      </c>
      <c r="AA33" s="4206" t="s">
        <v>1861</v>
      </c>
      <c r="AB33" s="4206" t="s">
        <v>1844</v>
      </c>
      <c r="AC33" s="4206" t="s">
        <v>1785</v>
      </c>
      <c r="AD33" s="4200" t="s">
        <v>1823</v>
      </c>
      <c r="AE33" s="4204" t="s">
        <v>1859</v>
      </c>
      <c r="AF33" s="4206" t="s">
        <v>1843</v>
      </c>
      <c r="AG33" s="4206" t="s">
        <v>1861</v>
      </c>
      <c r="AH33" s="4206" t="s">
        <v>1844</v>
      </c>
      <c r="AI33" s="4206" t="s">
        <v>1785</v>
      </c>
      <c r="AJ33" s="4200" t="s">
        <v>1823</v>
      </c>
      <c r="AK33" s="4204" t="s">
        <v>1859</v>
      </c>
      <c r="AL33" s="4206" t="s">
        <v>1843</v>
      </c>
      <c r="AM33" s="4206" t="s">
        <v>1861</v>
      </c>
      <c r="AN33" s="4206" t="s">
        <v>1844</v>
      </c>
      <c r="AO33" s="4206" t="s">
        <v>1785</v>
      </c>
      <c r="AP33" s="4200" t="s">
        <v>1823</v>
      </c>
      <c r="AQ33" s="4204" t="s">
        <v>1862</v>
      </c>
      <c r="AR33" s="4206" t="s">
        <v>1847</v>
      </c>
      <c r="AS33" s="4206" t="s">
        <v>1843</v>
      </c>
      <c r="AT33" s="4206" t="s">
        <v>224</v>
      </c>
      <c r="AU33" s="4206" t="s">
        <v>1795</v>
      </c>
      <c r="AV33" s="4200" t="s">
        <v>1861</v>
      </c>
      <c r="AW33" s="4204" t="s">
        <v>1858</v>
      </c>
      <c r="AX33" s="4206" t="s">
        <v>1844</v>
      </c>
      <c r="AY33" s="4206" t="s">
        <v>1846</v>
      </c>
      <c r="AZ33" s="4206" t="s">
        <v>1795</v>
      </c>
      <c r="BA33" s="4206" t="s">
        <v>1857</v>
      </c>
      <c r="BB33" s="4200" t="s">
        <v>1861</v>
      </c>
      <c r="BC33" s="1522"/>
    </row>
    <row r="34" spans="1:55" ht="20" x14ac:dyDescent="0.25">
      <c r="A34" s="1259"/>
      <c r="B34" s="1260"/>
      <c r="C34" s="1260"/>
      <c r="D34" s="4226"/>
      <c r="E34" s="1522" t="s">
        <v>1822</v>
      </c>
      <c r="F34" s="1522" t="s">
        <v>1863</v>
      </c>
      <c r="G34" s="1522" t="s">
        <v>1864</v>
      </c>
      <c r="H34" s="4200"/>
      <c r="I34" s="4222" t="s">
        <v>1859</v>
      </c>
      <c r="J34" s="1930" t="s">
        <v>224</v>
      </c>
      <c r="K34" s="1930" t="s">
        <v>1821</v>
      </c>
      <c r="L34" s="1930" t="s">
        <v>1807</v>
      </c>
      <c r="M34" s="4200"/>
      <c r="N34" s="4222" t="s">
        <v>1861</v>
      </c>
      <c r="O34" s="1930" t="s">
        <v>1768</v>
      </c>
      <c r="P34" s="1930" t="s">
        <v>1847</v>
      </c>
      <c r="Q34" s="1930"/>
      <c r="R34" s="4200"/>
      <c r="S34" s="4222" t="s">
        <v>1862</v>
      </c>
      <c r="T34" s="1930" t="s">
        <v>1785</v>
      </c>
      <c r="U34" s="1930" t="s">
        <v>1859</v>
      </c>
      <c r="V34" s="1930" t="s">
        <v>1861</v>
      </c>
      <c r="W34" s="1930" t="s">
        <v>1142</v>
      </c>
      <c r="X34" s="4200" t="s">
        <v>224</v>
      </c>
      <c r="Y34" s="4222" t="s">
        <v>224</v>
      </c>
      <c r="Z34" s="1930" t="s">
        <v>1865</v>
      </c>
      <c r="AA34" s="1930" t="s">
        <v>1827</v>
      </c>
      <c r="AB34" s="1930" t="s">
        <v>1862</v>
      </c>
      <c r="AC34" s="1930" t="s">
        <v>1857</v>
      </c>
      <c r="AD34" s="4219" t="s">
        <v>1866</v>
      </c>
      <c r="AE34" s="4222" t="s">
        <v>224</v>
      </c>
      <c r="AF34" s="1930" t="s">
        <v>1865</v>
      </c>
      <c r="AG34" s="1930" t="s">
        <v>1827</v>
      </c>
      <c r="AH34" s="1930" t="s">
        <v>1862</v>
      </c>
      <c r="AI34" s="1930" t="s">
        <v>1857</v>
      </c>
      <c r="AJ34" s="4219" t="s">
        <v>1866</v>
      </c>
      <c r="AK34" s="4222" t="s">
        <v>224</v>
      </c>
      <c r="AL34" s="1930" t="s">
        <v>1865</v>
      </c>
      <c r="AM34" s="1930" t="s">
        <v>1827</v>
      </c>
      <c r="AN34" s="1930" t="s">
        <v>1862</v>
      </c>
      <c r="AO34" s="1930" t="s">
        <v>1857</v>
      </c>
      <c r="AP34" s="4219" t="s">
        <v>1866</v>
      </c>
      <c r="AQ34" s="4222" t="s">
        <v>39</v>
      </c>
      <c r="AR34" s="1930" t="s">
        <v>1867</v>
      </c>
      <c r="AS34" s="1930" t="s">
        <v>1868</v>
      </c>
      <c r="AT34" s="1930" t="s">
        <v>1816</v>
      </c>
      <c r="AU34" s="1930" t="s">
        <v>1853</v>
      </c>
      <c r="AV34" s="4219" t="s">
        <v>1869</v>
      </c>
      <c r="AW34" s="4222" t="s">
        <v>1870</v>
      </c>
      <c r="AX34" s="1930" t="s">
        <v>1871</v>
      </c>
      <c r="AY34" s="1930" t="s">
        <v>1869</v>
      </c>
      <c r="AZ34" s="1930" t="s">
        <v>1836</v>
      </c>
      <c r="BA34" s="1930" t="s">
        <v>1872</v>
      </c>
      <c r="BB34" s="4219" t="s">
        <v>1873</v>
      </c>
      <c r="BC34" s="1930"/>
    </row>
    <row r="35" spans="1:55" ht="30" x14ac:dyDescent="0.25">
      <c r="A35" s="1259"/>
      <c r="B35" s="1260"/>
      <c r="C35" s="1260"/>
      <c r="D35" s="4229"/>
      <c r="E35" s="1921"/>
      <c r="F35" s="1921"/>
      <c r="G35" s="1921"/>
      <c r="H35" s="4230"/>
      <c r="I35" s="4222" t="s">
        <v>1845</v>
      </c>
      <c r="J35" s="1930" t="s">
        <v>1829</v>
      </c>
      <c r="K35" s="1930" t="s">
        <v>1863</v>
      </c>
      <c r="L35" s="1930" t="s">
        <v>1865</v>
      </c>
      <c r="M35" s="4200"/>
      <c r="N35" s="4222" t="s">
        <v>1822</v>
      </c>
      <c r="O35" s="1930" t="s">
        <v>1872</v>
      </c>
      <c r="P35" s="1930" t="s">
        <v>1832</v>
      </c>
      <c r="Q35" s="1930"/>
      <c r="R35" s="4200"/>
      <c r="S35" s="4222" t="s">
        <v>1838</v>
      </c>
      <c r="T35" s="1930" t="s">
        <v>1818</v>
      </c>
      <c r="U35" s="1930" t="s">
        <v>1807</v>
      </c>
      <c r="V35" s="1930" t="s">
        <v>1832</v>
      </c>
      <c r="W35" s="1930" t="s">
        <v>1823</v>
      </c>
      <c r="X35" s="4200" t="s">
        <v>1816</v>
      </c>
      <c r="Y35" s="4222" t="s">
        <v>1870</v>
      </c>
      <c r="Z35" s="1930" t="s">
        <v>1836</v>
      </c>
      <c r="AA35" s="1930" t="s">
        <v>1853</v>
      </c>
      <c r="AB35" s="1930" t="s">
        <v>1874</v>
      </c>
      <c r="AC35" s="1930" t="s">
        <v>1858</v>
      </c>
      <c r="AD35" s="4200"/>
      <c r="AE35" s="4222" t="s">
        <v>1870</v>
      </c>
      <c r="AF35" s="1930" t="s">
        <v>1836</v>
      </c>
      <c r="AG35" s="1930" t="s">
        <v>1853</v>
      </c>
      <c r="AH35" s="1930" t="s">
        <v>1874</v>
      </c>
      <c r="AI35" s="1930" t="s">
        <v>1858</v>
      </c>
      <c r="AJ35" s="4200"/>
      <c r="AK35" s="4222" t="s">
        <v>1870</v>
      </c>
      <c r="AL35" s="1930" t="s">
        <v>1836</v>
      </c>
      <c r="AM35" s="1930" t="s">
        <v>1853</v>
      </c>
      <c r="AN35" s="1930" t="s">
        <v>1874</v>
      </c>
      <c r="AO35" s="1930" t="s">
        <v>1858</v>
      </c>
      <c r="AP35" s="4200"/>
      <c r="AQ35" s="4222" t="s">
        <v>1818</v>
      </c>
      <c r="AR35" s="1930" t="s">
        <v>1871</v>
      </c>
      <c r="AS35" s="1930" t="s">
        <v>1859</v>
      </c>
      <c r="AT35" s="1930" t="s">
        <v>1870</v>
      </c>
      <c r="AU35" s="1930" t="s">
        <v>1836</v>
      </c>
      <c r="AV35" s="4200" t="s">
        <v>1875</v>
      </c>
      <c r="AW35" s="4222" t="s">
        <v>1867</v>
      </c>
      <c r="AX35" s="1930" t="s">
        <v>1859</v>
      </c>
      <c r="AY35" s="1930" t="s">
        <v>1865</v>
      </c>
      <c r="AZ35" s="1930" t="s">
        <v>1874</v>
      </c>
      <c r="BA35" s="1930" t="s">
        <v>1868</v>
      </c>
      <c r="BB35" s="4200" t="s">
        <v>1876</v>
      </c>
      <c r="BC35" s="1522"/>
    </row>
    <row r="36" spans="1:55" ht="20" x14ac:dyDescent="0.25">
      <c r="A36" s="1259"/>
      <c r="B36" s="1260"/>
      <c r="C36" s="1260"/>
      <c r="D36" s="4229"/>
      <c r="E36" s="1921"/>
      <c r="F36" s="1921"/>
      <c r="G36" s="1921"/>
      <c r="H36" s="4230"/>
      <c r="I36" s="4222" t="s">
        <v>1861</v>
      </c>
      <c r="J36" s="1930" t="s">
        <v>1768</v>
      </c>
      <c r="K36" s="1930" t="s">
        <v>1856</v>
      </c>
      <c r="L36" s="1930" t="s">
        <v>1843</v>
      </c>
      <c r="M36" s="4200"/>
      <c r="N36" s="4222" t="s">
        <v>1862</v>
      </c>
      <c r="O36" s="1930" t="s">
        <v>1823</v>
      </c>
      <c r="P36" s="1930" t="s">
        <v>1842</v>
      </c>
      <c r="Q36" s="1930"/>
      <c r="R36" s="4200"/>
      <c r="S36" s="4222" t="s">
        <v>1870</v>
      </c>
      <c r="T36" s="1930" t="s">
        <v>1844</v>
      </c>
      <c r="U36" s="1930" t="s">
        <v>1857</v>
      </c>
      <c r="V36" s="1930" t="s">
        <v>1811</v>
      </c>
      <c r="W36" s="1930" t="s">
        <v>1858</v>
      </c>
      <c r="X36" s="4219" t="s">
        <v>1866</v>
      </c>
      <c r="Y36" s="4222"/>
      <c r="Z36" s="1930"/>
      <c r="AA36" s="1930"/>
      <c r="AB36" s="1930"/>
      <c r="AC36" s="1930"/>
      <c r="AD36" s="4200"/>
      <c r="AE36" s="4222"/>
      <c r="AF36" s="1930"/>
      <c r="AG36" s="1930"/>
      <c r="AH36" s="1930"/>
      <c r="AI36" s="1930"/>
      <c r="AJ36" s="4200"/>
      <c r="AK36" s="4222"/>
      <c r="AL36" s="1930"/>
      <c r="AM36" s="1930"/>
      <c r="AN36" s="1930"/>
      <c r="AO36" s="1930"/>
      <c r="AP36" s="4200"/>
      <c r="AQ36" s="4222" t="s">
        <v>1857</v>
      </c>
      <c r="AR36" s="1930" t="s">
        <v>1865</v>
      </c>
      <c r="AS36" s="1930" t="s">
        <v>1858</v>
      </c>
      <c r="AT36" s="1930" t="s">
        <v>1844</v>
      </c>
      <c r="AU36" s="1930" t="s">
        <v>1827</v>
      </c>
      <c r="AV36" s="4219" t="s">
        <v>1872</v>
      </c>
      <c r="AW36" s="4222" t="s">
        <v>1838</v>
      </c>
      <c r="AX36" s="1930"/>
      <c r="AY36" s="1930"/>
      <c r="AZ36" s="1930"/>
      <c r="BA36" s="1930"/>
      <c r="BB36" s="4219"/>
      <c r="BC36" s="1522"/>
    </row>
    <row r="37" spans="1:55" ht="20" x14ac:dyDescent="0.25">
      <c r="A37" s="1259"/>
      <c r="B37" s="1260"/>
      <c r="C37" s="1260"/>
      <c r="D37" s="4229"/>
      <c r="E37" s="1921"/>
      <c r="F37" s="1921"/>
      <c r="G37" s="1921"/>
      <c r="H37" s="4230"/>
      <c r="I37" s="4222" t="s">
        <v>1822</v>
      </c>
      <c r="J37" s="1930" t="s">
        <v>1877</v>
      </c>
      <c r="K37" s="1930" t="s">
        <v>1864</v>
      </c>
      <c r="L37" s="1930" t="s">
        <v>1838</v>
      </c>
      <c r="M37" s="4200"/>
      <c r="N37" s="4222" t="s">
        <v>1818</v>
      </c>
      <c r="O37" s="1930" t="s">
        <v>1790</v>
      </c>
      <c r="P37" s="1930" t="s">
        <v>1858</v>
      </c>
      <c r="Q37" s="1930"/>
      <c r="R37" s="4200"/>
      <c r="S37" s="4222" t="s">
        <v>1853</v>
      </c>
      <c r="T37" s="1930" t="s">
        <v>1874</v>
      </c>
      <c r="U37" s="1930"/>
      <c r="V37" s="1930"/>
      <c r="W37" s="1930"/>
      <c r="X37" s="4200"/>
      <c r="Y37" s="4222"/>
      <c r="Z37" s="1930"/>
      <c r="AA37" s="1930"/>
      <c r="AB37" s="1930"/>
      <c r="AC37" s="1930"/>
      <c r="AD37" s="4200"/>
      <c r="AE37" s="4222"/>
      <c r="AF37" s="1930"/>
      <c r="AG37" s="1930"/>
      <c r="AH37" s="1930"/>
      <c r="AI37" s="1930"/>
      <c r="AJ37" s="4200"/>
      <c r="AK37" s="4222"/>
      <c r="AL37" s="1930"/>
      <c r="AM37" s="1930"/>
      <c r="AN37" s="1930"/>
      <c r="AO37" s="1930"/>
      <c r="AP37" s="4200"/>
      <c r="AQ37" s="4222" t="s">
        <v>1852</v>
      </c>
      <c r="AR37" s="1930" t="s">
        <v>1874</v>
      </c>
      <c r="AS37" s="1930" t="s">
        <v>1838</v>
      </c>
      <c r="AT37" s="1930"/>
      <c r="AU37" s="1930"/>
      <c r="AV37" s="4200"/>
      <c r="AW37" s="4222"/>
      <c r="AX37" s="1930"/>
      <c r="AY37" s="1930"/>
      <c r="AZ37" s="1930"/>
      <c r="BA37" s="1930"/>
      <c r="BB37" s="4200"/>
      <c r="BC37" s="1522"/>
    </row>
    <row r="38" spans="1:55" x14ac:dyDescent="0.25">
      <c r="A38" s="1259"/>
      <c r="B38" s="1260"/>
      <c r="C38" s="1260"/>
      <c r="D38" s="4229"/>
      <c r="E38" s="1921"/>
      <c r="F38" s="1921"/>
      <c r="G38" s="1921"/>
      <c r="H38" s="4230"/>
      <c r="I38" s="4222" t="s">
        <v>1862</v>
      </c>
      <c r="J38" s="1930" t="s">
        <v>1823</v>
      </c>
      <c r="K38" s="1930" t="s">
        <v>1832</v>
      </c>
      <c r="L38" s="4231"/>
      <c r="M38" s="4200"/>
      <c r="N38" s="4222" t="s">
        <v>1857</v>
      </c>
      <c r="O38" s="1930" t="s">
        <v>1870</v>
      </c>
      <c r="P38" s="1930" t="s">
        <v>1807</v>
      </c>
      <c r="Q38" s="724"/>
      <c r="R38" s="4200"/>
      <c r="S38" s="4222"/>
      <c r="T38" s="1930"/>
      <c r="U38" s="1930"/>
      <c r="V38" s="724"/>
      <c r="W38" s="724"/>
      <c r="X38" s="4200"/>
      <c r="Y38" s="4222"/>
      <c r="Z38" s="1930"/>
      <c r="AA38" s="1930"/>
      <c r="AB38" s="724"/>
      <c r="AC38" s="724"/>
      <c r="AD38" s="4200"/>
      <c r="AE38" s="4222"/>
      <c r="AF38" s="1930"/>
      <c r="AG38" s="1930"/>
      <c r="AH38" s="724"/>
      <c r="AI38" s="724"/>
      <c r="AJ38" s="4200"/>
      <c r="AK38" s="4222"/>
      <c r="AL38" s="1930"/>
      <c r="AM38" s="1930"/>
      <c r="AN38" s="724"/>
      <c r="AO38" s="724"/>
      <c r="AP38" s="4200"/>
      <c r="AQ38" s="4222"/>
      <c r="AR38" s="1930"/>
      <c r="AS38" s="1930"/>
      <c r="AT38" s="724"/>
      <c r="AU38" s="724"/>
      <c r="AV38" s="4200"/>
      <c r="AW38" s="4222"/>
      <c r="AX38" s="1930"/>
      <c r="AY38" s="1930"/>
      <c r="AZ38" s="724"/>
      <c r="BA38" s="724"/>
      <c r="BB38" s="4200"/>
      <c r="BC38" s="1522"/>
    </row>
    <row r="39" spans="1:55" ht="20.5" thickBot="1" x14ac:dyDescent="0.3">
      <c r="A39" s="1259"/>
      <c r="B39" s="1260"/>
      <c r="C39" s="1260"/>
      <c r="D39" s="4232"/>
      <c r="E39" s="4233"/>
      <c r="F39" s="4233"/>
      <c r="G39" s="4233"/>
      <c r="H39" s="4234"/>
      <c r="I39" s="4235" t="s">
        <v>1818</v>
      </c>
      <c r="J39" s="4236" t="s">
        <v>1878</v>
      </c>
      <c r="K39" s="4236" t="s">
        <v>1842</v>
      </c>
      <c r="L39" s="4237"/>
      <c r="M39" s="4238"/>
      <c r="N39" s="4235" t="s">
        <v>224</v>
      </c>
      <c r="O39" s="4236" t="s">
        <v>1781</v>
      </c>
      <c r="P39" s="4236" t="s">
        <v>1865</v>
      </c>
      <c r="Q39" s="4239"/>
      <c r="R39" s="4238"/>
      <c r="S39" s="4235"/>
      <c r="T39" s="4236"/>
      <c r="U39" s="4236"/>
      <c r="V39" s="4239"/>
      <c r="W39" s="4239"/>
      <c r="X39" s="4238"/>
      <c r="Y39" s="4235"/>
      <c r="Z39" s="4236"/>
      <c r="AA39" s="4236"/>
      <c r="AB39" s="4239"/>
      <c r="AC39" s="4239"/>
      <c r="AD39" s="4238"/>
      <c r="AE39" s="4235"/>
      <c r="AF39" s="4236"/>
      <c r="AG39" s="4236"/>
      <c r="AH39" s="4239"/>
      <c r="AI39" s="4239"/>
      <c r="AJ39" s="4238"/>
      <c r="AK39" s="4235"/>
      <c r="AL39" s="4236"/>
      <c r="AM39" s="4236"/>
      <c r="AN39" s="4239"/>
      <c r="AO39" s="4239"/>
      <c r="AP39" s="4238"/>
      <c r="AQ39" s="4235"/>
      <c r="AR39" s="4236"/>
      <c r="AS39" s="4236"/>
      <c r="AT39" s="4239"/>
      <c r="AU39" s="4239"/>
      <c r="AV39" s="4238"/>
      <c r="AW39" s="4235"/>
      <c r="AX39" s="4236"/>
      <c r="AY39" s="4236"/>
      <c r="AZ39" s="4239"/>
      <c r="BA39" s="4239"/>
      <c r="BB39" s="4238"/>
      <c r="BC39" s="1522"/>
    </row>
    <row r="40" spans="1:55" ht="12.5" x14ac:dyDescent="0.25">
      <c r="A40" s="3000"/>
      <c r="B40" s="4240"/>
      <c r="C40" s="4240"/>
      <c r="N40" s="767"/>
      <c r="O40" s="767"/>
      <c r="P40" s="767"/>
      <c r="Q40" s="767"/>
      <c r="R40" s="767"/>
      <c r="S40" s="767"/>
      <c r="T40" s="767"/>
      <c r="U40" s="767"/>
      <c r="V40" s="767"/>
      <c r="W40" s="767"/>
      <c r="X40" s="767"/>
      <c r="Y40" s="767"/>
      <c r="Z40" s="767"/>
      <c r="AA40" s="767"/>
    </row>
    <row r="41" spans="1:55" ht="15" customHeight="1" x14ac:dyDescent="0.25">
      <c r="A41" s="1255">
        <v>5</v>
      </c>
      <c r="B41" s="1255" t="s">
        <v>58</v>
      </c>
      <c r="C41" s="1255"/>
      <c r="D41" s="5094" t="s">
        <v>1879</v>
      </c>
      <c r="E41" s="4803"/>
      <c r="F41" s="4803"/>
      <c r="G41" s="4803"/>
      <c r="H41" s="4803"/>
      <c r="I41" s="4803"/>
      <c r="J41" s="4803"/>
      <c r="K41" s="4803"/>
      <c r="L41" s="4803"/>
      <c r="M41" s="4803"/>
      <c r="N41" s="4803"/>
      <c r="O41" s="4803"/>
      <c r="P41" s="4803"/>
      <c r="Q41" s="4803"/>
      <c r="R41" s="4803"/>
      <c r="S41" s="4803"/>
      <c r="T41" s="4803"/>
      <c r="U41" s="4803"/>
      <c r="V41" s="4803"/>
      <c r="W41" s="4803"/>
      <c r="X41" s="4803"/>
      <c r="Y41" s="4803"/>
      <c r="Z41" s="4803"/>
      <c r="AA41" s="4803"/>
      <c r="AB41" s="4803"/>
      <c r="AC41" s="4803"/>
      <c r="AD41" s="4804"/>
      <c r="AE41" s="4241"/>
      <c r="AF41" s="4241"/>
      <c r="AG41" s="4241"/>
      <c r="AH41" s="4241"/>
      <c r="AI41" s="4241"/>
    </row>
    <row r="42" spans="1:55" ht="56.5" customHeight="1" x14ac:dyDescent="0.25">
      <c r="A42" s="1306">
        <v>6</v>
      </c>
      <c r="B42" s="1306" t="s">
        <v>60</v>
      </c>
      <c r="C42" s="1306"/>
      <c r="D42" s="5094" t="s">
        <v>1880</v>
      </c>
      <c r="E42" s="4803"/>
      <c r="F42" s="4803"/>
      <c r="G42" s="4803"/>
      <c r="H42" s="4803"/>
      <c r="I42" s="4803"/>
      <c r="J42" s="4803"/>
      <c r="K42" s="4803"/>
      <c r="L42" s="4803"/>
      <c r="M42" s="4803"/>
      <c r="N42" s="4803"/>
      <c r="O42" s="4803"/>
      <c r="P42" s="4803"/>
      <c r="Q42" s="4803"/>
      <c r="R42" s="4803"/>
      <c r="S42" s="4803"/>
      <c r="T42" s="4803"/>
      <c r="U42" s="4803"/>
      <c r="V42" s="4803"/>
      <c r="W42" s="4803"/>
      <c r="X42" s="4803"/>
      <c r="Y42" s="4803"/>
      <c r="Z42" s="4803"/>
      <c r="AA42" s="4803"/>
      <c r="AB42" s="4803"/>
      <c r="AC42" s="4803"/>
      <c r="AD42" s="4804"/>
      <c r="AE42" s="4241"/>
      <c r="AF42" s="4241"/>
      <c r="AG42" s="4241"/>
      <c r="AH42" s="4241"/>
      <c r="AI42" s="4241"/>
    </row>
    <row r="43" spans="1:55" ht="12.75" customHeight="1" x14ac:dyDescent="0.25">
      <c r="A43" s="1255">
        <v>7</v>
      </c>
      <c r="B43" s="1255" t="s">
        <v>62</v>
      </c>
      <c r="C43" s="1255"/>
      <c r="D43" s="5088" t="s">
        <v>1881</v>
      </c>
      <c r="E43" s="5089"/>
      <c r="F43" s="5089"/>
      <c r="G43" s="5089"/>
      <c r="H43" s="5089"/>
      <c r="I43" s="5089"/>
      <c r="J43" s="5089"/>
      <c r="K43" s="5089"/>
      <c r="L43" s="5089"/>
      <c r="M43" s="5089"/>
      <c r="N43" s="5089"/>
      <c r="O43" s="5089"/>
      <c r="P43" s="5089"/>
      <c r="Q43" s="5089"/>
      <c r="R43" s="5089"/>
      <c r="S43" s="5089"/>
      <c r="T43" s="5089"/>
      <c r="U43" s="5089"/>
      <c r="V43" s="5089"/>
      <c r="W43" s="5089"/>
      <c r="X43" s="5089"/>
      <c r="Y43" s="5089"/>
      <c r="Z43" s="5089"/>
      <c r="AA43" s="5089"/>
      <c r="AB43" s="5089"/>
      <c r="AC43" s="5089"/>
      <c r="AD43" s="5090"/>
      <c r="AE43" s="4242"/>
      <c r="AF43" s="4242"/>
      <c r="AG43" s="4242"/>
      <c r="AH43" s="4242"/>
      <c r="AI43" s="4242"/>
    </row>
    <row r="44" spans="1:55" x14ac:dyDescent="0.35">
      <c r="N44" s="1265"/>
      <c r="O44" s="1919"/>
      <c r="P44" s="1919"/>
      <c r="Q44" s="1919"/>
      <c r="R44" s="1919"/>
      <c r="S44" s="1265"/>
      <c r="T44" s="1919"/>
      <c r="U44" s="1919"/>
      <c r="V44" s="1919"/>
      <c r="W44" s="1919"/>
      <c r="X44" s="1919"/>
      <c r="Y44" s="1919"/>
      <c r="Z44" s="1919"/>
      <c r="AA44" s="1919"/>
      <c r="AB44" s="1919"/>
      <c r="AC44" s="1919"/>
    </row>
    <row r="45" spans="1:55" x14ac:dyDescent="0.35">
      <c r="N45" s="1265"/>
      <c r="O45" s="1919"/>
      <c r="P45" s="1919"/>
      <c r="Q45" s="1919"/>
      <c r="R45" s="1919"/>
      <c r="S45" s="1265"/>
      <c r="T45" s="1919"/>
      <c r="U45" s="1919"/>
      <c r="V45" s="1919"/>
      <c r="W45" s="1919"/>
      <c r="X45" s="1919"/>
      <c r="Y45" s="1919"/>
      <c r="Z45" s="1919"/>
      <c r="AA45" s="1919"/>
      <c r="AB45" s="1919"/>
      <c r="AC45" s="1919"/>
    </row>
    <row r="46" spans="1:55" x14ac:dyDescent="0.35">
      <c r="G46" s="4243"/>
      <c r="N46" s="1265"/>
      <c r="O46" s="1919"/>
      <c r="P46" s="1919"/>
      <c r="Q46" s="1919"/>
      <c r="R46" s="1919"/>
      <c r="S46" s="1265"/>
      <c r="T46" s="1919"/>
      <c r="U46" s="1919"/>
      <c r="V46" s="1919"/>
      <c r="W46" s="1919"/>
      <c r="X46" s="1919"/>
      <c r="Y46" s="1919"/>
      <c r="Z46" s="1919"/>
      <c r="AA46" s="1919"/>
      <c r="AB46" s="1919"/>
      <c r="AC46" s="1919"/>
    </row>
    <row r="47" spans="1:55" x14ac:dyDescent="0.3">
      <c r="G47" s="4243"/>
      <c r="N47" s="1265"/>
      <c r="S47" s="1265"/>
    </row>
    <row r="48" spans="1:55" x14ac:dyDescent="0.3">
      <c r="G48" s="4243"/>
      <c r="N48" s="1265"/>
      <c r="S48" s="1265"/>
    </row>
    <row r="49" spans="7:19" x14ac:dyDescent="0.3">
      <c r="G49" s="4243"/>
      <c r="N49" s="1265"/>
      <c r="S49" s="1265"/>
    </row>
    <row r="50" spans="7:19" x14ac:dyDescent="0.3">
      <c r="G50" s="4243"/>
      <c r="N50" s="1265"/>
      <c r="S50" s="1265"/>
    </row>
    <row r="51" spans="7:19" x14ac:dyDescent="0.3">
      <c r="G51" s="4243"/>
      <c r="N51" s="1265"/>
      <c r="S51" s="1265"/>
    </row>
    <row r="52" spans="7:19" x14ac:dyDescent="0.3">
      <c r="G52" s="4243"/>
      <c r="N52" s="1265"/>
      <c r="S52" s="1265"/>
    </row>
    <row r="53" spans="7:19" x14ac:dyDescent="0.3">
      <c r="G53" s="4243"/>
      <c r="N53" s="1265"/>
      <c r="S53" s="1265"/>
    </row>
    <row r="54" spans="7:19" x14ac:dyDescent="0.3">
      <c r="G54" s="4243"/>
      <c r="N54" s="1265"/>
      <c r="S54" s="1265"/>
    </row>
    <row r="55" spans="7:19" x14ac:dyDescent="0.3">
      <c r="G55" s="4243"/>
      <c r="N55" s="1265"/>
      <c r="S55" s="1265"/>
    </row>
    <row r="56" spans="7:19" x14ac:dyDescent="0.3">
      <c r="G56" s="4243"/>
      <c r="N56" s="1265"/>
      <c r="S56" s="1265"/>
    </row>
    <row r="57" spans="7:19" x14ac:dyDescent="0.25">
      <c r="N57" s="1265"/>
      <c r="S57" s="1265"/>
    </row>
    <row r="58" spans="7:19" x14ac:dyDescent="0.25">
      <c r="N58" s="1265"/>
      <c r="S58" s="1265"/>
    </row>
    <row r="59" spans="7:19" x14ac:dyDescent="0.25">
      <c r="N59" s="1265"/>
      <c r="S59" s="1265"/>
    </row>
    <row r="60" spans="7:19" x14ac:dyDescent="0.25">
      <c r="N60" s="1265"/>
      <c r="S60" s="1265"/>
    </row>
    <row r="61" spans="7:19" x14ac:dyDescent="0.25">
      <c r="N61" s="1265"/>
      <c r="S61" s="1265"/>
    </row>
    <row r="62" spans="7:19" x14ac:dyDescent="0.25">
      <c r="N62" s="1265"/>
      <c r="S62" s="1265"/>
    </row>
    <row r="63" spans="7:19" x14ac:dyDescent="0.25">
      <c r="N63" s="1265"/>
      <c r="S63" s="1265"/>
    </row>
    <row r="64" spans="7:19" x14ac:dyDescent="0.25">
      <c r="N64" s="1265"/>
      <c r="S64" s="1265"/>
    </row>
    <row r="65" spans="14:19" x14ac:dyDescent="0.25">
      <c r="N65" s="1265"/>
      <c r="S65" s="1265"/>
    </row>
  </sheetData>
  <mergeCells count="7">
    <mergeCell ref="D43:AD43"/>
    <mergeCell ref="D2:AD2"/>
    <mergeCell ref="D3:AD3"/>
    <mergeCell ref="D4:AD4"/>
    <mergeCell ref="I32:M32"/>
    <mergeCell ref="D41:AD41"/>
    <mergeCell ref="D42:AD42"/>
  </mergeCells>
  <hyperlinks>
    <hyperlink ref="D43" r:id="rId1" xr:uid="{00000000-0004-0000-5000-000000000000}"/>
    <hyperlink ref="AR22" r:id="rId2" display="https://www.internationalbudget.org/open-budget-survey/results-by-country/country-info/?country=af" xr:uid="{00000000-0004-0000-5000-000001000000}"/>
  </hyperlinks>
  <pageMargins left="0.74803149606299213" right="0.74803149606299213" top="0.98425196850393704" bottom="0.98425196850393704" header="0.51181102362204722" footer="0.51181102362204722"/>
  <pageSetup paperSize="9" scale="24" orientation="landscape" r:id="rId3"/>
  <headerFooter alignWithMargins="0">
    <oddHeader>&amp;C&amp;"-,Bold"DEVELOPMENT INDICATORS 2014</oddHeader>
    <oddFooter>&amp;LDepartment of Planning, Monitoring and Evaluation (DPME). &amp;CPage &amp;P of &amp;N&amp;R&amp;D</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8"/>
    <pageSetUpPr fitToPage="1"/>
  </sheetPr>
  <dimension ref="A1:JJ100"/>
  <sheetViews>
    <sheetView showGridLines="0" view="pageBreakPreview" topLeftCell="B1" zoomScaleNormal="100" zoomScaleSheetLayoutView="100" workbookViewId="0">
      <selection activeCell="B36" sqref="B36"/>
    </sheetView>
  </sheetViews>
  <sheetFormatPr defaultColWidth="9.1796875" defaultRowHeight="11.5" x14ac:dyDescent="0.25"/>
  <cols>
    <col min="1" max="1" width="3.7265625" style="818" customWidth="1"/>
    <col min="2" max="2" width="14.453125" style="753" customWidth="1"/>
    <col min="3" max="3" width="3.7265625" style="753" customWidth="1"/>
    <col min="4" max="4" width="18.26953125" style="727" customWidth="1"/>
    <col min="5" max="18" width="5.7265625" style="727" customWidth="1"/>
    <col min="19" max="19" width="8.1796875" style="727" customWidth="1"/>
    <col min="20" max="21" width="9.26953125" style="727" customWidth="1"/>
    <col min="22" max="22" width="9.54296875" style="727" customWidth="1"/>
    <col min="23" max="23" width="9.7265625" style="727" customWidth="1"/>
    <col min="24" max="26" width="5.7265625" style="727" customWidth="1"/>
    <col min="27" max="40" width="5.54296875" style="727" customWidth="1"/>
    <col min="41" max="41" width="6.26953125" style="727" customWidth="1"/>
    <col min="42" max="42" width="5.1796875" style="727" customWidth="1"/>
    <col min="43" max="43" width="6.453125" style="727" customWidth="1"/>
    <col min="44" max="44" width="6.1796875" style="727" customWidth="1"/>
    <col min="45" max="266" width="9.1796875" style="727"/>
    <col min="267" max="267" width="3.7265625" style="727" customWidth="1"/>
    <col min="268" max="268" width="14.453125" style="727" customWidth="1"/>
    <col min="269" max="269" width="3.7265625" style="727" customWidth="1"/>
    <col min="270" max="270" width="18.26953125" style="727" customWidth="1"/>
    <col min="271" max="293" width="5.7265625" style="727" customWidth="1"/>
    <col min="294" max="522" width="9.1796875" style="727"/>
    <col min="523" max="523" width="3.7265625" style="727" customWidth="1"/>
    <col min="524" max="524" width="14.453125" style="727" customWidth="1"/>
    <col min="525" max="525" width="3.7265625" style="727" customWidth="1"/>
    <col min="526" max="526" width="18.26953125" style="727" customWidth="1"/>
    <col min="527" max="549" width="5.7265625" style="727" customWidth="1"/>
    <col min="550" max="778" width="9.1796875" style="727"/>
    <col min="779" max="779" width="3.7265625" style="727" customWidth="1"/>
    <col min="780" max="780" width="14.453125" style="727" customWidth="1"/>
    <col min="781" max="781" width="3.7265625" style="727" customWidth="1"/>
    <col min="782" max="782" width="18.26953125" style="727" customWidth="1"/>
    <col min="783" max="805" width="5.7265625" style="727" customWidth="1"/>
    <col min="806" max="1034" width="9.1796875" style="727"/>
    <col min="1035" max="1035" width="3.7265625" style="727" customWidth="1"/>
    <col min="1036" max="1036" width="14.453125" style="727" customWidth="1"/>
    <col min="1037" max="1037" width="3.7265625" style="727" customWidth="1"/>
    <col min="1038" max="1038" width="18.26953125" style="727" customWidth="1"/>
    <col min="1039" max="1061" width="5.7265625" style="727" customWidth="1"/>
    <col min="1062" max="1290" width="9.1796875" style="727"/>
    <col min="1291" max="1291" width="3.7265625" style="727" customWidth="1"/>
    <col min="1292" max="1292" width="14.453125" style="727" customWidth="1"/>
    <col min="1293" max="1293" width="3.7265625" style="727" customWidth="1"/>
    <col min="1294" max="1294" width="18.26953125" style="727" customWidth="1"/>
    <col min="1295" max="1317" width="5.7265625" style="727" customWidth="1"/>
    <col min="1318" max="1546" width="9.1796875" style="727"/>
    <col min="1547" max="1547" width="3.7265625" style="727" customWidth="1"/>
    <col min="1548" max="1548" width="14.453125" style="727" customWidth="1"/>
    <col min="1549" max="1549" width="3.7265625" style="727" customWidth="1"/>
    <col min="1550" max="1550" width="18.26953125" style="727" customWidth="1"/>
    <col min="1551" max="1573" width="5.7265625" style="727" customWidth="1"/>
    <col min="1574" max="1802" width="9.1796875" style="727"/>
    <col min="1803" max="1803" width="3.7265625" style="727" customWidth="1"/>
    <col min="1804" max="1804" width="14.453125" style="727" customWidth="1"/>
    <col min="1805" max="1805" width="3.7265625" style="727" customWidth="1"/>
    <col min="1806" max="1806" width="18.26953125" style="727" customWidth="1"/>
    <col min="1807" max="1829" width="5.7265625" style="727" customWidth="1"/>
    <col min="1830" max="2058" width="9.1796875" style="727"/>
    <col min="2059" max="2059" width="3.7265625" style="727" customWidth="1"/>
    <col min="2060" max="2060" width="14.453125" style="727" customWidth="1"/>
    <col min="2061" max="2061" width="3.7265625" style="727" customWidth="1"/>
    <col min="2062" max="2062" width="18.26953125" style="727" customWidth="1"/>
    <col min="2063" max="2085" width="5.7265625" style="727" customWidth="1"/>
    <col min="2086" max="2314" width="9.1796875" style="727"/>
    <col min="2315" max="2315" width="3.7265625" style="727" customWidth="1"/>
    <col min="2316" max="2316" width="14.453125" style="727" customWidth="1"/>
    <col min="2317" max="2317" width="3.7265625" style="727" customWidth="1"/>
    <col min="2318" max="2318" width="18.26953125" style="727" customWidth="1"/>
    <col min="2319" max="2341" width="5.7265625" style="727" customWidth="1"/>
    <col min="2342" max="2570" width="9.1796875" style="727"/>
    <col min="2571" max="2571" width="3.7265625" style="727" customWidth="1"/>
    <col min="2572" max="2572" width="14.453125" style="727" customWidth="1"/>
    <col min="2573" max="2573" width="3.7265625" style="727" customWidth="1"/>
    <col min="2574" max="2574" width="18.26953125" style="727" customWidth="1"/>
    <col min="2575" max="2597" width="5.7265625" style="727" customWidth="1"/>
    <col min="2598" max="2826" width="9.1796875" style="727"/>
    <col min="2827" max="2827" width="3.7265625" style="727" customWidth="1"/>
    <col min="2828" max="2828" width="14.453125" style="727" customWidth="1"/>
    <col min="2829" max="2829" width="3.7265625" style="727" customWidth="1"/>
    <col min="2830" max="2830" width="18.26953125" style="727" customWidth="1"/>
    <col min="2831" max="2853" width="5.7265625" style="727" customWidth="1"/>
    <col min="2854" max="3082" width="9.1796875" style="727"/>
    <col min="3083" max="3083" width="3.7265625" style="727" customWidth="1"/>
    <col min="3084" max="3084" width="14.453125" style="727" customWidth="1"/>
    <col min="3085" max="3085" width="3.7265625" style="727" customWidth="1"/>
    <col min="3086" max="3086" width="18.26953125" style="727" customWidth="1"/>
    <col min="3087" max="3109" width="5.7265625" style="727" customWidth="1"/>
    <col min="3110" max="3338" width="9.1796875" style="727"/>
    <col min="3339" max="3339" width="3.7265625" style="727" customWidth="1"/>
    <col min="3340" max="3340" width="14.453125" style="727" customWidth="1"/>
    <col min="3341" max="3341" width="3.7265625" style="727" customWidth="1"/>
    <col min="3342" max="3342" width="18.26953125" style="727" customWidth="1"/>
    <col min="3343" max="3365" width="5.7265625" style="727" customWidth="1"/>
    <col min="3366" max="3594" width="9.1796875" style="727"/>
    <col min="3595" max="3595" width="3.7265625" style="727" customWidth="1"/>
    <col min="3596" max="3596" width="14.453125" style="727" customWidth="1"/>
    <col min="3597" max="3597" width="3.7265625" style="727" customWidth="1"/>
    <col min="3598" max="3598" width="18.26953125" style="727" customWidth="1"/>
    <col min="3599" max="3621" width="5.7265625" style="727" customWidth="1"/>
    <col min="3622" max="3850" width="9.1796875" style="727"/>
    <col min="3851" max="3851" width="3.7265625" style="727" customWidth="1"/>
    <col min="3852" max="3852" width="14.453125" style="727" customWidth="1"/>
    <col min="3853" max="3853" width="3.7265625" style="727" customWidth="1"/>
    <col min="3854" max="3854" width="18.26953125" style="727" customWidth="1"/>
    <col min="3855" max="3877" width="5.7265625" style="727" customWidth="1"/>
    <col min="3878" max="4106" width="9.1796875" style="727"/>
    <col min="4107" max="4107" width="3.7265625" style="727" customWidth="1"/>
    <col min="4108" max="4108" width="14.453125" style="727" customWidth="1"/>
    <col min="4109" max="4109" width="3.7265625" style="727" customWidth="1"/>
    <col min="4110" max="4110" width="18.26953125" style="727" customWidth="1"/>
    <col min="4111" max="4133" width="5.7265625" style="727" customWidth="1"/>
    <col min="4134" max="4362" width="9.1796875" style="727"/>
    <col min="4363" max="4363" width="3.7265625" style="727" customWidth="1"/>
    <col min="4364" max="4364" width="14.453125" style="727" customWidth="1"/>
    <col min="4365" max="4365" width="3.7265625" style="727" customWidth="1"/>
    <col min="4366" max="4366" width="18.26953125" style="727" customWidth="1"/>
    <col min="4367" max="4389" width="5.7265625" style="727" customWidth="1"/>
    <col min="4390" max="4618" width="9.1796875" style="727"/>
    <col min="4619" max="4619" width="3.7265625" style="727" customWidth="1"/>
    <col min="4620" max="4620" width="14.453125" style="727" customWidth="1"/>
    <col min="4621" max="4621" width="3.7265625" style="727" customWidth="1"/>
    <col min="4622" max="4622" width="18.26953125" style="727" customWidth="1"/>
    <col min="4623" max="4645" width="5.7265625" style="727" customWidth="1"/>
    <col min="4646" max="4874" width="9.1796875" style="727"/>
    <col min="4875" max="4875" width="3.7265625" style="727" customWidth="1"/>
    <col min="4876" max="4876" width="14.453125" style="727" customWidth="1"/>
    <col min="4877" max="4877" width="3.7265625" style="727" customWidth="1"/>
    <col min="4878" max="4878" width="18.26953125" style="727" customWidth="1"/>
    <col min="4879" max="4901" width="5.7265625" style="727" customWidth="1"/>
    <col min="4902" max="5130" width="9.1796875" style="727"/>
    <col min="5131" max="5131" width="3.7265625" style="727" customWidth="1"/>
    <col min="5132" max="5132" width="14.453125" style="727" customWidth="1"/>
    <col min="5133" max="5133" width="3.7265625" style="727" customWidth="1"/>
    <col min="5134" max="5134" width="18.26953125" style="727" customWidth="1"/>
    <col min="5135" max="5157" width="5.7265625" style="727" customWidth="1"/>
    <col min="5158" max="5386" width="9.1796875" style="727"/>
    <col min="5387" max="5387" width="3.7265625" style="727" customWidth="1"/>
    <col min="5388" max="5388" width="14.453125" style="727" customWidth="1"/>
    <col min="5389" max="5389" width="3.7265625" style="727" customWidth="1"/>
    <col min="5390" max="5390" width="18.26953125" style="727" customWidth="1"/>
    <col min="5391" max="5413" width="5.7265625" style="727" customWidth="1"/>
    <col min="5414" max="5642" width="9.1796875" style="727"/>
    <col min="5643" max="5643" width="3.7265625" style="727" customWidth="1"/>
    <col min="5644" max="5644" width="14.453125" style="727" customWidth="1"/>
    <col min="5645" max="5645" width="3.7265625" style="727" customWidth="1"/>
    <col min="5646" max="5646" width="18.26953125" style="727" customWidth="1"/>
    <col min="5647" max="5669" width="5.7265625" style="727" customWidth="1"/>
    <col min="5670" max="5898" width="9.1796875" style="727"/>
    <col min="5899" max="5899" width="3.7265625" style="727" customWidth="1"/>
    <col min="5900" max="5900" width="14.453125" style="727" customWidth="1"/>
    <col min="5901" max="5901" width="3.7265625" style="727" customWidth="1"/>
    <col min="5902" max="5902" width="18.26953125" style="727" customWidth="1"/>
    <col min="5903" max="5925" width="5.7265625" style="727" customWidth="1"/>
    <col min="5926" max="6154" width="9.1796875" style="727"/>
    <col min="6155" max="6155" width="3.7265625" style="727" customWidth="1"/>
    <col min="6156" max="6156" width="14.453125" style="727" customWidth="1"/>
    <col min="6157" max="6157" width="3.7265625" style="727" customWidth="1"/>
    <col min="6158" max="6158" width="18.26953125" style="727" customWidth="1"/>
    <col min="6159" max="6181" width="5.7265625" style="727" customWidth="1"/>
    <col min="6182" max="6410" width="9.1796875" style="727"/>
    <col min="6411" max="6411" width="3.7265625" style="727" customWidth="1"/>
    <col min="6412" max="6412" width="14.453125" style="727" customWidth="1"/>
    <col min="6413" max="6413" width="3.7265625" style="727" customWidth="1"/>
    <col min="6414" max="6414" width="18.26953125" style="727" customWidth="1"/>
    <col min="6415" max="6437" width="5.7265625" style="727" customWidth="1"/>
    <col min="6438" max="6666" width="9.1796875" style="727"/>
    <col min="6667" max="6667" width="3.7265625" style="727" customWidth="1"/>
    <col min="6668" max="6668" width="14.453125" style="727" customWidth="1"/>
    <col min="6669" max="6669" width="3.7265625" style="727" customWidth="1"/>
    <col min="6670" max="6670" width="18.26953125" style="727" customWidth="1"/>
    <col min="6671" max="6693" width="5.7265625" style="727" customWidth="1"/>
    <col min="6694" max="6922" width="9.1796875" style="727"/>
    <col min="6923" max="6923" width="3.7265625" style="727" customWidth="1"/>
    <col min="6924" max="6924" width="14.453125" style="727" customWidth="1"/>
    <col min="6925" max="6925" width="3.7265625" style="727" customWidth="1"/>
    <col min="6926" max="6926" width="18.26953125" style="727" customWidth="1"/>
    <col min="6927" max="6949" width="5.7265625" style="727" customWidth="1"/>
    <col min="6950" max="7178" width="9.1796875" style="727"/>
    <col min="7179" max="7179" width="3.7265625" style="727" customWidth="1"/>
    <col min="7180" max="7180" width="14.453125" style="727" customWidth="1"/>
    <col min="7181" max="7181" width="3.7265625" style="727" customWidth="1"/>
    <col min="7182" max="7182" width="18.26953125" style="727" customWidth="1"/>
    <col min="7183" max="7205" width="5.7265625" style="727" customWidth="1"/>
    <col min="7206" max="7434" width="9.1796875" style="727"/>
    <col min="7435" max="7435" width="3.7265625" style="727" customWidth="1"/>
    <col min="7436" max="7436" width="14.453125" style="727" customWidth="1"/>
    <col min="7437" max="7437" width="3.7265625" style="727" customWidth="1"/>
    <col min="7438" max="7438" width="18.26953125" style="727" customWidth="1"/>
    <col min="7439" max="7461" width="5.7265625" style="727" customWidth="1"/>
    <col min="7462" max="7690" width="9.1796875" style="727"/>
    <col min="7691" max="7691" width="3.7265625" style="727" customWidth="1"/>
    <col min="7692" max="7692" width="14.453125" style="727" customWidth="1"/>
    <col min="7693" max="7693" width="3.7265625" style="727" customWidth="1"/>
    <col min="7694" max="7694" width="18.26953125" style="727" customWidth="1"/>
    <col min="7695" max="7717" width="5.7265625" style="727" customWidth="1"/>
    <col min="7718" max="7946" width="9.1796875" style="727"/>
    <col min="7947" max="7947" width="3.7265625" style="727" customWidth="1"/>
    <col min="7948" max="7948" width="14.453125" style="727" customWidth="1"/>
    <col min="7949" max="7949" width="3.7265625" style="727" customWidth="1"/>
    <col min="7950" max="7950" width="18.26953125" style="727" customWidth="1"/>
    <col min="7951" max="7973" width="5.7265625" style="727" customWidth="1"/>
    <col min="7974" max="8202" width="9.1796875" style="727"/>
    <col min="8203" max="8203" width="3.7265625" style="727" customWidth="1"/>
    <col min="8204" max="8204" width="14.453125" style="727" customWidth="1"/>
    <col min="8205" max="8205" width="3.7265625" style="727" customWidth="1"/>
    <col min="8206" max="8206" width="18.26953125" style="727" customWidth="1"/>
    <col min="8207" max="8229" width="5.7265625" style="727" customWidth="1"/>
    <col min="8230" max="8458" width="9.1796875" style="727"/>
    <col min="8459" max="8459" width="3.7265625" style="727" customWidth="1"/>
    <col min="8460" max="8460" width="14.453125" style="727" customWidth="1"/>
    <col min="8461" max="8461" width="3.7265625" style="727" customWidth="1"/>
    <col min="8462" max="8462" width="18.26953125" style="727" customWidth="1"/>
    <col min="8463" max="8485" width="5.7265625" style="727" customWidth="1"/>
    <col min="8486" max="8714" width="9.1796875" style="727"/>
    <col min="8715" max="8715" width="3.7265625" style="727" customWidth="1"/>
    <col min="8716" max="8716" width="14.453125" style="727" customWidth="1"/>
    <col min="8717" max="8717" width="3.7265625" style="727" customWidth="1"/>
    <col min="8718" max="8718" width="18.26953125" style="727" customWidth="1"/>
    <col min="8719" max="8741" width="5.7265625" style="727" customWidth="1"/>
    <col min="8742" max="8970" width="9.1796875" style="727"/>
    <col min="8971" max="8971" width="3.7265625" style="727" customWidth="1"/>
    <col min="8972" max="8972" width="14.453125" style="727" customWidth="1"/>
    <col min="8973" max="8973" width="3.7265625" style="727" customWidth="1"/>
    <col min="8974" max="8974" width="18.26953125" style="727" customWidth="1"/>
    <col min="8975" max="8997" width="5.7265625" style="727" customWidth="1"/>
    <col min="8998" max="9226" width="9.1796875" style="727"/>
    <col min="9227" max="9227" width="3.7265625" style="727" customWidth="1"/>
    <col min="9228" max="9228" width="14.453125" style="727" customWidth="1"/>
    <col min="9229" max="9229" width="3.7265625" style="727" customWidth="1"/>
    <col min="9230" max="9230" width="18.26953125" style="727" customWidth="1"/>
    <col min="9231" max="9253" width="5.7265625" style="727" customWidth="1"/>
    <col min="9254" max="9482" width="9.1796875" style="727"/>
    <col min="9483" max="9483" width="3.7265625" style="727" customWidth="1"/>
    <col min="9484" max="9484" width="14.453125" style="727" customWidth="1"/>
    <col min="9485" max="9485" width="3.7265625" style="727" customWidth="1"/>
    <col min="9486" max="9486" width="18.26953125" style="727" customWidth="1"/>
    <col min="9487" max="9509" width="5.7265625" style="727" customWidth="1"/>
    <col min="9510" max="9738" width="9.1796875" style="727"/>
    <col min="9739" max="9739" width="3.7265625" style="727" customWidth="1"/>
    <col min="9740" max="9740" width="14.453125" style="727" customWidth="1"/>
    <col min="9741" max="9741" width="3.7265625" style="727" customWidth="1"/>
    <col min="9742" max="9742" width="18.26953125" style="727" customWidth="1"/>
    <col min="9743" max="9765" width="5.7265625" style="727" customWidth="1"/>
    <col min="9766" max="9994" width="9.1796875" style="727"/>
    <col min="9995" max="9995" width="3.7265625" style="727" customWidth="1"/>
    <col min="9996" max="9996" width="14.453125" style="727" customWidth="1"/>
    <col min="9997" max="9997" width="3.7265625" style="727" customWidth="1"/>
    <col min="9998" max="9998" width="18.26953125" style="727" customWidth="1"/>
    <col min="9999" max="10021" width="5.7265625" style="727" customWidth="1"/>
    <col min="10022" max="10250" width="9.1796875" style="727"/>
    <col min="10251" max="10251" width="3.7265625" style="727" customWidth="1"/>
    <col min="10252" max="10252" width="14.453125" style="727" customWidth="1"/>
    <col min="10253" max="10253" width="3.7265625" style="727" customWidth="1"/>
    <col min="10254" max="10254" width="18.26953125" style="727" customWidth="1"/>
    <col min="10255" max="10277" width="5.7265625" style="727" customWidth="1"/>
    <col min="10278" max="10506" width="9.1796875" style="727"/>
    <col min="10507" max="10507" width="3.7265625" style="727" customWidth="1"/>
    <col min="10508" max="10508" width="14.453125" style="727" customWidth="1"/>
    <col min="10509" max="10509" width="3.7265625" style="727" customWidth="1"/>
    <col min="10510" max="10510" width="18.26953125" style="727" customWidth="1"/>
    <col min="10511" max="10533" width="5.7265625" style="727" customWidth="1"/>
    <col min="10534" max="10762" width="9.1796875" style="727"/>
    <col min="10763" max="10763" width="3.7265625" style="727" customWidth="1"/>
    <col min="10764" max="10764" width="14.453125" style="727" customWidth="1"/>
    <col min="10765" max="10765" width="3.7265625" style="727" customWidth="1"/>
    <col min="10766" max="10766" width="18.26953125" style="727" customWidth="1"/>
    <col min="10767" max="10789" width="5.7265625" style="727" customWidth="1"/>
    <col min="10790" max="11018" width="9.1796875" style="727"/>
    <col min="11019" max="11019" width="3.7265625" style="727" customWidth="1"/>
    <col min="11020" max="11020" width="14.453125" style="727" customWidth="1"/>
    <col min="11021" max="11021" width="3.7265625" style="727" customWidth="1"/>
    <col min="11022" max="11022" width="18.26953125" style="727" customWidth="1"/>
    <col min="11023" max="11045" width="5.7265625" style="727" customWidth="1"/>
    <col min="11046" max="11274" width="9.1796875" style="727"/>
    <col min="11275" max="11275" width="3.7265625" style="727" customWidth="1"/>
    <col min="11276" max="11276" width="14.453125" style="727" customWidth="1"/>
    <col min="11277" max="11277" width="3.7265625" style="727" customWidth="1"/>
    <col min="11278" max="11278" width="18.26953125" style="727" customWidth="1"/>
    <col min="11279" max="11301" width="5.7265625" style="727" customWidth="1"/>
    <col min="11302" max="11530" width="9.1796875" style="727"/>
    <col min="11531" max="11531" width="3.7265625" style="727" customWidth="1"/>
    <col min="11532" max="11532" width="14.453125" style="727" customWidth="1"/>
    <col min="11533" max="11533" width="3.7265625" style="727" customWidth="1"/>
    <col min="11534" max="11534" width="18.26953125" style="727" customWidth="1"/>
    <col min="11535" max="11557" width="5.7265625" style="727" customWidth="1"/>
    <col min="11558" max="11786" width="9.1796875" style="727"/>
    <col min="11787" max="11787" width="3.7265625" style="727" customWidth="1"/>
    <col min="11788" max="11788" width="14.453125" style="727" customWidth="1"/>
    <col min="11789" max="11789" width="3.7265625" style="727" customWidth="1"/>
    <col min="11790" max="11790" width="18.26953125" style="727" customWidth="1"/>
    <col min="11791" max="11813" width="5.7265625" style="727" customWidth="1"/>
    <col min="11814" max="12042" width="9.1796875" style="727"/>
    <col min="12043" max="12043" width="3.7265625" style="727" customWidth="1"/>
    <col min="12044" max="12044" width="14.453125" style="727" customWidth="1"/>
    <col min="12045" max="12045" width="3.7265625" style="727" customWidth="1"/>
    <col min="12046" max="12046" width="18.26953125" style="727" customWidth="1"/>
    <col min="12047" max="12069" width="5.7265625" style="727" customWidth="1"/>
    <col min="12070" max="12298" width="9.1796875" style="727"/>
    <col min="12299" max="12299" width="3.7265625" style="727" customWidth="1"/>
    <col min="12300" max="12300" width="14.453125" style="727" customWidth="1"/>
    <col min="12301" max="12301" width="3.7265625" style="727" customWidth="1"/>
    <col min="12302" max="12302" width="18.26953125" style="727" customWidth="1"/>
    <col min="12303" max="12325" width="5.7265625" style="727" customWidth="1"/>
    <col min="12326" max="12554" width="9.1796875" style="727"/>
    <col min="12555" max="12555" width="3.7265625" style="727" customWidth="1"/>
    <col min="12556" max="12556" width="14.453125" style="727" customWidth="1"/>
    <col min="12557" max="12557" width="3.7265625" style="727" customWidth="1"/>
    <col min="12558" max="12558" width="18.26953125" style="727" customWidth="1"/>
    <col min="12559" max="12581" width="5.7265625" style="727" customWidth="1"/>
    <col min="12582" max="12810" width="9.1796875" style="727"/>
    <col min="12811" max="12811" width="3.7265625" style="727" customWidth="1"/>
    <col min="12812" max="12812" width="14.453125" style="727" customWidth="1"/>
    <col min="12813" max="12813" width="3.7265625" style="727" customWidth="1"/>
    <col min="12814" max="12814" width="18.26953125" style="727" customWidth="1"/>
    <col min="12815" max="12837" width="5.7265625" style="727" customWidth="1"/>
    <col min="12838" max="13066" width="9.1796875" style="727"/>
    <col min="13067" max="13067" width="3.7265625" style="727" customWidth="1"/>
    <col min="13068" max="13068" width="14.453125" style="727" customWidth="1"/>
    <col min="13069" max="13069" width="3.7265625" style="727" customWidth="1"/>
    <col min="13070" max="13070" width="18.26953125" style="727" customWidth="1"/>
    <col min="13071" max="13093" width="5.7265625" style="727" customWidth="1"/>
    <col min="13094" max="13322" width="9.1796875" style="727"/>
    <col min="13323" max="13323" width="3.7265625" style="727" customWidth="1"/>
    <col min="13324" max="13324" width="14.453125" style="727" customWidth="1"/>
    <col min="13325" max="13325" width="3.7265625" style="727" customWidth="1"/>
    <col min="13326" max="13326" width="18.26953125" style="727" customWidth="1"/>
    <col min="13327" max="13349" width="5.7265625" style="727" customWidth="1"/>
    <col min="13350" max="13578" width="9.1796875" style="727"/>
    <col min="13579" max="13579" width="3.7265625" style="727" customWidth="1"/>
    <col min="13580" max="13580" width="14.453125" style="727" customWidth="1"/>
    <col min="13581" max="13581" width="3.7265625" style="727" customWidth="1"/>
    <col min="13582" max="13582" width="18.26953125" style="727" customWidth="1"/>
    <col min="13583" max="13605" width="5.7265625" style="727" customWidth="1"/>
    <col min="13606" max="13834" width="9.1796875" style="727"/>
    <col min="13835" max="13835" width="3.7265625" style="727" customWidth="1"/>
    <col min="13836" max="13836" width="14.453125" style="727" customWidth="1"/>
    <col min="13837" max="13837" width="3.7265625" style="727" customWidth="1"/>
    <col min="13838" max="13838" width="18.26953125" style="727" customWidth="1"/>
    <col min="13839" max="13861" width="5.7265625" style="727" customWidth="1"/>
    <col min="13862" max="14090" width="9.1796875" style="727"/>
    <col min="14091" max="14091" width="3.7265625" style="727" customWidth="1"/>
    <col min="14092" max="14092" width="14.453125" style="727" customWidth="1"/>
    <col min="14093" max="14093" width="3.7265625" style="727" customWidth="1"/>
    <col min="14094" max="14094" width="18.26953125" style="727" customWidth="1"/>
    <col min="14095" max="14117" width="5.7265625" style="727" customWidth="1"/>
    <col min="14118" max="14346" width="9.1796875" style="727"/>
    <col min="14347" max="14347" width="3.7265625" style="727" customWidth="1"/>
    <col min="14348" max="14348" width="14.453125" style="727" customWidth="1"/>
    <col min="14349" max="14349" width="3.7265625" style="727" customWidth="1"/>
    <col min="14350" max="14350" width="18.26953125" style="727" customWidth="1"/>
    <col min="14351" max="14373" width="5.7265625" style="727" customWidth="1"/>
    <col min="14374" max="14602" width="9.1796875" style="727"/>
    <col min="14603" max="14603" width="3.7265625" style="727" customWidth="1"/>
    <col min="14604" max="14604" width="14.453125" style="727" customWidth="1"/>
    <col min="14605" max="14605" width="3.7265625" style="727" customWidth="1"/>
    <col min="14606" max="14606" width="18.26953125" style="727" customWidth="1"/>
    <col min="14607" max="14629" width="5.7265625" style="727" customWidth="1"/>
    <col min="14630" max="14858" width="9.1796875" style="727"/>
    <col min="14859" max="14859" width="3.7265625" style="727" customWidth="1"/>
    <col min="14860" max="14860" width="14.453125" style="727" customWidth="1"/>
    <col min="14861" max="14861" width="3.7265625" style="727" customWidth="1"/>
    <col min="14862" max="14862" width="18.26953125" style="727" customWidth="1"/>
    <col min="14863" max="14885" width="5.7265625" style="727" customWidth="1"/>
    <col min="14886" max="15114" width="9.1796875" style="727"/>
    <col min="15115" max="15115" width="3.7265625" style="727" customWidth="1"/>
    <col min="15116" max="15116" width="14.453125" style="727" customWidth="1"/>
    <col min="15117" max="15117" width="3.7265625" style="727" customWidth="1"/>
    <col min="15118" max="15118" width="18.26953125" style="727" customWidth="1"/>
    <col min="15119" max="15141" width="5.7265625" style="727" customWidth="1"/>
    <col min="15142" max="15370" width="9.1796875" style="727"/>
    <col min="15371" max="15371" width="3.7265625" style="727" customWidth="1"/>
    <col min="15372" max="15372" width="14.453125" style="727" customWidth="1"/>
    <col min="15373" max="15373" width="3.7265625" style="727" customWidth="1"/>
    <col min="15374" max="15374" width="18.26953125" style="727" customWidth="1"/>
    <col min="15375" max="15397" width="5.7265625" style="727" customWidth="1"/>
    <col min="15398" max="15626" width="9.1796875" style="727"/>
    <col min="15627" max="15627" width="3.7265625" style="727" customWidth="1"/>
    <col min="15628" max="15628" width="14.453125" style="727" customWidth="1"/>
    <col min="15629" max="15629" width="3.7265625" style="727" customWidth="1"/>
    <col min="15630" max="15630" width="18.26953125" style="727" customWidth="1"/>
    <col min="15631" max="15653" width="5.7265625" style="727" customWidth="1"/>
    <col min="15654" max="15882" width="9.1796875" style="727"/>
    <col min="15883" max="15883" width="3.7265625" style="727" customWidth="1"/>
    <col min="15884" max="15884" width="14.453125" style="727" customWidth="1"/>
    <col min="15885" max="15885" width="3.7265625" style="727" customWidth="1"/>
    <col min="15886" max="15886" width="18.26953125" style="727" customWidth="1"/>
    <col min="15887" max="15909" width="5.7265625" style="727" customWidth="1"/>
    <col min="15910" max="16138" width="9.1796875" style="727"/>
    <col min="16139" max="16139" width="3.7265625" style="727" customWidth="1"/>
    <col min="16140" max="16140" width="14.453125" style="727" customWidth="1"/>
    <col min="16141" max="16141" width="3.7265625" style="727" customWidth="1"/>
    <col min="16142" max="16142" width="18.26953125" style="727" customWidth="1"/>
    <col min="16143" max="16165" width="5.7265625" style="727" customWidth="1"/>
    <col min="16166" max="16384" width="9.1796875" style="727"/>
  </cols>
  <sheetData>
    <row r="1" spans="1:270" s="722" customFormat="1" ht="14" x14ac:dyDescent="0.3">
      <c r="A1" s="720"/>
      <c r="B1" s="721"/>
      <c r="C1" s="721"/>
    </row>
    <row r="2" spans="1:270" s="722" customFormat="1" ht="14.25" customHeight="1" x14ac:dyDescent="0.3">
      <c r="A2" s="723">
        <v>1</v>
      </c>
      <c r="B2" s="723" t="s">
        <v>0</v>
      </c>
      <c r="C2" s="723">
        <v>82</v>
      </c>
      <c r="D2" s="4733" t="s">
        <v>1882</v>
      </c>
      <c r="E2" s="4734"/>
      <c r="F2" s="4734"/>
      <c r="G2" s="4734"/>
      <c r="H2" s="4734"/>
      <c r="I2" s="4734"/>
      <c r="J2" s="4734"/>
      <c r="K2" s="4734"/>
      <c r="L2" s="4734"/>
      <c r="M2" s="4734"/>
      <c r="N2" s="4734"/>
      <c r="O2" s="4734"/>
      <c r="P2" s="4734"/>
      <c r="Q2" s="4734"/>
      <c r="R2" s="4734"/>
      <c r="S2" s="4734"/>
      <c r="T2" s="4734"/>
      <c r="U2" s="4734"/>
      <c r="V2" s="4734"/>
      <c r="W2" s="4734"/>
      <c r="X2" s="4734"/>
      <c r="Y2" s="4734"/>
      <c r="Z2" s="4734"/>
      <c r="AA2" s="4734"/>
      <c r="AB2" s="4734"/>
      <c r="AC2" s="4734"/>
      <c r="AD2" s="4734"/>
      <c r="AE2" s="4734"/>
      <c r="AF2" s="4734"/>
      <c r="AG2" s="4734"/>
      <c r="AH2" s="4734"/>
      <c r="AI2" s="4734"/>
      <c r="AJ2" s="4734"/>
      <c r="AK2" s="4734"/>
      <c r="AL2" s="4734"/>
      <c r="AM2" s="4734"/>
      <c r="AN2" s="4734"/>
      <c r="AO2" s="4734"/>
      <c r="AP2" s="4735"/>
    </row>
    <row r="3" spans="1:270" s="722" customFormat="1" ht="14.25" customHeight="1" x14ac:dyDescent="0.3">
      <c r="A3" s="723">
        <v>2</v>
      </c>
      <c r="B3" s="723" t="s">
        <v>2</v>
      </c>
      <c r="C3" s="723"/>
      <c r="D3" s="4733" t="s">
        <v>1699</v>
      </c>
      <c r="E3" s="4734"/>
      <c r="F3" s="4734"/>
      <c r="G3" s="4734"/>
      <c r="H3" s="4734"/>
      <c r="I3" s="4734"/>
      <c r="J3" s="4734"/>
      <c r="K3" s="4734"/>
      <c r="L3" s="4734"/>
      <c r="M3" s="4734"/>
      <c r="N3" s="4734"/>
      <c r="O3" s="4734"/>
      <c r="P3" s="4734"/>
      <c r="Q3" s="4734"/>
      <c r="R3" s="4734"/>
      <c r="S3" s="4734"/>
      <c r="T3" s="4734"/>
      <c r="U3" s="4734"/>
      <c r="V3" s="4734"/>
      <c r="W3" s="4734"/>
      <c r="X3" s="4734"/>
      <c r="Y3" s="4734"/>
      <c r="Z3" s="4734"/>
      <c r="AA3" s="4734"/>
      <c r="AB3" s="4734"/>
      <c r="AC3" s="4734"/>
      <c r="AD3" s="4734"/>
      <c r="AE3" s="4734"/>
      <c r="AF3" s="4734"/>
      <c r="AG3" s="4734"/>
      <c r="AH3" s="4734"/>
      <c r="AI3" s="4734"/>
      <c r="AJ3" s="4734"/>
      <c r="AK3" s="4734"/>
      <c r="AL3" s="4734"/>
      <c r="AM3" s="4734"/>
      <c r="AN3" s="4734"/>
      <c r="AO3" s="4734"/>
      <c r="AP3" s="4735"/>
    </row>
    <row r="4" spans="1:270" s="722" customFormat="1" ht="14.25" customHeight="1" x14ac:dyDescent="0.3">
      <c r="A4" s="723">
        <v>3</v>
      </c>
      <c r="B4" s="723" t="s">
        <v>4</v>
      </c>
      <c r="C4" s="723"/>
      <c r="D4" s="4733" t="s">
        <v>1883</v>
      </c>
      <c r="E4" s="4734"/>
      <c r="F4" s="4734"/>
      <c r="G4" s="4734"/>
      <c r="H4" s="4734"/>
      <c r="I4" s="4734"/>
      <c r="J4" s="4734"/>
      <c r="K4" s="4734"/>
      <c r="L4" s="4734"/>
      <c r="M4" s="4734"/>
      <c r="N4" s="4734"/>
      <c r="O4" s="4734"/>
      <c r="P4" s="4734"/>
      <c r="Q4" s="4734"/>
      <c r="R4" s="4734"/>
      <c r="S4" s="4734"/>
      <c r="T4" s="4734"/>
      <c r="U4" s="4734"/>
      <c r="V4" s="4734"/>
      <c r="W4" s="4734"/>
      <c r="X4" s="4734"/>
      <c r="Y4" s="4734"/>
      <c r="Z4" s="4734"/>
      <c r="AA4" s="4734"/>
      <c r="AB4" s="4734"/>
      <c r="AC4" s="4734"/>
      <c r="AD4" s="4734"/>
      <c r="AE4" s="4734"/>
      <c r="AF4" s="4734"/>
      <c r="AG4" s="4734"/>
      <c r="AH4" s="4734"/>
      <c r="AI4" s="4734"/>
      <c r="AJ4" s="4734"/>
      <c r="AK4" s="4734"/>
      <c r="AL4" s="4734"/>
      <c r="AM4" s="4734"/>
      <c r="AN4" s="4734"/>
      <c r="AO4" s="4734"/>
      <c r="AP4" s="4735"/>
    </row>
    <row r="5" spans="1:270" s="722" customFormat="1" ht="14.25" customHeight="1" x14ac:dyDescent="0.3">
      <c r="A5" s="723"/>
      <c r="B5" s="723"/>
      <c r="C5" s="723"/>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row>
    <row r="6" spans="1:270" s="1956" customFormat="1" ht="17.25" customHeight="1" x14ac:dyDescent="0.25">
      <c r="A6" s="723">
        <v>4</v>
      </c>
      <c r="B6" s="728" t="s">
        <v>6</v>
      </c>
      <c r="C6" s="3983"/>
      <c r="D6" s="791" t="s">
        <v>7</v>
      </c>
      <c r="E6" s="800" t="str">
        <f>D2</f>
        <v>Public opinion: Delivery of basic services</v>
      </c>
      <c r="G6" s="791"/>
      <c r="H6" s="791"/>
      <c r="I6" s="791"/>
      <c r="J6" s="791"/>
      <c r="K6" s="791"/>
      <c r="L6" s="791"/>
    </row>
    <row r="7" spans="1:270" s="1956" customFormat="1" ht="13" x14ac:dyDescent="0.25">
      <c r="A7" s="1977"/>
      <c r="B7" s="728"/>
      <c r="C7" s="4244"/>
      <c r="D7" s="4071"/>
      <c r="E7" s="5096">
        <v>2000</v>
      </c>
      <c r="F7" s="5097"/>
      <c r="G7" s="5096">
        <v>2001</v>
      </c>
      <c r="H7" s="5097"/>
      <c r="I7" s="5096">
        <v>2002</v>
      </c>
      <c r="J7" s="5097"/>
      <c r="K7" s="5096">
        <v>2003</v>
      </c>
      <c r="L7" s="5097"/>
      <c r="M7" s="5105">
        <v>2004</v>
      </c>
      <c r="N7" s="5106"/>
      <c r="O7" s="5105">
        <v>2005</v>
      </c>
      <c r="P7" s="5106"/>
      <c r="Q7" s="5105">
        <v>2006</v>
      </c>
      <c r="R7" s="5106"/>
      <c r="S7" s="5105">
        <v>2007</v>
      </c>
      <c r="T7" s="5106"/>
      <c r="U7" s="5105">
        <v>2008</v>
      </c>
      <c r="V7" s="5106"/>
      <c r="W7" s="5105">
        <v>2009</v>
      </c>
      <c r="X7" s="5106"/>
      <c r="Y7" s="5105">
        <v>2010</v>
      </c>
      <c r="Z7" s="5106"/>
      <c r="AA7" s="5105">
        <v>2011</v>
      </c>
      <c r="AB7" s="5106"/>
      <c r="AC7" s="5105">
        <v>2012</v>
      </c>
      <c r="AD7" s="5106"/>
      <c r="AE7" s="5105">
        <v>2013</v>
      </c>
      <c r="AF7" s="5106"/>
      <c r="AG7" s="5105">
        <v>2014</v>
      </c>
      <c r="AH7" s="5106"/>
      <c r="AI7" s="5105">
        <v>2015</v>
      </c>
      <c r="AJ7" s="5106"/>
      <c r="AK7" s="5105">
        <v>2016</v>
      </c>
      <c r="AL7" s="5106"/>
      <c r="AM7" s="5105">
        <v>2017</v>
      </c>
      <c r="AN7" s="5106"/>
      <c r="AO7" s="5105">
        <v>2018</v>
      </c>
      <c r="AP7" s="5106"/>
      <c r="AQ7" s="5105">
        <v>2019</v>
      </c>
      <c r="AR7" s="5106"/>
    </row>
    <row r="8" spans="1:270" s="793" customFormat="1" ht="10.5" x14ac:dyDescent="0.25">
      <c r="A8" s="4245"/>
      <c r="B8" s="4246"/>
      <c r="C8" s="4246"/>
      <c r="D8" s="2966"/>
      <c r="E8" s="4247" t="s">
        <v>934</v>
      </c>
      <c r="F8" s="4248" t="s">
        <v>939</v>
      </c>
      <c r="G8" s="4247" t="s">
        <v>934</v>
      </c>
      <c r="H8" s="4248" t="s">
        <v>939</v>
      </c>
      <c r="I8" s="4247" t="s">
        <v>934</v>
      </c>
      <c r="J8" s="4248" t="s">
        <v>939</v>
      </c>
      <c r="K8" s="4247" t="s">
        <v>934</v>
      </c>
      <c r="L8" s="4248" t="s">
        <v>939</v>
      </c>
      <c r="M8" s="4249" t="s">
        <v>934</v>
      </c>
      <c r="N8" s="4250" t="s">
        <v>939</v>
      </c>
      <c r="O8" s="4249" t="s">
        <v>934</v>
      </c>
      <c r="P8" s="4250" t="s">
        <v>939</v>
      </c>
      <c r="Q8" s="4249" t="s">
        <v>934</v>
      </c>
      <c r="R8" s="4250" t="s">
        <v>939</v>
      </c>
      <c r="S8" s="4249" t="s">
        <v>934</v>
      </c>
      <c r="T8" s="4250" t="s">
        <v>939</v>
      </c>
      <c r="U8" s="4249" t="s">
        <v>934</v>
      </c>
      <c r="V8" s="4250" t="s">
        <v>939</v>
      </c>
      <c r="W8" s="4249" t="s">
        <v>934</v>
      </c>
      <c r="X8" s="4250" t="s">
        <v>1334</v>
      </c>
      <c r="Y8" s="4249" t="s">
        <v>1315</v>
      </c>
      <c r="Z8" s="4250" t="s">
        <v>939</v>
      </c>
      <c r="AA8" s="4249" t="s">
        <v>934</v>
      </c>
      <c r="AB8" s="4250" t="s">
        <v>939</v>
      </c>
      <c r="AC8" s="4249" t="s">
        <v>934</v>
      </c>
      <c r="AD8" s="4250" t="s">
        <v>939</v>
      </c>
      <c r="AE8" s="4249" t="s">
        <v>934</v>
      </c>
      <c r="AF8" s="4250" t="s">
        <v>939</v>
      </c>
      <c r="AG8" s="4249" t="s">
        <v>934</v>
      </c>
      <c r="AH8" s="4250" t="s">
        <v>939</v>
      </c>
      <c r="AI8" s="4249" t="s">
        <v>934</v>
      </c>
      <c r="AJ8" s="4250" t="s">
        <v>939</v>
      </c>
      <c r="AK8" s="4249" t="s">
        <v>934</v>
      </c>
      <c r="AL8" s="4250" t="s">
        <v>939</v>
      </c>
      <c r="AM8" s="4249" t="s">
        <v>934</v>
      </c>
      <c r="AN8" s="4250" t="s">
        <v>939</v>
      </c>
      <c r="AO8" s="4249" t="s">
        <v>934</v>
      </c>
      <c r="AP8" s="4250" t="s">
        <v>939</v>
      </c>
      <c r="AQ8" s="4249" t="s">
        <v>934</v>
      </c>
      <c r="AR8" s="4250" t="s">
        <v>939</v>
      </c>
    </row>
    <row r="9" spans="1:270" s="4258" customFormat="1" ht="10.5" x14ac:dyDescent="0.25">
      <c r="A9" s="4251"/>
      <c r="B9" s="4252"/>
      <c r="C9" s="4252"/>
      <c r="D9" s="4253" t="s">
        <v>1884</v>
      </c>
      <c r="E9" s="4254">
        <v>72</v>
      </c>
      <c r="F9" s="4255">
        <v>67</v>
      </c>
      <c r="G9" s="4254">
        <v>65</v>
      </c>
      <c r="H9" s="4255">
        <v>63</v>
      </c>
      <c r="I9" s="4254">
        <v>74</v>
      </c>
      <c r="J9" s="4255">
        <v>71</v>
      </c>
      <c r="K9" s="4254">
        <v>75</v>
      </c>
      <c r="L9" s="4255">
        <v>72</v>
      </c>
      <c r="M9" s="4256">
        <v>81</v>
      </c>
      <c r="N9" s="4257">
        <v>77</v>
      </c>
      <c r="O9" s="4256">
        <v>73</v>
      </c>
      <c r="P9" s="4257">
        <v>73</v>
      </c>
      <c r="Q9" s="4256">
        <v>76</v>
      </c>
      <c r="R9" s="4257">
        <v>72</v>
      </c>
      <c r="S9" s="4256">
        <v>68</v>
      </c>
      <c r="T9" s="4257">
        <v>62</v>
      </c>
      <c r="U9" s="4256">
        <v>58</v>
      </c>
      <c r="V9" s="4257">
        <v>58</v>
      </c>
      <c r="W9" s="4256">
        <v>61</v>
      </c>
      <c r="X9" s="4257">
        <v>57</v>
      </c>
      <c r="Y9" s="4256">
        <v>56.8</v>
      </c>
      <c r="Z9" s="4257">
        <v>54</v>
      </c>
      <c r="AA9" s="4256">
        <v>48</v>
      </c>
      <c r="AB9" s="4257">
        <v>51</v>
      </c>
      <c r="AC9" s="4256">
        <v>53.5</v>
      </c>
      <c r="AD9" s="4257">
        <v>51</v>
      </c>
      <c r="AE9" s="4256">
        <v>53</v>
      </c>
      <c r="AF9" s="4257">
        <v>53</v>
      </c>
      <c r="AG9" s="4256">
        <v>56</v>
      </c>
      <c r="AH9" s="4257">
        <v>56</v>
      </c>
      <c r="AI9" s="4256">
        <v>52</v>
      </c>
      <c r="AJ9" s="4257">
        <v>49</v>
      </c>
      <c r="AK9" s="4256">
        <v>47</v>
      </c>
      <c r="AL9" s="4257">
        <v>49</v>
      </c>
      <c r="AM9" s="4256">
        <v>48</v>
      </c>
      <c r="AN9" s="4257">
        <v>43</v>
      </c>
      <c r="AO9" s="4256">
        <v>51</v>
      </c>
      <c r="AP9" s="4257">
        <v>53</v>
      </c>
      <c r="AQ9" s="4256">
        <v>47</v>
      </c>
      <c r="AR9" s="4257">
        <v>51</v>
      </c>
      <c r="AS9" s="793"/>
      <c r="AT9" s="793"/>
      <c r="AU9" s="793"/>
      <c r="AV9" s="793"/>
      <c r="AW9" s="793"/>
      <c r="AX9" s="793"/>
      <c r="AY9" s="793"/>
      <c r="AZ9" s="793"/>
      <c r="BA9" s="793"/>
      <c r="BB9" s="793"/>
      <c r="BC9" s="793"/>
      <c r="BD9" s="793"/>
      <c r="BE9" s="793"/>
      <c r="BF9" s="793"/>
      <c r="BG9" s="793"/>
      <c r="BH9" s="793"/>
      <c r="BI9" s="793"/>
      <c r="BJ9" s="793"/>
      <c r="BK9" s="793"/>
      <c r="BL9" s="793"/>
      <c r="BM9" s="793"/>
      <c r="BN9" s="793"/>
      <c r="BO9" s="793"/>
      <c r="BP9" s="793"/>
      <c r="BQ9" s="793"/>
      <c r="BR9" s="793"/>
      <c r="BS9" s="793"/>
      <c r="BT9" s="793"/>
      <c r="BU9" s="793"/>
      <c r="BV9" s="793"/>
      <c r="BW9" s="793"/>
      <c r="BX9" s="793"/>
      <c r="BY9" s="793"/>
      <c r="BZ9" s="793"/>
      <c r="CA9" s="793"/>
      <c r="CB9" s="793"/>
      <c r="CC9" s="793"/>
      <c r="CD9" s="793"/>
      <c r="CE9" s="793"/>
      <c r="CF9" s="793"/>
      <c r="CG9" s="793"/>
      <c r="CH9" s="793"/>
      <c r="CI9" s="793"/>
      <c r="CJ9" s="793"/>
      <c r="CK9" s="793"/>
      <c r="CL9" s="793"/>
      <c r="CM9" s="793"/>
      <c r="CN9" s="793"/>
      <c r="CO9" s="793"/>
      <c r="CP9" s="793"/>
      <c r="CQ9" s="793"/>
      <c r="CR9" s="793"/>
      <c r="CS9" s="793"/>
      <c r="CT9" s="793"/>
      <c r="CU9" s="793"/>
      <c r="CV9" s="793"/>
      <c r="CW9" s="793"/>
      <c r="CX9" s="793"/>
      <c r="CY9" s="793"/>
      <c r="CZ9" s="793"/>
      <c r="DA9" s="793"/>
      <c r="DB9" s="793"/>
      <c r="DC9" s="793"/>
      <c r="DD9" s="793"/>
      <c r="DE9" s="793"/>
      <c r="DF9" s="793"/>
      <c r="DG9" s="793"/>
      <c r="DH9" s="793"/>
      <c r="DI9" s="793"/>
      <c r="DJ9" s="793"/>
      <c r="DK9" s="793"/>
      <c r="DL9" s="793"/>
      <c r="DM9" s="793"/>
      <c r="DN9" s="793"/>
      <c r="DO9" s="793"/>
      <c r="DP9" s="793"/>
      <c r="DQ9" s="793"/>
      <c r="DR9" s="793"/>
      <c r="DS9" s="793"/>
      <c r="DT9" s="793"/>
      <c r="DU9" s="793"/>
      <c r="DV9" s="793"/>
      <c r="DW9" s="793"/>
      <c r="DX9" s="793"/>
      <c r="DY9" s="793"/>
      <c r="DZ9" s="793"/>
      <c r="EA9" s="793"/>
      <c r="EB9" s="793"/>
      <c r="EC9" s="793"/>
      <c r="ED9" s="793"/>
      <c r="EE9" s="793"/>
      <c r="EF9" s="793"/>
      <c r="EG9" s="793"/>
      <c r="EH9" s="793"/>
      <c r="EI9" s="793"/>
      <c r="EJ9" s="793"/>
      <c r="EK9" s="793"/>
      <c r="EL9" s="793"/>
      <c r="EM9" s="793"/>
      <c r="EN9" s="793"/>
      <c r="EO9" s="793"/>
      <c r="EP9" s="793"/>
      <c r="EQ9" s="793"/>
      <c r="ER9" s="793"/>
      <c r="ES9" s="793"/>
      <c r="ET9" s="793"/>
      <c r="EU9" s="793"/>
      <c r="EV9" s="793"/>
      <c r="EW9" s="793"/>
      <c r="EX9" s="793"/>
      <c r="EY9" s="793"/>
      <c r="EZ9" s="793"/>
      <c r="FA9" s="793"/>
      <c r="FB9" s="793"/>
      <c r="FC9" s="793"/>
      <c r="FD9" s="793"/>
      <c r="FE9" s="793"/>
      <c r="FF9" s="793"/>
      <c r="FG9" s="793"/>
      <c r="FH9" s="793"/>
      <c r="FI9" s="793"/>
      <c r="FJ9" s="793"/>
      <c r="FK9" s="793"/>
      <c r="FL9" s="793"/>
      <c r="FM9" s="793"/>
      <c r="FN9" s="793"/>
      <c r="FO9" s="793"/>
      <c r="FP9" s="793"/>
      <c r="FQ9" s="793"/>
      <c r="FR9" s="793"/>
      <c r="FS9" s="793"/>
      <c r="FT9" s="793"/>
      <c r="FU9" s="793"/>
      <c r="FV9" s="793"/>
      <c r="FW9" s="793"/>
      <c r="FX9" s="793"/>
      <c r="FY9" s="793"/>
      <c r="FZ9" s="793"/>
      <c r="GA9" s="793"/>
      <c r="GB9" s="793"/>
      <c r="GC9" s="793"/>
      <c r="GD9" s="793"/>
      <c r="GE9" s="793"/>
      <c r="GF9" s="793"/>
      <c r="GG9" s="793"/>
      <c r="GH9" s="793"/>
      <c r="GI9" s="793"/>
      <c r="GJ9" s="793"/>
      <c r="GK9" s="793"/>
      <c r="GL9" s="793"/>
      <c r="GM9" s="793"/>
      <c r="GN9" s="793"/>
      <c r="GO9" s="793"/>
      <c r="GP9" s="793"/>
      <c r="GQ9" s="793"/>
      <c r="GR9" s="793"/>
      <c r="GS9" s="793"/>
      <c r="GT9" s="793"/>
      <c r="GU9" s="793"/>
      <c r="GV9" s="793"/>
      <c r="GW9" s="793"/>
      <c r="GX9" s="793"/>
      <c r="GY9" s="793"/>
      <c r="GZ9" s="793"/>
      <c r="HA9" s="793"/>
      <c r="HB9" s="793"/>
      <c r="HC9" s="793"/>
      <c r="HD9" s="793"/>
      <c r="HE9" s="793"/>
      <c r="HF9" s="793"/>
      <c r="HG9" s="793"/>
      <c r="HH9" s="793"/>
      <c r="HI9" s="793"/>
      <c r="HJ9" s="793"/>
      <c r="HK9" s="793"/>
      <c r="HL9" s="793"/>
      <c r="HM9" s="793"/>
      <c r="HN9" s="793"/>
      <c r="HO9" s="793"/>
      <c r="HP9" s="793"/>
      <c r="HQ9" s="793"/>
      <c r="HR9" s="793"/>
      <c r="HS9" s="793"/>
      <c r="HT9" s="793"/>
      <c r="HU9" s="793"/>
      <c r="HV9" s="793"/>
      <c r="HW9" s="793"/>
      <c r="HX9" s="793"/>
      <c r="HY9" s="793"/>
      <c r="HZ9" s="793"/>
      <c r="IA9" s="793"/>
      <c r="IB9" s="793"/>
      <c r="IC9" s="793"/>
      <c r="ID9" s="793"/>
      <c r="IE9" s="793"/>
      <c r="IF9" s="793"/>
      <c r="IG9" s="793"/>
      <c r="IH9" s="793"/>
      <c r="II9" s="793"/>
      <c r="IJ9" s="793"/>
      <c r="IK9" s="793"/>
      <c r="IL9" s="793"/>
      <c r="IM9" s="793"/>
      <c r="IN9" s="793"/>
      <c r="IO9" s="793"/>
      <c r="IP9" s="793"/>
      <c r="IQ9" s="793"/>
      <c r="IR9" s="793"/>
      <c r="IS9" s="793"/>
      <c r="IT9" s="793"/>
      <c r="IU9" s="793"/>
      <c r="IV9" s="793"/>
      <c r="IW9" s="793"/>
      <c r="IX9" s="793"/>
      <c r="IY9" s="793"/>
      <c r="IZ9" s="793"/>
      <c r="JA9" s="793"/>
      <c r="JB9" s="793"/>
      <c r="JC9" s="793"/>
      <c r="JD9" s="793"/>
      <c r="JE9" s="793"/>
      <c r="JF9" s="793"/>
      <c r="JG9" s="793"/>
      <c r="JH9" s="793"/>
      <c r="JI9" s="793"/>
      <c r="JJ9" s="793"/>
    </row>
    <row r="10" spans="1:270" s="4258" customFormat="1" ht="10" x14ac:dyDescent="0.2">
      <c r="A10" s="4251"/>
      <c r="B10" s="4252"/>
      <c r="C10" s="4252"/>
      <c r="D10" s="4079"/>
      <c r="E10" s="4258">
        <f>+AVERAGE(E9:F9)</f>
        <v>69.5</v>
      </c>
      <c r="F10" s="3107"/>
      <c r="G10" s="4258">
        <f>+AVERAGE(G9:H9)</f>
        <v>64</v>
      </c>
      <c r="H10" s="3107"/>
      <c r="I10" s="4258">
        <f>+AVERAGE(I9:J9)</f>
        <v>72.5</v>
      </c>
      <c r="J10" s="3107"/>
      <c r="K10" s="4258">
        <f>+AVERAGE(K9:L9)</f>
        <v>73.5</v>
      </c>
      <c r="L10" s="3107"/>
      <c r="M10" s="4258">
        <f>+AVERAGE(M9:N9)</f>
        <v>79</v>
      </c>
      <c r="N10" s="3107"/>
      <c r="O10" s="4258">
        <f>+AVERAGE(O9:P9)</f>
        <v>73</v>
      </c>
      <c r="P10" s="3107"/>
      <c r="Q10" s="4258">
        <f>+AVERAGE(Q9:R9)</f>
        <v>74</v>
      </c>
      <c r="R10" s="3107"/>
      <c r="S10" s="4258">
        <f>+AVERAGE(S9:T9)</f>
        <v>65</v>
      </c>
      <c r="T10" s="3107"/>
      <c r="U10" s="4258">
        <f>+AVERAGE(U9:V9)</f>
        <v>58</v>
      </c>
      <c r="V10" s="3107"/>
      <c r="W10" s="4258">
        <f>+AVERAGE(W9:X9)</f>
        <v>59</v>
      </c>
      <c r="X10" s="3107"/>
      <c r="Y10" s="4258">
        <f>+AVERAGE(Y9:Z9)</f>
        <v>55.4</v>
      </c>
      <c r="Z10" s="3107"/>
      <c r="AA10" s="4258">
        <f>+AVERAGE(AA9:AB9)</f>
        <v>49.5</v>
      </c>
      <c r="AB10" s="3107"/>
      <c r="AC10" s="4258">
        <f>+AVERAGE(AC9:AD9)</f>
        <v>52.25</v>
      </c>
      <c r="AD10" s="3107"/>
      <c r="AE10" s="4258">
        <f>+AVERAGE(AE9:AF9)</f>
        <v>53</v>
      </c>
      <c r="AF10" s="3107"/>
      <c r="AG10" s="4258">
        <f>+AVERAGE(AG9:AH9)</f>
        <v>56</v>
      </c>
      <c r="AH10" s="3107"/>
      <c r="AI10" s="4258">
        <f>+AVERAGE(AI9:AJ9)</f>
        <v>50.5</v>
      </c>
      <c r="AJ10" s="3107"/>
      <c r="AK10" s="4258">
        <f>+AVERAGE(AK9:AL9)</f>
        <v>48</v>
      </c>
      <c r="AL10" s="3107"/>
      <c r="AM10" s="4258">
        <f>+AVERAGE(AM9:AN9)</f>
        <v>45.5</v>
      </c>
      <c r="AN10" s="3107"/>
      <c r="AO10" s="4258">
        <f>+AVERAGE(AO9:AP9)</f>
        <v>52</v>
      </c>
      <c r="AP10" s="3107"/>
      <c r="AQ10" s="4258">
        <f>+AVERAGE(AQ9:AR9)</f>
        <v>49</v>
      </c>
      <c r="AR10" s="3107"/>
      <c r="AS10" s="793"/>
      <c r="AT10" s="793"/>
      <c r="AU10" s="793"/>
      <c r="AV10" s="793"/>
      <c r="AW10" s="793"/>
      <c r="AX10" s="793"/>
      <c r="AY10" s="793"/>
      <c r="AZ10" s="793"/>
      <c r="BA10" s="793"/>
      <c r="BB10" s="793"/>
      <c r="BC10" s="793"/>
      <c r="BD10" s="793"/>
      <c r="BE10" s="793"/>
      <c r="BF10" s="793"/>
      <c r="BG10" s="793"/>
      <c r="BH10" s="793"/>
      <c r="BI10" s="793"/>
      <c r="BJ10" s="793"/>
      <c r="BK10" s="793"/>
      <c r="BL10" s="793"/>
      <c r="BM10" s="793"/>
      <c r="BN10" s="793"/>
      <c r="BO10" s="793"/>
      <c r="BP10" s="793"/>
      <c r="BQ10" s="793"/>
      <c r="BR10" s="793"/>
      <c r="BS10" s="793"/>
      <c r="BT10" s="793"/>
      <c r="BU10" s="793"/>
      <c r="BV10" s="793"/>
      <c r="BW10" s="793"/>
      <c r="BX10" s="793"/>
      <c r="BY10" s="793"/>
      <c r="BZ10" s="793"/>
      <c r="CA10" s="793"/>
      <c r="CB10" s="793"/>
      <c r="CC10" s="793"/>
      <c r="CD10" s="793"/>
      <c r="CE10" s="793"/>
      <c r="CF10" s="793"/>
      <c r="CG10" s="793"/>
      <c r="CH10" s="793"/>
      <c r="CI10" s="793"/>
      <c r="CJ10" s="793"/>
      <c r="CK10" s="793"/>
      <c r="CL10" s="793"/>
      <c r="CM10" s="793"/>
      <c r="CN10" s="793"/>
      <c r="CO10" s="793"/>
      <c r="CP10" s="793"/>
      <c r="CQ10" s="793"/>
      <c r="CR10" s="793"/>
      <c r="CS10" s="793"/>
      <c r="CT10" s="793"/>
      <c r="CU10" s="793"/>
      <c r="CV10" s="793"/>
      <c r="CW10" s="793"/>
      <c r="CX10" s="793"/>
      <c r="CY10" s="793"/>
      <c r="CZ10" s="793"/>
      <c r="DA10" s="793"/>
      <c r="DB10" s="793"/>
      <c r="DC10" s="793"/>
      <c r="DD10" s="793"/>
      <c r="DE10" s="793"/>
      <c r="DF10" s="793"/>
      <c r="DG10" s="793"/>
      <c r="DH10" s="793"/>
      <c r="DI10" s="793"/>
      <c r="DJ10" s="793"/>
      <c r="DK10" s="793"/>
      <c r="DL10" s="793"/>
      <c r="DM10" s="793"/>
      <c r="DN10" s="793"/>
      <c r="DO10" s="793"/>
      <c r="DP10" s="793"/>
      <c r="DQ10" s="793"/>
      <c r="DR10" s="793"/>
      <c r="DS10" s="793"/>
      <c r="DT10" s="793"/>
      <c r="DU10" s="793"/>
      <c r="DV10" s="793"/>
      <c r="DW10" s="793"/>
      <c r="DX10" s="793"/>
      <c r="DY10" s="793"/>
      <c r="DZ10" s="793"/>
      <c r="EA10" s="793"/>
      <c r="EB10" s="793"/>
      <c r="EC10" s="793"/>
      <c r="ED10" s="793"/>
      <c r="EE10" s="793"/>
      <c r="EF10" s="793"/>
      <c r="EG10" s="793"/>
      <c r="EH10" s="793"/>
      <c r="EI10" s="793"/>
      <c r="EJ10" s="793"/>
      <c r="EK10" s="793"/>
      <c r="EL10" s="793"/>
      <c r="EM10" s="793"/>
      <c r="EN10" s="793"/>
      <c r="EO10" s="793"/>
      <c r="EP10" s="793"/>
      <c r="EQ10" s="793"/>
      <c r="ER10" s="793"/>
      <c r="ES10" s="793"/>
      <c r="ET10" s="793"/>
      <c r="EU10" s="793"/>
      <c r="EV10" s="793"/>
      <c r="EW10" s="793"/>
      <c r="EX10" s="793"/>
      <c r="EY10" s="793"/>
      <c r="EZ10" s="793"/>
      <c r="FA10" s="793"/>
      <c r="FB10" s="793"/>
      <c r="FC10" s="793"/>
      <c r="FD10" s="793"/>
      <c r="FE10" s="793"/>
      <c r="FF10" s="793"/>
      <c r="FG10" s="793"/>
      <c r="FH10" s="793"/>
      <c r="FI10" s="793"/>
      <c r="FJ10" s="793"/>
      <c r="FK10" s="793"/>
      <c r="FL10" s="793"/>
      <c r="FM10" s="793"/>
      <c r="FN10" s="793"/>
      <c r="FO10" s="793"/>
      <c r="FP10" s="793"/>
      <c r="FQ10" s="793"/>
      <c r="FR10" s="793"/>
      <c r="FS10" s="793"/>
      <c r="FT10" s="793"/>
      <c r="FU10" s="793"/>
      <c r="FV10" s="793"/>
      <c r="FW10" s="793"/>
      <c r="FX10" s="793"/>
      <c r="FY10" s="793"/>
      <c r="FZ10" s="793"/>
      <c r="GA10" s="793"/>
      <c r="GB10" s="793"/>
      <c r="GC10" s="793"/>
      <c r="GD10" s="793"/>
      <c r="GE10" s="793"/>
      <c r="GF10" s="793"/>
      <c r="GG10" s="793"/>
      <c r="GH10" s="793"/>
      <c r="GI10" s="793"/>
      <c r="GJ10" s="793"/>
      <c r="GK10" s="793"/>
      <c r="GL10" s="793"/>
      <c r="GM10" s="793"/>
      <c r="GN10" s="793"/>
      <c r="GO10" s="793"/>
      <c r="GP10" s="793"/>
      <c r="GQ10" s="793"/>
      <c r="GR10" s="793"/>
      <c r="GS10" s="793"/>
      <c r="GT10" s="793"/>
      <c r="GU10" s="793"/>
      <c r="GV10" s="793"/>
      <c r="GW10" s="793"/>
      <c r="GX10" s="793"/>
      <c r="GY10" s="793"/>
      <c r="GZ10" s="793"/>
      <c r="HA10" s="793"/>
      <c r="HB10" s="793"/>
      <c r="HC10" s="793"/>
      <c r="HD10" s="793"/>
      <c r="HE10" s="793"/>
      <c r="HF10" s="793"/>
      <c r="HG10" s="793"/>
      <c r="HH10" s="793"/>
      <c r="HI10" s="793"/>
      <c r="HJ10" s="793"/>
      <c r="HK10" s="793"/>
      <c r="HL10" s="793"/>
      <c r="HM10" s="793"/>
      <c r="HN10" s="793"/>
      <c r="HO10" s="793"/>
      <c r="HP10" s="793"/>
      <c r="HQ10" s="793"/>
      <c r="HR10" s="793"/>
      <c r="HS10" s="793"/>
      <c r="HT10" s="793"/>
      <c r="HU10" s="793"/>
      <c r="HV10" s="793"/>
      <c r="HW10" s="793"/>
      <c r="HX10" s="793"/>
      <c r="HY10" s="793"/>
      <c r="HZ10" s="793"/>
      <c r="IA10" s="793"/>
      <c r="IB10" s="793"/>
      <c r="IC10" s="793"/>
      <c r="ID10" s="793"/>
      <c r="IE10" s="793"/>
      <c r="IF10" s="793"/>
      <c r="IG10" s="793"/>
      <c r="IH10" s="793"/>
      <c r="II10" s="793"/>
      <c r="IJ10" s="793"/>
      <c r="IK10" s="793"/>
      <c r="IL10" s="793"/>
      <c r="IM10" s="793"/>
      <c r="IN10" s="793"/>
      <c r="IO10" s="793"/>
      <c r="IP10" s="793"/>
      <c r="IQ10" s="793"/>
      <c r="IR10" s="793"/>
      <c r="IS10" s="793"/>
      <c r="IT10" s="793"/>
      <c r="IU10" s="793"/>
      <c r="IV10" s="793"/>
      <c r="IW10" s="793"/>
      <c r="IX10" s="793"/>
      <c r="IY10" s="793"/>
      <c r="IZ10" s="793"/>
      <c r="JA10" s="793"/>
      <c r="JB10" s="793"/>
      <c r="JC10" s="793"/>
      <c r="JD10" s="793"/>
      <c r="JE10" s="793"/>
      <c r="JF10" s="793"/>
      <c r="JG10" s="793"/>
      <c r="JH10" s="793"/>
      <c r="JI10" s="793"/>
      <c r="JJ10" s="793"/>
    </row>
    <row r="11" spans="1:270" s="4258" customFormat="1" ht="10.5" x14ac:dyDescent="0.25">
      <c r="A11" s="4251"/>
      <c r="B11" s="4252"/>
      <c r="C11" s="4252"/>
      <c r="D11" s="791" t="s">
        <v>35</v>
      </c>
      <c r="E11" s="800" t="s">
        <v>1885</v>
      </c>
      <c r="F11" s="3107"/>
      <c r="H11" s="3107"/>
      <c r="J11" s="3107"/>
      <c r="L11" s="3107"/>
      <c r="N11" s="3107"/>
      <c r="P11" s="3107"/>
      <c r="R11" s="3107"/>
      <c r="T11" s="3107"/>
      <c r="V11" s="3107"/>
      <c r="X11" s="3107"/>
      <c r="Z11" s="3107"/>
      <c r="AB11" s="3107"/>
      <c r="AD11" s="3107"/>
      <c r="AF11" s="3107"/>
      <c r="AH11" s="3107"/>
      <c r="AJ11" s="3107"/>
      <c r="AL11" s="3107"/>
      <c r="AM11" s="3107"/>
      <c r="AN11" s="3107"/>
      <c r="AO11" s="3107"/>
      <c r="AP11" s="3107"/>
      <c r="AQ11" s="3107"/>
      <c r="AR11" s="3107"/>
      <c r="AS11" s="793"/>
      <c r="AT11" s="793"/>
      <c r="AU11" s="793"/>
      <c r="AV11" s="793"/>
      <c r="AW11" s="793"/>
      <c r="AX11" s="793"/>
      <c r="AY11" s="793"/>
      <c r="AZ11" s="793"/>
      <c r="BA11" s="793"/>
      <c r="BB11" s="793"/>
      <c r="BC11" s="793"/>
      <c r="BD11" s="793"/>
      <c r="BE11" s="793"/>
      <c r="BF11" s="793"/>
      <c r="BG11" s="793"/>
      <c r="BH11" s="793"/>
      <c r="BI11" s="793"/>
      <c r="BJ11" s="793"/>
      <c r="BK11" s="793"/>
      <c r="BL11" s="793"/>
      <c r="BM11" s="793"/>
      <c r="BN11" s="793"/>
      <c r="BO11" s="793"/>
      <c r="BP11" s="793"/>
      <c r="BQ11" s="793"/>
      <c r="BR11" s="793"/>
      <c r="BS11" s="793"/>
      <c r="BT11" s="793"/>
      <c r="BU11" s="793"/>
      <c r="BV11" s="793"/>
      <c r="BW11" s="793"/>
      <c r="BX11" s="793"/>
      <c r="BY11" s="793"/>
      <c r="BZ11" s="793"/>
      <c r="CA11" s="793"/>
      <c r="CB11" s="793"/>
      <c r="CC11" s="793"/>
      <c r="CD11" s="793"/>
      <c r="CE11" s="793"/>
      <c r="CF11" s="793"/>
      <c r="CG11" s="793"/>
      <c r="CH11" s="793"/>
      <c r="CI11" s="793"/>
      <c r="CJ11" s="793"/>
      <c r="CK11" s="793"/>
      <c r="CL11" s="793"/>
      <c r="CM11" s="793"/>
      <c r="CN11" s="793"/>
      <c r="CO11" s="793"/>
      <c r="CP11" s="793"/>
      <c r="CQ11" s="793"/>
      <c r="CR11" s="793"/>
      <c r="CS11" s="793"/>
      <c r="CT11" s="793"/>
      <c r="CU11" s="793"/>
      <c r="CV11" s="793"/>
      <c r="CW11" s="793"/>
      <c r="CX11" s="793"/>
      <c r="CY11" s="793"/>
      <c r="CZ11" s="793"/>
      <c r="DA11" s="793"/>
      <c r="DB11" s="793"/>
      <c r="DC11" s="793"/>
      <c r="DD11" s="793"/>
      <c r="DE11" s="793"/>
      <c r="DF11" s="793"/>
      <c r="DG11" s="793"/>
      <c r="DH11" s="793"/>
      <c r="DI11" s="793"/>
      <c r="DJ11" s="793"/>
      <c r="DK11" s="793"/>
      <c r="DL11" s="793"/>
      <c r="DM11" s="793"/>
      <c r="DN11" s="793"/>
      <c r="DO11" s="793"/>
      <c r="DP11" s="793"/>
      <c r="DQ11" s="793"/>
      <c r="DR11" s="793"/>
      <c r="DS11" s="793"/>
      <c r="DT11" s="793"/>
      <c r="DU11" s="793"/>
      <c r="DV11" s="793"/>
      <c r="DW11" s="793"/>
      <c r="DX11" s="793"/>
      <c r="DY11" s="793"/>
      <c r="DZ11" s="793"/>
      <c r="EA11" s="793"/>
      <c r="EB11" s="793"/>
      <c r="EC11" s="793"/>
      <c r="ED11" s="793"/>
      <c r="EE11" s="793"/>
      <c r="EF11" s="793"/>
      <c r="EG11" s="793"/>
      <c r="EH11" s="793"/>
      <c r="EI11" s="793"/>
      <c r="EJ11" s="793"/>
      <c r="EK11" s="793"/>
      <c r="EL11" s="793"/>
      <c r="EM11" s="793"/>
      <c r="EN11" s="793"/>
      <c r="EO11" s="793"/>
      <c r="EP11" s="793"/>
      <c r="EQ11" s="793"/>
      <c r="ER11" s="793"/>
      <c r="ES11" s="793"/>
      <c r="ET11" s="793"/>
      <c r="EU11" s="793"/>
      <c r="EV11" s="793"/>
      <c r="EW11" s="793"/>
      <c r="EX11" s="793"/>
      <c r="EY11" s="793"/>
      <c r="EZ11" s="793"/>
      <c r="FA11" s="793"/>
      <c r="FB11" s="793"/>
      <c r="FC11" s="793"/>
      <c r="FD11" s="793"/>
      <c r="FE11" s="793"/>
      <c r="FF11" s="793"/>
      <c r="FG11" s="793"/>
      <c r="FH11" s="793"/>
      <c r="FI11" s="793"/>
      <c r="FJ11" s="793"/>
      <c r="FK11" s="793"/>
      <c r="FL11" s="793"/>
      <c r="FM11" s="793"/>
      <c r="FN11" s="793"/>
      <c r="FO11" s="793"/>
      <c r="FP11" s="793"/>
      <c r="FQ11" s="793"/>
      <c r="FR11" s="793"/>
      <c r="FS11" s="793"/>
      <c r="FT11" s="793"/>
      <c r="FU11" s="793"/>
      <c r="FV11" s="793"/>
      <c r="FW11" s="793"/>
      <c r="FX11" s="793"/>
      <c r="FY11" s="793"/>
      <c r="FZ11" s="793"/>
      <c r="GA11" s="793"/>
      <c r="GB11" s="793"/>
      <c r="GC11" s="793"/>
      <c r="GD11" s="793"/>
      <c r="GE11" s="793"/>
      <c r="GF11" s="793"/>
      <c r="GG11" s="793"/>
      <c r="GH11" s="793"/>
      <c r="GI11" s="793"/>
      <c r="GJ11" s="793"/>
      <c r="GK11" s="793"/>
      <c r="GL11" s="793"/>
      <c r="GM11" s="793"/>
      <c r="GN11" s="793"/>
      <c r="GO11" s="793"/>
      <c r="GP11" s="793"/>
      <c r="GQ11" s="793"/>
      <c r="GR11" s="793"/>
      <c r="GS11" s="793"/>
      <c r="GT11" s="793"/>
      <c r="GU11" s="793"/>
      <c r="GV11" s="793"/>
      <c r="GW11" s="793"/>
      <c r="GX11" s="793"/>
      <c r="GY11" s="793"/>
      <c r="GZ11" s="793"/>
      <c r="HA11" s="793"/>
      <c r="HB11" s="793"/>
      <c r="HC11" s="793"/>
      <c r="HD11" s="793"/>
      <c r="HE11" s="793"/>
      <c r="HF11" s="793"/>
      <c r="HG11" s="793"/>
      <c r="HH11" s="793"/>
      <c r="HI11" s="793"/>
      <c r="HJ11" s="793"/>
      <c r="HK11" s="793"/>
      <c r="HL11" s="793"/>
      <c r="HM11" s="793"/>
      <c r="HN11" s="793"/>
      <c r="HO11" s="793"/>
      <c r="HP11" s="793"/>
      <c r="HQ11" s="793"/>
      <c r="HR11" s="793"/>
      <c r="HS11" s="793"/>
      <c r="HT11" s="793"/>
      <c r="HU11" s="793"/>
      <c r="HV11" s="793"/>
      <c r="HW11" s="793"/>
      <c r="HX11" s="793"/>
      <c r="HY11" s="793"/>
      <c r="HZ11" s="793"/>
      <c r="IA11" s="793"/>
      <c r="IB11" s="793"/>
      <c r="IC11" s="793"/>
      <c r="ID11" s="793"/>
      <c r="IE11" s="793"/>
      <c r="IF11" s="793"/>
      <c r="IG11" s="793"/>
      <c r="IH11" s="793"/>
      <c r="II11" s="793"/>
      <c r="IJ11" s="793"/>
      <c r="IK11" s="793"/>
      <c r="IL11" s="793"/>
      <c r="IM11" s="793"/>
      <c r="IN11" s="793"/>
      <c r="IO11" s="793"/>
      <c r="IP11" s="793"/>
      <c r="IQ11" s="793"/>
      <c r="IR11" s="793"/>
      <c r="IS11" s="793"/>
      <c r="IT11" s="793"/>
      <c r="IU11" s="793"/>
      <c r="IV11" s="793"/>
      <c r="IW11" s="793"/>
      <c r="IX11" s="793"/>
      <c r="IY11" s="793"/>
      <c r="IZ11" s="793"/>
      <c r="JA11" s="793"/>
      <c r="JB11" s="793"/>
      <c r="JC11" s="793"/>
      <c r="JD11" s="793"/>
      <c r="JE11" s="793"/>
      <c r="JF11" s="793"/>
      <c r="JG11" s="793"/>
      <c r="JH11" s="793"/>
    </row>
    <row r="12" spans="1:270" s="1956" customFormat="1" ht="13" x14ac:dyDescent="0.25">
      <c r="A12" s="1977"/>
      <c r="B12" s="728"/>
      <c r="C12" s="4244"/>
      <c r="D12" s="4259"/>
      <c r="E12" s="5103">
        <v>2000</v>
      </c>
      <c r="F12" s="5103"/>
      <c r="G12" s="5103">
        <v>2001</v>
      </c>
      <c r="H12" s="5103"/>
      <c r="I12" s="5103">
        <v>2002</v>
      </c>
      <c r="J12" s="5103"/>
      <c r="K12" s="5103">
        <v>2003</v>
      </c>
      <c r="L12" s="5103"/>
      <c r="M12" s="5103">
        <v>2004</v>
      </c>
      <c r="N12" s="5103"/>
      <c r="O12" s="5103">
        <v>2005</v>
      </c>
      <c r="P12" s="5103"/>
      <c r="Q12" s="5103">
        <v>2006</v>
      </c>
      <c r="R12" s="5103"/>
      <c r="S12" s="5103">
        <v>2007</v>
      </c>
      <c r="T12" s="5103"/>
      <c r="U12" s="5103">
        <v>2008</v>
      </c>
      <c r="V12" s="5103"/>
      <c r="W12" s="5103">
        <v>2009</v>
      </c>
      <c r="X12" s="5103"/>
      <c r="Y12" s="5103">
        <v>2010</v>
      </c>
      <c r="Z12" s="5103"/>
      <c r="AA12" s="5103">
        <v>2011</v>
      </c>
      <c r="AB12" s="5103"/>
      <c r="AC12" s="5103">
        <v>2012</v>
      </c>
      <c r="AD12" s="5103"/>
      <c r="AE12" s="5103">
        <v>2013</v>
      </c>
      <c r="AF12" s="5103" t="s">
        <v>1886</v>
      </c>
      <c r="AG12" s="5103">
        <v>2014</v>
      </c>
      <c r="AH12" s="5103">
        <v>2015</v>
      </c>
      <c r="AI12" s="5103">
        <v>2015</v>
      </c>
      <c r="AJ12" s="5103">
        <v>2015</v>
      </c>
      <c r="AK12" s="5103">
        <v>2016</v>
      </c>
      <c r="AL12" s="5103"/>
      <c r="AM12" s="5103">
        <v>2017</v>
      </c>
      <c r="AN12" s="5103">
        <v>2015</v>
      </c>
      <c r="AO12" s="5103">
        <v>2018</v>
      </c>
      <c r="AP12" s="5103"/>
      <c r="AQ12" s="5103">
        <v>2019</v>
      </c>
      <c r="AR12" s="5103"/>
    </row>
    <row r="13" spans="1:270" s="4258" customFormat="1" ht="10.5" x14ac:dyDescent="0.25">
      <c r="A13" s="4251"/>
      <c r="B13" s="4252"/>
      <c r="C13" s="4252"/>
      <c r="D13" s="801" t="s">
        <v>1887</v>
      </c>
      <c r="E13" s="5104"/>
      <c r="F13" s="5104"/>
      <c r="G13" s="5104"/>
      <c r="H13" s="5104"/>
      <c r="I13" s="5104"/>
      <c r="J13" s="5104"/>
      <c r="K13" s="5104"/>
      <c r="L13" s="5104"/>
      <c r="M13" s="5095">
        <v>10</v>
      </c>
      <c r="N13" s="5095"/>
      <c r="O13" s="5095">
        <v>34</v>
      </c>
      <c r="P13" s="5095"/>
      <c r="Q13" s="5095">
        <v>2</v>
      </c>
      <c r="R13" s="5095"/>
      <c r="S13" s="5095">
        <v>32</v>
      </c>
      <c r="T13" s="5095"/>
      <c r="U13" s="5095">
        <v>27</v>
      </c>
      <c r="V13" s="5095"/>
      <c r="W13" s="5095">
        <v>107</v>
      </c>
      <c r="X13" s="5095"/>
      <c r="Y13" s="5095">
        <v>111</v>
      </c>
      <c r="Z13" s="5095"/>
      <c r="AA13" s="5095">
        <v>82</v>
      </c>
      <c r="AB13" s="5095"/>
      <c r="AC13" s="5095">
        <v>173</v>
      </c>
      <c r="AD13" s="5095"/>
      <c r="AE13" s="5095">
        <v>155</v>
      </c>
      <c r="AF13" s="5095">
        <v>134</v>
      </c>
      <c r="AG13" s="5095">
        <v>191</v>
      </c>
      <c r="AH13" s="5095"/>
      <c r="AI13" s="5095">
        <v>164</v>
      </c>
      <c r="AJ13" s="5095"/>
      <c r="AK13" s="5095">
        <v>137</v>
      </c>
      <c r="AL13" s="5095"/>
      <c r="AM13" s="5095">
        <v>173</v>
      </c>
      <c r="AN13" s="5095"/>
      <c r="AO13" s="5095">
        <v>237</v>
      </c>
      <c r="AP13" s="5095"/>
      <c r="AQ13" s="5095">
        <v>218</v>
      </c>
      <c r="AR13" s="5095"/>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c r="BV13" s="793"/>
      <c r="BW13" s="793"/>
      <c r="BX13" s="793"/>
      <c r="BY13" s="793"/>
      <c r="BZ13" s="793"/>
      <c r="CA13" s="793"/>
      <c r="CB13" s="793"/>
      <c r="CC13" s="793"/>
      <c r="CD13" s="793"/>
      <c r="CE13" s="793"/>
      <c r="CF13" s="793"/>
      <c r="CG13" s="793"/>
      <c r="CH13" s="793"/>
      <c r="CI13" s="793"/>
      <c r="CJ13" s="793"/>
      <c r="CK13" s="793"/>
      <c r="CL13" s="793"/>
      <c r="CM13" s="793"/>
      <c r="CN13" s="793"/>
      <c r="CO13" s="793"/>
      <c r="CP13" s="793"/>
      <c r="CQ13" s="793"/>
      <c r="CR13" s="793"/>
      <c r="CS13" s="793"/>
      <c r="CT13" s="793"/>
      <c r="CU13" s="793"/>
      <c r="CV13" s="793"/>
      <c r="CW13" s="793"/>
      <c r="CX13" s="793"/>
      <c r="CY13" s="793"/>
      <c r="CZ13" s="793"/>
      <c r="DA13" s="793"/>
      <c r="DB13" s="793"/>
      <c r="DC13" s="793"/>
      <c r="DD13" s="793"/>
      <c r="DE13" s="793"/>
      <c r="DF13" s="793"/>
      <c r="DG13" s="793"/>
      <c r="DH13" s="793"/>
      <c r="DI13" s="793"/>
      <c r="DJ13" s="793"/>
      <c r="DK13" s="793"/>
      <c r="DL13" s="793"/>
      <c r="DM13" s="793"/>
      <c r="DN13" s="793"/>
      <c r="DO13" s="793"/>
      <c r="DP13" s="793"/>
      <c r="DQ13" s="793"/>
      <c r="DR13" s="793"/>
      <c r="DS13" s="793"/>
      <c r="DT13" s="793"/>
      <c r="DU13" s="793"/>
      <c r="DV13" s="793"/>
      <c r="DW13" s="793"/>
      <c r="DX13" s="793"/>
      <c r="DY13" s="793"/>
      <c r="DZ13" s="793"/>
      <c r="EA13" s="793"/>
      <c r="EB13" s="793"/>
      <c r="EC13" s="793"/>
      <c r="ED13" s="793"/>
      <c r="EE13" s="793"/>
      <c r="EF13" s="793"/>
      <c r="EG13" s="793"/>
      <c r="EH13" s="793"/>
      <c r="EI13" s="793"/>
      <c r="EJ13" s="793"/>
      <c r="EK13" s="793"/>
      <c r="EL13" s="793"/>
      <c r="EM13" s="793"/>
      <c r="EN13" s="793"/>
      <c r="EO13" s="793"/>
      <c r="EP13" s="793"/>
      <c r="EQ13" s="793"/>
      <c r="ER13" s="793"/>
      <c r="ES13" s="793"/>
      <c r="ET13" s="793"/>
      <c r="EU13" s="793"/>
      <c r="EV13" s="793"/>
      <c r="EW13" s="793"/>
      <c r="EX13" s="793"/>
      <c r="EY13" s="793"/>
      <c r="EZ13" s="793"/>
      <c r="FA13" s="793"/>
      <c r="FB13" s="793"/>
      <c r="FC13" s="793"/>
      <c r="FD13" s="793"/>
      <c r="FE13" s="793"/>
      <c r="FF13" s="793"/>
      <c r="FG13" s="793"/>
      <c r="FH13" s="793"/>
      <c r="FI13" s="793"/>
      <c r="FJ13" s="793"/>
      <c r="FK13" s="793"/>
      <c r="FL13" s="793"/>
      <c r="FM13" s="793"/>
      <c r="FN13" s="793"/>
      <c r="FO13" s="793"/>
      <c r="FP13" s="793"/>
      <c r="FQ13" s="793"/>
      <c r="FR13" s="793"/>
      <c r="FS13" s="793"/>
      <c r="FT13" s="793"/>
      <c r="FU13" s="793"/>
      <c r="FV13" s="793"/>
      <c r="FW13" s="793"/>
      <c r="FX13" s="793"/>
      <c r="FY13" s="793"/>
      <c r="FZ13" s="793"/>
      <c r="GA13" s="793"/>
      <c r="GB13" s="793"/>
      <c r="GC13" s="793"/>
      <c r="GD13" s="793"/>
      <c r="GE13" s="793"/>
      <c r="GF13" s="793"/>
      <c r="GG13" s="793"/>
      <c r="GH13" s="793"/>
      <c r="GI13" s="793"/>
      <c r="GJ13" s="793"/>
      <c r="GK13" s="793"/>
      <c r="GL13" s="793"/>
      <c r="GM13" s="793"/>
      <c r="GN13" s="793"/>
      <c r="GO13" s="793"/>
      <c r="GP13" s="793"/>
      <c r="GQ13" s="793"/>
      <c r="GR13" s="793"/>
      <c r="GS13" s="793"/>
      <c r="GT13" s="793"/>
      <c r="GU13" s="793"/>
      <c r="GV13" s="793"/>
      <c r="GW13" s="793"/>
      <c r="GX13" s="793"/>
      <c r="GY13" s="793"/>
      <c r="GZ13" s="793"/>
      <c r="HA13" s="793"/>
      <c r="HB13" s="793"/>
      <c r="HC13" s="793"/>
      <c r="HD13" s="793"/>
      <c r="HE13" s="793"/>
      <c r="HF13" s="793"/>
      <c r="HG13" s="793"/>
      <c r="HH13" s="793"/>
      <c r="HI13" s="793"/>
      <c r="HJ13" s="793"/>
      <c r="HK13" s="793"/>
      <c r="HL13" s="793"/>
      <c r="HM13" s="793"/>
      <c r="HN13" s="793"/>
      <c r="HO13" s="793"/>
      <c r="HP13" s="793"/>
      <c r="HQ13" s="793"/>
      <c r="HR13" s="793"/>
      <c r="HS13" s="793"/>
      <c r="HT13" s="793"/>
      <c r="HU13" s="793"/>
      <c r="HV13" s="793"/>
      <c r="HW13" s="793"/>
      <c r="HX13" s="793"/>
      <c r="HY13" s="793"/>
      <c r="HZ13" s="793"/>
      <c r="IA13" s="793"/>
      <c r="IB13" s="793"/>
      <c r="IC13" s="793"/>
      <c r="ID13" s="793"/>
      <c r="IE13" s="793"/>
      <c r="IF13" s="793"/>
      <c r="IG13" s="793"/>
      <c r="IH13" s="793"/>
      <c r="II13" s="793"/>
      <c r="IJ13" s="793"/>
      <c r="IK13" s="793"/>
      <c r="IL13" s="793"/>
      <c r="IM13" s="793"/>
      <c r="IN13" s="793"/>
      <c r="IO13" s="793"/>
      <c r="IP13" s="793"/>
      <c r="IQ13" s="793"/>
      <c r="IR13" s="793"/>
      <c r="IS13" s="793"/>
      <c r="IT13" s="793"/>
      <c r="IU13" s="793"/>
      <c r="IV13" s="793"/>
      <c r="IW13" s="793"/>
      <c r="IX13" s="793"/>
      <c r="IY13" s="793"/>
      <c r="IZ13" s="793"/>
      <c r="JA13" s="793"/>
      <c r="JB13" s="793"/>
      <c r="JC13" s="793"/>
      <c r="JD13" s="793"/>
      <c r="JE13" s="793"/>
      <c r="JF13" s="793"/>
      <c r="JG13" s="793"/>
      <c r="JH13" s="793"/>
    </row>
    <row r="14" spans="1:270" s="4258" customFormat="1" ht="10" x14ac:dyDescent="0.2">
      <c r="A14" s="4251"/>
      <c r="B14" s="4252"/>
      <c r="C14" s="4252"/>
      <c r="D14" s="4079"/>
      <c r="F14" s="3107">
        <v>69.5</v>
      </c>
      <c r="G14" s="4258">
        <v>64</v>
      </c>
      <c r="H14" s="3107">
        <v>72.5</v>
      </c>
      <c r="I14" s="4258">
        <v>73.5</v>
      </c>
      <c r="J14" s="3107">
        <v>79</v>
      </c>
      <c r="K14" s="4258">
        <v>73</v>
      </c>
      <c r="L14" s="3107">
        <v>74</v>
      </c>
      <c r="M14" s="4258">
        <v>65</v>
      </c>
      <c r="N14" s="3107">
        <v>58</v>
      </c>
      <c r="O14" s="4258">
        <v>59</v>
      </c>
      <c r="P14" s="3107">
        <v>55.4</v>
      </c>
      <c r="Q14" s="4258">
        <v>49.5</v>
      </c>
      <c r="R14" s="3107">
        <v>52.25</v>
      </c>
      <c r="S14" s="4258">
        <v>53</v>
      </c>
      <c r="T14" s="3107">
        <v>56</v>
      </c>
      <c r="U14" s="4258">
        <v>50.5</v>
      </c>
      <c r="V14" s="3107">
        <v>48</v>
      </c>
      <c r="X14" s="3107"/>
      <c r="Z14" s="3107"/>
      <c r="AB14" s="3107"/>
      <c r="AD14" s="3107"/>
      <c r="AF14" s="3107"/>
      <c r="AH14" s="3107"/>
      <c r="AI14" s="793"/>
      <c r="AJ14" s="793"/>
      <c r="AK14" s="793"/>
      <c r="AL14" s="793"/>
      <c r="AM14" s="793"/>
      <c r="AN14" s="793"/>
      <c r="AO14" s="793"/>
      <c r="AP14" s="793"/>
      <c r="AQ14" s="793"/>
      <c r="AR14" s="793"/>
      <c r="AS14" s="793"/>
      <c r="AT14" s="793"/>
      <c r="AU14" s="793"/>
      <c r="AV14" s="793"/>
      <c r="AW14" s="793"/>
      <c r="AX14" s="793"/>
      <c r="AY14" s="793"/>
      <c r="AZ14" s="793"/>
      <c r="BA14" s="793"/>
      <c r="BB14" s="793"/>
      <c r="BC14" s="793"/>
      <c r="BD14" s="793"/>
      <c r="BE14" s="793"/>
      <c r="BF14" s="793"/>
      <c r="BG14" s="793"/>
      <c r="BH14" s="793"/>
      <c r="BI14" s="793"/>
      <c r="BJ14" s="793"/>
      <c r="BK14" s="793"/>
      <c r="BL14" s="793"/>
      <c r="BM14" s="793"/>
      <c r="BN14" s="793"/>
      <c r="BO14" s="793"/>
      <c r="BP14" s="793"/>
      <c r="BQ14" s="793"/>
      <c r="BR14" s="793"/>
      <c r="BS14" s="793"/>
      <c r="BT14" s="793"/>
      <c r="BU14" s="793"/>
      <c r="BV14" s="793"/>
      <c r="BW14" s="793"/>
      <c r="BX14" s="793"/>
      <c r="BY14" s="793"/>
      <c r="BZ14" s="793"/>
      <c r="CA14" s="793"/>
      <c r="CB14" s="793"/>
      <c r="CC14" s="793"/>
      <c r="CD14" s="793"/>
      <c r="CE14" s="793"/>
      <c r="CF14" s="793"/>
      <c r="CG14" s="793"/>
      <c r="CH14" s="793"/>
      <c r="CI14" s="793"/>
      <c r="CJ14" s="793"/>
      <c r="CK14" s="793"/>
      <c r="CL14" s="793"/>
      <c r="CM14" s="793"/>
      <c r="CN14" s="793"/>
      <c r="CO14" s="793"/>
      <c r="CP14" s="793"/>
      <c r="CQ14" s="793"/>
      <c r="CR14" s="793"/>
      <c r="CS14" s="793"/>
      <c r="CT14" s="793"/>
      <c r="CU14" s="793"/>
      <c r="CV14" s="793"/>
      <c r="CW14" s="793"/>
      <c r="CX14" s="793"/>
      <c r="CY14" s="793"/>
      <c r="CZ14" s="793"/>
      <c r="DA14" s="793"/>
      <c r="DB14" s="793"/>
      <c r="DC14" s="793"/>
      <c r="DD14" s="793"/>
      <c r="DE14" s="793"/>
      <c r="DF14" s="793"/>
      <c r="DG14" s="793"/>
      <c r="DH14" s="793"/>
      <c r="DI14" s="793"/>
      <c r="DJ14" s="793"/>
      <c r="DK14" s="793"/>
      <c r="DL14" s="793"/>
      <c r="DM14" s="793"/>
      <c r="DN14" s="793"/>
      <c r="DO14" s="793"/>
      <c r="DP14" s="793"/>
      <c r="DQ14" s="793"/>
      <c r="DR14" s="793"/>
      <c r="DS14" s="793"/>
      <c r="DT14" s="793"/>
      <c r="DU14" s="793"/>
      <c r="DV14" s="793"/>
      <c r="DW14" s="793"/>
      <c r="DX14" s="793"/>
      <c r="DY14" s="793"/>
      <c r="DZ14" s="793"/>
      <c r="EA14" s="793"/>
      <c r="EB14" s="793"/>
      <c r="EC14" s="793"/>
      <c r="ED14" s="793"/>
      <c r="EE14" s="793"/>
      <c r="EF14" s="793"/>
      <c r="EG14" s="793"/>
      <c r="EH14" s="793"/>
      <c r="EI14" s="793"/>
      <c r="EJ14" s="793"/>
      <c r="EK14" s="793"/>
      <c r="EL14" s="793"/>
      <c r="EM14" s="793"/>
      <c r="EN14" s="793"/>
      <c r="EO14" s="793"/>
      <c r="EP14" s="793"/>
      <c r="EQ14" s="793"/>
      <c r="ER14" s="793"/>
      <c r="ES14" s="793"/>
      <c r="ET14" s="793"/>
      <c r="EU14" s="793"/>
      <c r="EV14" s="793"/>
      <c r="EW14" s="793"/>
      <c r="EX14" s="793"/>
      <c r="EY14" s="793"/>
      <c r="EZ14" s="793"/>
      <c r="FA14" s="793"/>
      <c r="FB14" s="793"/>
      <c r="FC14" s="793"/>
      <c r="FD14" s="793"/>
      <c r="FE14" s="793"/>
      <c r="FF14" s="793"/>
      <c r="FG14" s="793"/>
      <c r="FH14" s="793"/>
      <c r="FI14" s="793"/>
      <c r="FJ14" s="793"/>
      <c r="FK14" s="793"/>
      <c r="FL14" s="793"/>
      <c r="FM14" s="793"/>
      <c r="FN14" s="793"/>
      <c r="FO14" s="793"/>
      <c r="FP14" s="793"/>
      <c r="FQ14" s="793"/>
      <c r="FR14" s="793"/>
      <c r="FS14" s="793"/>
      <c r="FT14" s="793"/>
      <c r="FU14" s="793"/>
      <c r="FV14" s="793"/>
      <c r="FW14" s="793"/>
      <c r="FX14" s="793"/>
      <c r="FY14" s="793"/>
      <c r="FZ14" s="793"/>
      <c r="GA14" s="793"/>
      <c r="GB14" s="793"/>
      <c r="GC14" s="793"/>
      <c r="GD14" s="793"/>
      <c r="GE14" s="793"/>
      <c r="GF14" s="793"/>
      <c r="GG14" s="793"/>
      <c r="GH14" s="793"/>
      <c r="GI14" s="793"/>
      <c r="GJ14" s="793"/>
      <c r="GK14" s="793"/>
      <c r="GL14" s="793"/>
      <c r="GM14" s="793"/>
      <c r="GN14" s="793"/>
      <c r="GO14" s="793"/>
      <c r="GP14" s="793"/>
      <c r="GQ14" s="793"/>
      <c r="GR14" s="793"/>
      <c r="GS14" s="793"/>
      <c r="GT14" s="793"/>
      <c r="GU14" s="793"/>
      <c r="GV14" s="793"/>
      <c r="GW14" s="793"/>
      <c r="GX14" s="793"/>
      <c r="GY14" s="793"/>
      <c r="GZ14" s="793"/>
      <c r="HA14" s="793"/>
      <c r="HB14" s="793"/>
      <c r="HC14" s="793"/>
      <c r="HD14" s="793"/>
      <c r="HE14" s="793"/>
      <c r="HF14" s="793"/>
      <c r="HG14" s="793"/>
      <c r="HH14" s="793"/>
      <c r="HI14" s="793"/>
      <c r="HJ14" s="793"/>
      <c r="HK14" s="793"/>
      <c r="HL14" s="793"/>
      <c r="HM14" s="793"/>
      <c r="HN14" s="793"/>
      <c r="HO14" s="793"/>
      <c r="HP14" s="793"/>
      <c r="HQ14" s="793"/>
      <c r="HR14" s="793"/>
      <c r="HS14" s="793"/>
      <c r="HT14" s="793"/>
      <c r="HU14" s="793"/>
      <c r="HV14" s="793"/>
      <c r="HW14" s="793"/>
      <c r="HX14" s="793"/>
      <c r="HY14" s="793"/>
      <c r="HZ14" s="793"/>
      <c r="IA14" s="793"/>
      <c r="IB14" s="793"/>
      <c r="IC14" s="793"/>
      <c r="ID14" s="793"/>
      <c r="IE14" s="793"/>
      <c r="IF14" s="793"/>
      <c r="IG14" s="793"/>
      <c r="IH14" s="793"/>
      <c r="II14" s="793"/>
      <c r="IJ14" s="793"/>
      <c r="IK14" s="793"/>
      <c r="IL14" s="793"/>
      <c r="IM14" s="793"/>
      <c r="IN14" s="793"/>
      <c r="IO14" s="793"/>
      <c r="IP14" s="793"/>
      <c r="IQ14" s="793"/>
      <c r="IR14" s="793"/>
      <c r="IS14" s="793"/>
      <c r="IT14" s="793"/>
      <c r="IU14" s="793"/>
      <c r="IV14" s="793"/>
      <c r="IW14" s="793"/>
      <c r="IX14" s="793"/>
      <c r="IY14" s="793"/>
      <c r="IZ14" s="793"/>
      <c r="JA14" s="793"/>
      <c r="JB14" s="793"/>
      <c r="JC14" s="793"/>
      <c r="JD14" s="793"/>
      <c r="JE14" s="793"/>
      <c r="JF14" s="793"/>
    </row>
    <row r="15" spans="1:270" s="4258" customFormat="1" ht="10" x14ac:dyDescent="0.2">
      <c r="A15" s="4251"/>
      <c r="B15" s="4252"/>
      <c r="C15" s="4252"/>
      <c r="D15" s="4079"/>
      <c r="F15" s="3107"/>
      <c r="H15" s="3107"/>
      <c r="J15" s="3107"/>
      <c r="L15" s="3107"/>
      <c r="N15" s="3107"/>
      <c r="P15" s="3107"/>
      <c r="R15" s="3107"/>
      <c r="T15" s="3107"/>
      <c r="V15" s="3107"/>
      <c r="X15" s="3107"/>
      <c r="Z15" s="3107"/>
      <c r="AB15" s="3107"/>
      <c r="AD15" s="3107"/>
      <c r="AF15" s="3107"/>
      <c r="AH15" s="3107"/>
      <c r="AI15" s="793"/>
      <c r="AJ15" s="793"/>
      <c r="AK15" s="793"/>
      <c r="AL15" s="793"/>
      <c r="AM15" s="793"/>
      <c r="AN15" s="793"/>
      <c r="AO15" s="793"/>
      <c r="AP15" s="793"/>
      <c r="AQ15" s="793"/>
      <c r="AR15" s="793"/>
      <c r="AS15" s="793"/>
      <c r="AT15" s="793"/>
      <c r="AU15" s="793"/>
      <c r="AV15" s="793"/>
      <c r="AW15" s="793"/>
      <c r="AX15" s="793"/>
      <c r="AY15" s="793"/>
      <c r="AZ15" s="793"/>
      <c r="BA15" s="793"/>
      <c r="BB15" s="793"/>
      <c r="BC15" s="793"/>
      <c r="BD15" s="793"/>
      <c r="BE15" s="793"/>
      <c r="BF15" s="793"/>
      <c r="BG15" s="793"/>
      <c r="BH15" s="793"/>
      <c r="BI15" s="793"/>
      <c r="BJ15" s="793"/>
      <c r="BK15" s="793"/>
      <c r="BL15" s="793"/>
      <c r="BM15" s="793"/>
      <c r="BN15" s="793"/>
      <c r="BO15" s="793"/>
      <c r="BP15" s="793"/>
      <c r="BQ15" s="793"/>
      <c r="BR15" s="793"/>
      <c r="BS15" s="793"/>
      <c r="BT15" s="793"/>
      <c r="BU15" s="793"/>
      <c r="BV15" s="793"/>
      <c r="BW15" s="793"/>
      <c r="BX15" s="793"/>
      <c r="BY15" s="793"/>
      <c r="BZ15" s="793"/>
      <c r="CA15" s="793"/>
      <c r="CB15" s="793"/>
      <c r="CC15" s="793"/>
      <c r="CD15" s="793"/>
      <c r="CE15" s="793"/>
      <c r="CF15" s="793"/>
      <c r="CG15" s="793"/>
      <c r="CH15" s="793"/>
      <c r="CI15" s="793"/>
      <c r="CJ15" s="793"/>
      <c r="CK15" s="793"/>
      <c r="CL15" s="793"/>
      <c r="CM15" s="793"/>
      <c r="CN15" s="793"/>
      <c r="CO15" s="793"/>
      <c r="CP15" s="793"/>
      <c r="CQ15" s="793"/>
      <c r="CR15" s="793"/>
      <c r="CS15" s="793"/>
      <c r="CT15" s="793"/>
      <c r="CU15" s="793"/>
      <c r="CV15" s="793"/>
      <c r="CW15" s="793"/>
      <c r="CX15" s="793"/>
      <c r="CY15" s="793"/>
      <c r="CZ15" s="793"/>
      <c r="DA15" s="793"/>
      <c r="DB15" s="793"/>
      <c r="DC15" s="793"/>
      <c r="DD15" s="793"/>
      <c r="DE15" s="793"/>
      <c r="DF15" s="793"/>
      <c r="DG15" s="793"/>
      <c r="DH15" s="793"/>
      <c r="DI15" s="793"/>
      <c r="DJ15" s="793"/>
      <c r="DK15" s="793"/>
      <c r="DL15" s="793"/>
      <c r="DM15" s="793"/>
      <c r="DN15" s="793"/>
      <c r="DO15" s="793"/>
      <c r="DP15" s="793"/>
      <c r="DQ15" s="793"/>
      <c r="DR15" s="793"/>
      <c r="DS15" s="793"/>
      <c r="DT15" s="793"/>
      <c r="DU15" s="793"/>
      <c r="DV15" s="793"/>
      <c r="DW15" s="793"/>
      <c r="DX15" s="793"/>
      <c r="DY15" s="793"/>
      <c r="DZ15" s="793"/>
      <c r="EA15" s="793"/>
      <c r="EB15" s="793"/>
      <c r="EC15" s="793"/>
      <c r="ED15" s="793"/>
      <c r="EE15" s="793"/>
      <c r="EF15" s="793"/>
      <c r="EG15" s="793"/>
      <c r="EH15" s="793"/>
      <c r="EI15" s="793"/>
      <c r="EJ15" s="793"/>
      <c r="EK15" s="793"/>
      <c r="EL15" s="793"/>
      <c r="EM15" s="793"/>
      <c r="EN15" s="793"/>
      <c r="EO15" s="793"/>
      <c r="EP15" s="793"/>
      <c r="EQ15" s="793"/>
      <c r="ER15" s="793"/>
      <c r="ES15" s="793"/>
      <c r="ET15" s="793"/>
      <c r="EU15" s="793"/>
      <c r="EV15" s="793"/>
      <c r="EW15" s="793"/>
      <c r="EX15" s="793"/>
      <c r="EY15" s="793"/>
      <c r="EZ15" s="793"/>
      <c r="FA15" s="793"/>
      <c r="FB15" s="793"/>
      <c r="FC15" s="793"/>
      <c r="FD15" s="793"/>
      <c r="FE15" s="793"/>
      <c r="FF15" s="793"/>
      <c r="FG15" s="793"/>
      <c r="FH15" s="793"/>
      <c r="FI15" s="793"/>
      <c r="FJ15" s="793"/>
      <c r="FK15" s="793"/>
      <c r="FL15" s="793"/>
      <c r="FM15" s="793"/>
      <c r="FN15" s="793"/>
      <c r="FO15" s="793"/>
      <c r="FP15" s="793"/>
      <c r="FQ15" s="793"/>
      <c r="FR15" s="793"/>
      <c r="FS15" s="793"/>
      <c r="FT15" s="793"/>
      <c r="FU15" s="793"/>
      <c r="FV15" s="793"/>
      <c r="FW15" s="793"/>
      <c r="FX15" s="793"/>
      <c r="FY15" s="793"/>
      <c r="FZ15" s="793"/>
      <c r="GA15" s="793"/>
      <c r="GB15" s="793"/>
      <c r="GC15" s="793"/>
      <c r="GD15" s="793"/>
      <c r="GE15" s="793"/>
      <c r="GF15" s="793"/>
      <c r="GG15" s="793"/>
      <c r="GH15" s="793"/>
      <c r="GI15" s="793"/>
      <c r="GJ15" s="793"/>
      <c r="GK15" s="793"/>
      <c r="GL15" s="793"/>
      <c r="GM15" s="793"/>
      <c r="GN15" s="793"/>
      <c r="GO15" s="793"/>
      <c r="GP15" s="793"/>
      <c r="GQ15" s="793"/>
      <c r="GR15" s="793"/>
      <c r="GS15" s="793"/>
      <c r="GT15" s="793"/>
      <c r="GU15" s="793"/>
      <c r="GV15" s="793"/>
      <c r="GW15" s="793"/>
      <c r="GX15" s="793"/>
      <c r="GY15" s="793"/>
      <c r="GZ15" s="793"/>
      <c r="HA15" s="793"/>
      <c r="HB15" s="793"/>
      <c r="HC15" s="793"/>
      <c r="HD15" s="793"/>
      <c r="HE15" s="793"/>
      <c r="HF15" s="793"/>
      <c r="HG15" s="793"/>
      <c r="HH15" s="793"/>
      <c r="HI15" s="793"/>
      <c r="HJ15" s="793"/>
      <c r="HK15" s="793"/>
      <c r="HL15" s="793"/>
      <c r="HM15" s="793"/>
      <c r="HN15" s="793"/>
      <c r="HO15" s="793"/>
      <c r="HP15" s="793"/>
      <c r="HQ15" s="793"/>
      <c r="HR15" s="793"/>
      <c r="HS15" s="793"/>
      <c r="HT15" s="793"/>
      <c r="HU15" s="793"/>
      <c r="HV15" s="793"/>
      <c r="HW15" s="793"/>
      <c r="HX15" s="793"/>
      <c r="HY15" s="793"/>
      <c r="HZ15" s="793"/>
      <c r="IA15" s="793"/>
      <c r="IB15" s="793"/>
      <c r="IC15" s="793"/>
      <c r="ID15" s="793"/>
      <c r="IE15" s="793"/>
      <c r="IF15" s="793"/>
      <c r="IG15" s="793"/>
      <c r="IH15" s="793"/>
      <c r="II15" s="793"/>
      <c r="IJ15" s="793"/>
      <c r="IK15" s="793"/>
      <c r="IL15" s="793"/>
      <c r="IM15" s="793"/>
      <c r="IN15" s="793"/>
      <c r="IO15" s="793"/>
      <c r="IP15" s="793"/>
      <c r="IQ15" s="793"/>
      <c r="IR15" s="793"/>
      <c r="IS15" s="793"/>
      <c r="IT15" s="793"/>
      <c r="IU15" s="793"/>
      <c r="IV15" s="793"/>
      <c r="IW15" s="793"/>
      <c r="IX15" s="793"/>
      <c r="IY15" s="793"/>
      <c r="IZ15" s="793"/>
      <c r="JA15" s="793"/>
      <c r="JB15" s="793"/>
      <c r="JC15" s="793"/>
      <c r="JD15" s="793"/>
      <c r="JE15" s="793"/>
      <c r="JF15" s="793"/>
    </row>
    <row r="16" spans="1:270" s="4258" customFormat="1" ht="10" x14ac:dyDescent="0.2">
      <c r="A16" s="4251"/>
      <c r="B16" s="4252"/>
      <c r="C16" s="4252"/>
      <c r="D16" s="4079"/>
      <c r="F16" s="3107"/>
      <c r="H16" s="3107"/>
      <c r="J16" s="3107"/>
      <c r="L16" s="3107"/>
      <c r="N16" s="3107"/>
      <c r="P16" s="3107"/>
      <c r="R16" s="3107"/>
      <c r="T16" s="3107"/>
      <c r="V16" s="3107"/>
      <c r="X16" s="3107"/>
      <c r="Z16" s="3107"/>
      <c r="AB16" s="3107"/>
      <c r="AD16" s="3107"/>
      <c r="AF16" s="3107"/>
      <c r="AH16" s="3107"/>
      <c r="AI16" s="793"/>
      <c r="AJ16" s="793"/>
      <c r="AK16" s="793"/>
      <c r="AL16" s="793"/>
      <c r="AM16" s="793"/>
      <c r="AN16" s="793"/>
      <c r="AO16" s="793"/>
      <c r="AP16" s="793"/>
      <c r="AQ16" s="793"/>
      <c r="AR16" s="793"/>
      <c r="AS16" s="793"/>
      <c r="AT16" s="793"/>
      <c r="AU16" s="793"/>
      <c r="AV16" s="793"/>
      <c r="AW16" s="793"/>
      <c r="AX16" s="793"/>
      <c r="AY16" s="793"/>
      <c r="AZ16" s="793"/>
      <c r="BA16" s="793"/>
      <c r="BB16" s="793"/>
      <c r="BC16" s="793"/>
      <c r="BD16" s="793"/>
      <c r="BE16" s="793"/>
      <c r="BF16" s="793"/>
      <c r="BG16" s="793"/>
      <c r="BH16" s="793"/>
      <c r="BI16" s="793"/>
      <c r="BJ16" s="793"/>
      <c r="BK16" s="793"/>
      <c r="BL16" s="793"/>
      <c r="BM16" s="793"/>
      <c r="BN16" s="793"/>
      <c r="BO16" s="793"/>
      <c r="BP16" s="793"/>
      <c r="BQ16" s="793"/>
      <c r="BR16" s="793"/>
      <c r="BS16" s="793"/>
      <c r="BT16" s="793"/>
      <c r="BU16" s="793"/>
      <c r="BV16" s="793"/>
      <c r="BW16" s="793"/>
      <c r="BX16" s="793"/>
      <c r="BY16" s="793"/>
      <c r="BZ16" s="793"/>
      <c r="CA16" s="793"/>
      <c r="CB16" s="793"/>
      <c r="CC16" s="793"/>
      <c r="CD16" s="793"/>
      <c r="CE16" s="793"/>
      <c r="CF16" s="793"/>
      <c r="CG16" s="793"/>
      <c r="CH16" s="793"/>
      <c r="CI16" s="793"/>
      <c r="CJ16" s="793"/>
      <c r="CK16" s="793"/>
      <c r="CL16" s="793"/>
      <c r="CM16" s="793"/>
      <c r="CN16" s="793"/>
      <c r="CO16" s="793"/>
      <c r="CP16" s="793"/>
      <c r="CQ16" s="793"/>
      <c r="CR16" s="793"/>
      <c r="CS16" s="793"/>
      <c r="CT16" s="793"/>
      <c r="CU16" s="793"/>
      <c r="CV16" s="793"/>
      <c r="CW16" s="793"/>
      <c r="CX16" s="793"/>
      <c r="CY16" s="793"/>
      <c r="CZ16" s="793"/>
      <c r="DA16" s="793"/>
      <c r="DB16" s="793"/>
      <c r="DC16" s="793"/>
      <c r="DD16" s="793"/>
      <c r="DE16" s="793"/>
      <c r="DF16" s="793"/>
      <c r="DG16" s="793"/>
      <c r="DH16" s="793"/>
      <c r="DI16" s="793"/>
      <c r="DJ16" s="793"/>
      <c r="DK16" s="793"/>
      <c r="DL16" s="793"/>
      <c r="DM16" s="793"/>
      <c r="DN16" s="793"/>
      <c r="DO16" s="793"/>
      <c r="DP16" s="793"/>
      <c r="DQ16" s="793"/>
      <c r="DR16" s="793"/>
      <c r="DS16" s="793"/>
      <c r="DT16" s="793"/>
      <c r="DU16" s="793"/>
      <c r="DV16" s="793"/>
      <c r="DW16" s="793"/>
      <c r="DX16" s="793"/>
      <c r="DY16" s="793"/>
      <c r="DZ16" s="793"/>
      <c r="EA16" s="793"/>
      <c r="EB16" s="793"/>
      <c r="EC16" s="793"/>
      <c r="ED16" s="793"/>
      <c r="EE16" s="793"/>
      <c r="EF16" s="793"/>
      <c r="EG16" s="793"/>
      <c r="EH16" s="793"/>
      <c r="EI16" s="793"/>
      <c r="EJ16" s="793"/>
      <c r="EK16" s="793"/>
      <c r="EL16" s="793"/>
      <c r="EM16" s="793"/>
      <c r="EN16" s="793"/>
      <c r="EO16" s="793"/>
      <c r="EP16" s="793"/>
      <c r="EQ16" s="793"/>
      <c r="ER16" s="793"/>
      <c r="ES16" s="793"/>
      <c r="ET16" s="793"/>
      <c r="EU16" s="793"/>
      <c r="EV16" s="793"/>
      <c r="EW16" s="793"/>
      <c r="EX16" s="793"/>
      <c r="EY16" s="793"/>
      <c r="EZ16" s="793"/>
      <c r="FA16" s="793"/>
      <c r="FB16" s="793"/>
      <c r="FC16" s="793"/>
      <c r="FD16" s="793"/>
      <c r="FE16" s="793"/>
      <c r="FF16" s="793"/>
      <c r="FG16" s="793"/>
      <c r="FH16" s="793"/>
      <c r="FI16" s="793"/>
      <c r="FJ16" s="793"/>
      <c r="FK16" s="793"/>
      <c r="FL16" s="793"/>
      <c r="FM16" s="793"/>
      <c r="FN16" s="793"/>
      <c r="FO16" s="793"/>
      <c r="FP16" s="793"/>
      <c r="FQ16" s="793"/>
      <c r="FR16" s="793"/>
      <c r="FS16" s="793"/>
      <c r="FT16" s="793"/>
      <c r="FU16" s="793"/>
      <c r="FV16" s="793"/>
      <c r="FW16" s="793"/>
      <c r="FX16" s="793"/>
      <c r="FY16" s="793"/>
      <c r="FZ16" s="793"/>
      <c r="GA16" s="793"/>
      <c r="GB16" s="793"/>
      <c r="GC16" s="793"/>
      <c r="GD16" s="793"/>
      <c r="GE16" s="793"/>
      <c r="GF16" s="793"/>
      <c r="GG16" s="793"/>
      <c r="GH16" s="793"/>
      <c r="GI16" s="793"/>
      <c r="GJ16" s="793"/>
      <c r="GK16" s="793"/>
      <c r="GL16" s="793"/>
      <c r="GM16" s="793"/>
      <c r="GN16" s="793"/>
      <c r="GO16" s="793"/>
      <c r="GP16" s="793"/>
      <c r="GQ16" s="793"/>
      <c r="GR16" s="793"/>
      <c r="GS16" s="793"/>
      <c r="GT16" s="793"/>
      <c r="GU16" s="793"/>
      <c r="GV16" s="793"/>
      <c r="GW16" s="793"/>
      <c r="GX16" s="793"/>
      <c r="GY16" s="793"/>
      <c r="GZ16" s="793"/>
      <c r="HA16" s="793"/>
      <c r="HB16" s="793"/>
      <c r="HC16" s="793"/>
      <c r="HD16" s="793"/>
      <c r="HE16" s="793"/>
      <c r="HF16" s="793"/>
      <c r="HG16" s="793"/>
      <c r="HH16" s="793"/>
      <c r="HI16" s="793"/>
      <c r="HJ16" s="793"/>
      <c r="HK16" s="793"/>
      <c r="HL16" s="793"/>
      <c r="HM16" s="793"/>
      <c r="HN16" s="793"/>
      <c r="HO16" s="793"/>
      <c r="HP16" s="793"/>
      <c r="HQ16" s="793"/>
      <c r="HR16" s="793"/>
      <c r="HS16" s="793"/>
      <c r="HT16" s="793"/>
      <c r="HU16" s="793"/>
      <c r="HV16" s="793"/>
      <c r="HW16" s="793"/>
      <c r="HX16" s="793"/>
      <c r="HY16" s="793"/>
      <c r="HZ16" s="793"/>
      <c r="IA16" s="793"/>
      <c r="IB16" s="793"/>
      <c r="IC16" s="793"/>
      <c r="ID16" s="793"/>
      <c r="IE16" s="793"/>
      <c r="IF16" s="793"/>
      <c r="IG16" s="793"/>
      <c r="IH16" s="793"/>
      <c r="II16" s="793"/>
      <c r="IJ16" s="793"/>
      <c r="IK16" s="793"/>
      <c r="IL16" s="793"/>
      <c r="IM16" s="793"/>
      <c r="IN16" s="793"/>
      <c r="IO16" s="793"/>
      <c r="IP16" s="793"/>
      <c r="IQ16" s="793"/>
      <c r="IR16" s="793"/>
      <c r="IS16" s="793"/>
      <c r="IT16" s="793"/>
      <c r="IU16" s="793"/>
      <c r="IV16" s="793"/>
      <c r="IW16" s="793"/>
      <c r="IX16" s="793"/>
      <c r="IY16" s="793"/>
      <c r="IZ16" s="793"/>
      <c r="JA16" s="793"/>
      <c r="JB16" s="793"/>
      <c r="JC16" s="793"/>
      <c r="JD16" s="793"/>
      <c r="JE16" s="793"/>
      <c r="JF16" s="793"/>
    </row>
    <row r="17" spans="1:34" ht="13" x14ac:dyDescent="0.25">
      <c r="A17" s="723">
        <v>5</v>
      </c>
      <c r="B17" s="723" t="s">
        <v>56</v>
      </c>
      <c r="C17" s="723"/>
      <c r="U17" s="732"/>
      <c r="V17" s="732"/>
      <c r="W17" s="732"/>
      <c r="X17" s="732"/>
      <c r="Y17" s="732"/>
      <c r="Z17" s="732"/>
      <c r="AA17" s="732"/>
      <c r="AB17" s="732"/>
      <c r="AC17" s="732"/>
      <c r="AD17" s="732"/>
      <c r="AE17" s="732"/>
      <c r="AF17" s="732"/>
      <c r="AG17" s="732"/>
      <c r="AH17" s="732"/>
    </row>
    <row r="18" spans="1:34" x14ac:dyDescent="0.25">
      <c r="M18" s="759"/>
      <c r="N18" s="759"/>
      <c r="O18" s="759"/>
      <c r="P18" s="759"/>
      <c r="Q18" s="759"/>
      <c r="R18" s="759"/>
      <c r="S18" s="759"/>
      <c r="U18" s="732"/>
      <c r="V18" s="732"/>
      <c r="W18" s="732"/>
      <c r="X18" s="732"/>
      <c r="Y18" s="732"/>
      <c r="Z18" s="732"/>
      <c r="AA18" s="732"/>
      <c r="AB18" s="732"/>
      <c r="AC18" s="732"/>
      <c r="AD18" s="732"/>
      <c r="AE18" s="732"/>
      <c r="AF18" s="732"/>
      <c r="AG18" s="732"/>
      <c r="AH18" s="732"/>
    </row>
    <row r="19" spans="1:34" x14ac:dyDescent="0.25">
      <c r="M19" s="4260"/>
      <c r="N19" s="759"/>
      <c r="O19" s="759"/>
      <c r="P19" s="759"/>
      <c r="Q19" s="759"/>
      <c r="R19" s="759"/>
      <c r="S19" s="759"/>
      <c r="U19" s="732"/>
      <c r="V19" s="732"/>
      <c r="W19" s="732"/>
      <c r="X19" s="732"/>
      <c r="Y19" s="732"/>
      <c r="Z19" s="732"/>
      <c r="AA19" s="732"/>
      <c r="AB19" s="732"/>
      <c r="AC19" s="732"/>
      <c r="AD19" s="732"/>
      <c r="AE19" s="732"/>
      <c r="AF19" s="732"/>
      <c r="AG19" s="732"/>
      <c r="AH19" s="732"/>
    </row>
    <row r="20" spans="1:34" x14ac:dyDescent="0.25">
      <c r="M20" s="4261"/>
      <c r="N20" s="759"/>
      <c r="O20" s="759"/>
      <c r="P20" s="759"/>
      <c r="Q20" s="759"/>
      <c r="R20" s="759"/>
      <c r="S20" s="759"/>
      <c r="U20" s="732"/>
      <c r="V20" s="732"/>
      <c r="W20" s="732"/>
      <c r="X20" s="732"/>
      <c r="Y20" s="732"/>
      <c r="Z20" s="732"/>
      <c r="AA20" s="732"/>
      <c r="AB20" s="732"/>
      <c r="AC20" s="732"/>
      <c r="AD20" s="732"/>
      <c r="AE20" s="732"/>
      <c r="AF20" s="732"/>
      <c r="AG20" s="732"/>
      <c r="AH20" s="732"/>
    </row>
    <row r="21" spans="1:34" x14ac:dyDescent="0.25">
      <c r="O21" s="766"/>
      <c r="P21" s="767"/>
      <c r="Q21" s="767"/>
      <c r="R21" s="767"/>
      <c r="S21" s="767"/>
      <c r="T21" s="767"/>
      <c r="U21" s="732"/>
      <c r="V21" s="732"/>
      <c r="W21" s="732"/>
      <c r="X21" s="732"/>
      <c r="Y21" s="732"/>
      <c r="Z21" s="732"/>
      <c r="AA21" s="732"/>
      <c r="AB21" s="732"/>
      <c r="AC21" s="732"/>
      <c r="AD21" s="732"/>
      <c r="AE21" s="732"/>
      <c r="AF21" s="732"/>
      <c r="AG21" s="732"/>
      <c r="AH21" s="732"/>
    </row>
    <row r="22" spans="1:34" x14ac:dyDescent="0.25">
      <c r="O22" s="766"/>
      <c r="P22" s="767"/>
      <c r="Q22" s="767"/>
      <c r="R22" s="767"/>
      <c r="S22" s="767"/>
      <c r="T22" s="767"/>
      <c r="U22" s="732"/>
      <c r="V22" s="732"/>
      <c r="W22" s="732"/>
      <c r="X22" s="732"/>
      <c r="Y22" s="732"/>
      <c r="Z22" s="732"/>
      <c r="AA22" s="732"/>
      <c r="AB22" s="732"/>
      <c r="AC22" s="732"/>
      <c r="AD22" s="732"/>
      <c r="AE22" s="732"/>
      <c r="AF22" s="732"/>
      <c r="AG22" s="732"/>
      <c r="AH22" s="732"/>
    </row>
    <row r="23" spans="1:34" x14ac:dyDescent="0.25">
      <c r="A23" s="727"/>
      <c r="B23" s="727"/>
      <c r="C23" s="727"/>
      <c r="O23" s="766"/>
      <c r="P23" s="767"/>
      <c r="Q23" s="767"/>
      <c r="R23" s="767"/>
      <c r="S23" s="767"/>
      <c r="T23" s="767"/>
      <c r="U23" s="732"/>
      <c r="V23" s="732"/>
      <c r="W23" s="732"/>
      <c r="X23" s="732"/>
      <c r="Y23" s="732"/>
      <c r="Z23" s="732"/>
      <c r="AA23" s="732"/>
      <c r="AB23" s="732"/>
      <c r="AC23" s="732"/>
      <c r="AD23" s="732"/>
      <c r="AE23" s="732"/>
      <c r="AF23" s="732"/>
      <c r="AG23" s="732"/>
      <c r="AH23" s="732"/>
    </row>
    <row r="24" spans="1:34" x14ac:dyDescent="0.25">
      <c r="A24" s="727"/>
      <c r="B24" s="727"/>
      <c r="C24" s="727"/>
      <c r="O24" s="766"/>
      <c r="P24" s="767"/>
      <c r="Q24" s="767"/>
      <c r="R24" s="767"/>
      <c r="S24" s="767"/>
      <c r="T24" s="767"/>
      <c r="U24" s="732"/>
      <c r="V24" s="732"/>
      <c r="W24" s="732"/>
      <c r="X24" s="732"/>
      <c r="Y24" s="732"/>
      <c r="Z24" s="732"/>
      <c r="AA24" s="732"/>
      <c r="AB24" s="732"/>
      <c r="AC24" s="732"/>
      <c r="AD24" s="732"/>
      <c r="AE24" s="732"/>
      <c r="AF24" s="732"/>
      <c r="AG24" s="732"/>
      <c r="AH24" s="732"/>
    </row>
    <row r="25" spans="1:34" x14ac:dyDescent="0.25">
      <c r="A25" s="727"/>
      <c r="B25" s="727"/>
      <c r="C25" s="727"/>
      <c r="O25" s="766"/>
      <c r="P25" s="767"/>
      <c r="Q25" s="767"/>
      <c r="R25" s="767"/>
      <c r="S25" s="767"/>
      <c r="T25" s="767"/>
      <c r="U25" s="732"/>
      <c r="V25" s="732"/>
      <c r="W25" s="732"/>
      <c r="X25" s="732"/>
      <c r="Y25" s="732"/>
      <c r="Z25" s="732"/>
      <c r="AA25" s="732"/>
      <c r="AB25" s="732"/>
      <c r="AC25" s="732"/>
      <c r="AD25" s="732"/>
      <c r="AE25" s="732"/>
      <c r="AF25" s="732"/>
      <c r="AG25" s="732"/>
      <c r="AH25" s="732"/>
    </row>
    <row r="26" spans="1:34" x14ac:dyDescent="0.25">
      <c r="A26" s="727"/>
      <c r="B26" s="727"/>
      <c r="C26" s="727"/>
      <c r="O26" s="787"/>
      <c r="P26" s="767"/>
      <c r="Q26" s="767"/>
      <c r="R26" s="767"/>
      <c r="S26" s="767"/>
      <c r="T26" s="767"/>
      <c r="V26" s="732"/>
      <c r="W26" s="732"/>
      <c r="X26" s="732"/>
      <c r="Y26" s="732"/>
      <c r="Z26" s="732"/>
      <c r="AA26" s="732"/>
      <c r="AB26" s="732"/>
      <c r="AC26" s="732"/>
      <c r="AD26" s="732"/>
      <c r="AE26" s="732"/>
      <c r="AF26" s="732"/>
      <c r="AG26" s="732"/>
      <c r="AH26" s="732"/>
    </row>
    <row r="27" spans="1:34" x14ac:dyDescent="0.25">
      <c r="A27" s="727"/>
      <c r="B27" s="727"/>
      <c r="C27" s="727"/>
      <c r="M27" s="787"/>
      <c r="V27" s="732"/>
      <c r="W27" s="732"/>
      <c r="X27" s="732"/>
      <c r="Y27" s="732"/>
      <c r="Z27" s="732"/>
      <c r="AA27" s="732"/>
      <c r="AB27" s="732"/>
      <c r="AC27" s="732"/>
      <c r="AD27" s="732"/>
      <c r="AE27" s="732"/>
      <c r="AF27" s="732"/>
      <c r="AG27" s="732"/>
      <c r="AH27" s="732"/>
    </row>
    <row r="28" spans="1:34" x14ac:dyDescent="0.25">
      <c r="A28" s="727"/>
      <c r="B28" s="727"/>
      <c r="C28" s="727"/>
      <c r="M28" s="787"/>
      <c r="V28" s="732"/>
      <c r="W28" s="732"/>
      <c r="X28" s="732"/>
      <c r="Y28" s="732"/>
      <c r="Z28" s="732"/>
      <c r="AA28" s="732"/>
      <c r="AB28" s="732"/>
      <c r="AC28" s="732"/>
      <c r="AD28" s="732"/>
      <c r="AE28" s="732"/>
      <c r="AF28" s="732"/>
      <c r="AG28" s="732"/>
      <c r="AH28" s="732"/>
    </row>
    <row r="29" spans="1:34" x14ac:dyDescent="0.25">
      <c r="A29" s="727"/>
      <c r="B29" s="727"/>
      <c r="C29" s="727"/>
      <c r="M29" s="787"/>
      <c r="V29" s="732"/>
      <c r="W29" s="732"/>
      <c r="X29" s="732"/>
      <c r="Y29" s="732"/>
      <c r="Z29" s="732"/>
      <c r="AA29" s="732"/>
      <c r="AB29" s="732"/>
      <c r="AC29" s="732"/>
      <c r="AD29" s="732"/>
      <c r="AE29" s="732"/>
      <c r="AF29" s="732"/>
      <c r="AG29" s="732"/>
      <c r="AH29" s="732"/>
    </row>
    <row r="30" spans="1:34" x14ac:dyDescent="0.25">
      <c r="A30" s="727"/>
      <c r="B30" s="727"/>
      <c r="C30" s="727"/>
      <c r="M30" s="787"/>
      <c r="V30" s="732"/>
      <c r="W30" s="732"/>
      <c r="X30" s="732"/>
      <c r="Y30" s="732"/>
      <c r="Z30" s="732"/>
      <c r="AA30" s="732"/>
      <c r="AB30" s="732"/>
      <c r="AC30" s="732"/>
      <c r="AD30" s="732"/>
      <c r="AE30" s="732"/>
      <c r="AF30" s="732"/>
      <c r="AG30" s="732"/>
      <c r="AH30" s="732"/>
    </row>
    <row r="31" spans="1:34" x14ac:dyDescent="0.25">
      <c r="A31" s="727"/>
      <c r="B31" s="727"/>
      <c r="C31" s="727"/>
      <c r="M31" s="787"/>
      <c r="V31" s="732"/>
      <c r="W31" s="732"/>
      <c r="X31" s="732"/>
      <c r="Y31" s="732"/>
      <c r="Z31" s="732"/>
      <c r="AA31" s="732"/>
      <c r="AB31" s="732"/>
      <c r="AC31" s="732"/>
      <c r="AD31" s="732"/>
      <c r="AE31" s="732"/>
      <c r="AF31" s="732"/>
      <c r="AG31" s="732"/>
      <c r="AH31" s="732"/>
    </row>
    <row r="32" spans="1:34" x14ac:dyDescent="0.25">
      <c r="A32" s="727"/>
      <c r="B32" s="727"/>
      <c r="C32" s="727"/>
      <c r="M32" s="787"/>
      <c r="V32" s="732"/>
      <c r="W32" s="732"/>
      <c r="X32" s="732"/>
      <c r="Y32" s="732"/>
      <c r="Z32" s="732"/>
      <c r="AA32" s="732"/>
      <c r="AB32" s="732"/>
      <c r="AC32" s="732"/>
      <c r="AD32" s="732"/>
      <c r="AE32" s="732"/>
      <c r="AF32" s="732"/>
      <c r="AG32" s="732"/>
      <c r="AH32" s="732"/>
    </row>
    <row r="33" spans="1:42" x14ac:dyDescent="0.25">
      <c r="A33" s="727"/>
      <c r="B33" s="727"/>
      <c r="C33" s="727"/>
      <c r="M33" s="787"/>
    </row>
    <row r="34" spans="1:42" x14ac:dyDescent="0.25">
      <c r="A34" s="727"/>
      <c r="B34" s="727"/>
      <c r="C34" s="727"/>
      <c r="M34" s="787"/>
    </row>
    <row r="35" spans="1:42" x14ac:dyDescent="0.25">
      <c r="A35" s="727"/>
      <c r="B35" s="727"/>
      <c r="C35" s="727"/>
      <c r="M35" s="787"/>
    </row>
    <row r="36" spans="1:42" x14ac:dyDescent="0.25">
      <c r="A36" s="727"/>
      <c r="B36" s="727"/>
      <c r="C36" s="727"/>
      <c r="M36" s="787"/>
    </row>
    <row r="37" spans="1:42" x14ac:dyDescent="0.25">
      <c r="A37" s="727"/>
      <c r="B37" s="727"/>
      <c r="C37" s="727"/>
      <c r="M37" s="4192"/>
    </row>
    <row r="38" spans="1:42" x14ac:dyDescent="0.25">
      <c r="A38" s="727"/>
      <c r="B38" s="727"/>
      <c r="C38" s="727"/>
      <c r="M38" s="787"/>
    </row>
    <row r="41" spans="1:42" s="722" customFormat="1" ht="14" x14ac:dyDescent="0.3">
      <c r="A41" s="723">
        <v>6</v>
      </c>
      <c r="B41" s="723" t="s">
        <v>58</v>
      </c>
      <c r="C41" s="723"/>
      <c r="D41" s="4733" t="s">
        <v>1734</v>
      </c>
      <c r="E41" s="4734"/>
      <c r="F41" s="4734"/>
      <c r="G41" s="4734"/>
      <c r="H41" s="4734"/>
      <c r="I41" s="4734"/>
      <c r="J41" s="4734"/>
      <c r="K41" s="4734"/>
      <c r="L41" s="4734"/>
      <c r="M41" s="4734"/>
      <c r="N41" s="4734"/>
      <c r="O41" s="4734"/>
      <c r="P41" s="4734"/>
      <c r="Q41" s="4734"/>
      <c r="R41" s="4734"/>
      <c r="S41" s="4734"/>
      <c r="T41" s="4734"/>
      <c r="U41" s="4734"/>
      <c r="V41" s="4734"/>
      <c r="W41" s="4734"/>
      <c r="X41" s="4734"/>
      <c r="Y41" s="4734"/>
      <c r="Z41" s="4734"/>
      <c r="AA41" s="4734"/>
      <c r="AB41" s="4734"/>
      <c r="AC41" s="4734"/>
      <c r="AD41" s="4734"/>
      <c r="AE41" s="4734"/>
      <c r="AF41" s="4734"/>
      <c r="AG41" s="4734"/>
      <c r="AH41" s="4734"/>
      <c r="AI41" s="4734"/>
      <c r="AJ41" s="4734"/>
      <c r="AK41" s="4734"/>
      <c r="AL41" s="4734"/>
      <c r="AM41" s="4734"/>
      <c r="AN41" s="4734"/>
      <c r="AO41" s="4734"/>
      <c r="AP41" s="4735"/>
    </row>
    <row r="42" spans="1:42" ht="66" customHeight="1" x14ac:dyDescent="0.25">
      <c r="A42" s="788">
        <v>7</v>
      </c>
      <c r="B42" s="723" t="s">
        <v>278</v>
      </c>
      <c r="C42" s="789"/>
      <c r="D42" s="4733" t="s">
        <v>1888</v>
      </c>
      <c r="E42" s="4734"/>
      <c r="F42" s="4734"/>
      <c r="G42" s="4734"/>
      <c r="H42" s="4734"/>
      <c r="I42" s="4734"/>
      <c r="J42" s="4734"/>
      <c r="K42" s="4734"/>
      <c r="L42" s="4734"/>
      <c r="M42" s="4734"/>
      <c r="N42" s="4734"/>
      <c r="O42" s="4734"/>
      <c r="P42" s="4734"/>
      <c r="Q42" s="4734"/>
      <c r="R42" s="4734"/>
      <c r="S42" s="4734"/>
      <c r="T42" s="4734"/>
      <c r="U42" s="4734"/>
      <c r="V42" s="4734"/>
      <c r="W42" s="4734"/>
      <c r="X42" s="4734"/>
      <c r="Y42" s="4734"/>
      <c r="Z42" s="4734"/>
      <c r="AA42" s="4734"/>
      <c r="AB42" s="4734"/>
      <c r="AC42" s="4734"/>
      <c r="AD42" s="4734"/>
      <c r="AE42" s="4734"/>
      <c r="AF42" s="4734"/>
      <c r="AG42" s="4734"/>
      <c r="AH42" s="4734"/>
      <c r="AI42" s="4734"/>
      <c r="AJ42" s="4734"/>
      <c r="AK42" s="4734"/>
      <c r="AL42" s="4734"/>
      <c r="AM42" s="4734"/>
      <c r="AN42" s="4734"/>
      <c r="AO42" s="4734"/>
      <c r="AP42" s="4735"/>
    </row>
    <row r="43" spans="1:42" s="722" customFormat="1" ht="31.9" customHeight="1" x14ac:dyDescent="0.3">
      <c r="A43" s="788">
        <v>8</v>
      </c>
      <c r="B43" s="723" t="s">
        <v>62</v>
      </c>
      <c r="C43" s="723"/>
      <c r="D43" s="4733" t="s">
        <v>1889</v>
      </c>
      <c r="E43" s="4734"/>
      <c r="F43" s="4734"/>
      <c r="G43" s="4734"/>
      <c r="H43" s="4734"/>
      <c r="I43" s="4734"/>
      <c r="J43" s="4734"/>
      <c r="K43" s="4734"/>
      <c r="L43" s="4734"/>
      <c r="M43" s="4734"/>
      <c r="N43" s="4734"/>
      <c r="O43" s="4734"/>
      <c r="P43" s="4734"/>
      <c r="Q43" s="4734"/>
      <c r="R43" s="4734"/>
      <c r="S43" s="4734"/>
      <c r="T43" s="4734"/>
      <c r="U43" s="4734"/>
      <c r="V43" s="4734"/>
      <c r="W43" s="4734"/>
      <c r="X43" s="4734"/>
      <c r="Y43" s="4734"/>
      <c r="Z43" s="4734"/>
      <c r="AA43" s="4734"/>
      <c r="AB43" s="4734"/>
      <c r="AC43" s="4734"/>
      <c r="AD43" s="4734"/>
      <c r="AE43" s="4734"/>
      <c r="AF43" s="4734"/>
      <c r="AG43" s="4734"/>
      <c r="AH43" s="4734"/>
      <c r="AI43" s="4734"/>
      <c r="AJ43" s="4734"/>
      <c r="AK43" s="4734"/>
      <c r="AL43" s="4734"/>
      <c r="AM43" s="4734"/>
      <c r="AN43" s="4734"/>
      <c r="AO43" s="4734"/>
      <c r="AP43" s="4735"/>
    </row>
    <row r="46" spans="1:42" x14ac:dyDescent="0.25">
      <c r="E46" s="4262"/>
      <c r="F46" s="4262"/>
      <c r="G46" s="4262"/>
      <c r="H46" s="4262"/>
      <c r="I46" s="4262"/>
      <c r="J46" s="4262"/>
      <c r="K46" s="4262"/>
      <c r="L46" s="4262"/>
      <c r="M46" s="4262"/>
      <c r="N46" s="4262"/>
      <c r="O46" s="4262"/>
      <c r="P46" s="4262"/>
      <c r="Q46" s="4262"/>
      <c r="R46" s="4262"/>
    </row>
    <row r="47" spans="1:42" x14ac:dyDescent="0.25">
      <c r="E47" s="4263">
        <v>2000</v>
      </c>
      <c r="F47" s="4263">
        <v>2001</v>
      </c>
      <c r="G47" s="4263">
        <v>2002</v>
      </c>
      <c r="H47" s="4263">
        <v>2003</v>
      </c>
      <c r="I47" s="4263">
        <v>2004</v>
      </c>
      <c r="J47" s="4263">
        <v>2005</v>
      </c>
      <c r="K47" s="4263">
        <v>2006</v>
      </c>
      <c r="L47" s="4263">
        <v>2007</v>
      </c>
      <c r="M47" s="4263">
        <v>2008</v>
      </c>
      <c r="N47" s="4263">
        <v>2009</v>
      </c>
      <c r="O47" s="4263">
        <v>2010</v>
      </c>
      <c r="P47" s="4263">
        <v>2011</v>
      </c>
      <c r="Q47" s="4263">
        <v>2012</v>
      </c>
      <c r="R47" s="4263">
        <v>2013</v>
      </c>
      <c r="S47" s="4263">
        <v>2014</v>
      </c>
      <c r="T47" s="4263">
        <v>2015</v>
      </c>
      <c r="U47" s="4263">
        <v>2016</v>
      </c>
      <c r="V47" s="4264">
        <v>2017</v>
      </c>
      <c r="W47" s="727">
        <v>2018</v>
      </c>
      <c r="X47" s="727">
        <v>2019</v>
      </c>
    </row>
    <row r="48" spans="1:42" ht="11.5" hidden="1" customHeight="1" x14ac:dyDescent="0.25">
      <c r="E48" s="4265"/>
      <c r="F48" s="4265"/>
      <c r="G48" s="4265"/>
      <c r="H48" s="4265"/>
      <c r="I48" s="4265"/>
      <c r="J48" s="4265"/>
      <c r="K48" s="4265"/>
      <c r="L48" s="4265"/>
      <c r="M48" s="4265"/>
      <c r="N48" s="4265"/>
      <c r="O48" s="4265"/>
      <c r="P48" s="4265"/>
      <c r="Q48" s="4265"/>
      <c r="R48" s="4265"/>
      <c r="V48" s="4266"/>
    </row>
    <row r="49" spans="4:22" ht="11.5" hidden="1" customHeight="1" x14ac:dyDescent="0.25">
      <c r="V49" s="4266"/>
    </row>
    <row r="50" spans="4:22" ht="11.5" hidden="1" customHeight="1" x14ac:dyDescent="0.25">
      <c r="V50" s="4266"/>
    </row>
    <row r="51" spans="4:22" ht="11.5" hidden="1" customHeight="1" x14ac:dyDescent="0.25">
      <c r="E51" s="727">
        <v>2000</v>
      </c>
      <c r="F51" s="727">
        <v>2001</v>
      </c>
      <c r="G51" s="727">
        <v>2002</v>
      </c>
      <c r="H51" s="727">
        <v>2003</v>
      </c>
      <c r="I51" s="727">
        <v>2004</v>
      </c>
      <c r="J51" s="727">
        <v>2005</v>
      </c>
      <c r="K51" s="727">
        <v>2006</v>
      </c>
      <c r="L51" s="727">
        <v>2007</v>
      </c>
      <c r="M51" s="727">
        <v>2008</v>
      </c>
      <c r="N51" s="727">
        <v>2009</v>
      </c>
      <c r="O51" s="727">
        <v>2010</v>
      </c>
      <c r="P51" s="727">
        <v>2011</v>
      </c>
      <c r="Q51" s="727">
        <v>2012</v>
      </c>
      <c r="R51" s="727">
        <v>2013</v>
      </c>
      <c r="S51" s="727">
        <v>2014</v>
      </c>
      <c r="V51" s="4266"/>
    </row>
    <row r="52" spans="4:22" ht="11.5" hidden="1" customHeight="1" x14ac:dyDescent="0.25">
      <c r="D52" s="727" t="s">
        <v>1884</v>
      </c>
      <c r="E52" s="727">
        <v>70</v>
      </c>
      <c r="F52" s="727">
        <v>64</v>
      </c>
      <c r="G52" s="727">
        <v>73</v>
      </c>
      <c r="H52" s="727">
        <v>74</v>
      </c>
      <c r="I52" s="727">
        <v>79</v>
      </c>
      <c r="J52" s="727">
        <v>73</v>
      </c>
      <c r="K52" s="727">
        <v>74</v>
      </c>
      <c r="L52" s="727">
        <v>65</v>
      </c>
      <c r="M52" s="727">
        <v>58</v>
      </c>
      <c r="N52" s="727">
        <v>59</v>
      </c>
      <c r="O52" s="727">
        <v>55</v>
      </c>
      <c r="P52" s="727">
        <v>50</v>
      </c>
      <c r="Q52" s="727">
        <v>52</v>
      </c>
      <c r="R52" s="727">
        <v>53</v>
      </c>
      <c r="S52" s="727">
        <v>56</v>
      </c>
      <c r="V52" s="4266"/>
    </row>
    <row r="53" spans="4:22" ht="11.5" hidden="1" customHeight="1" x14ac:dyDescent="0.25">
      <c r="D53" s="727" t="s">
        <v>1890</v>
      </c>
      <c r="I53" s="727">
        <v>10</v>
      </c>
      <c r="J53" s="727">
        <v>34</v>
      </c>
      <c r="K53" s="727">
        <v>2</v>
      </c>
      <c r="L53" s="727">
        <v>32</v>
      </c>
      <c r="M53" s="727">
        <v>27</v>
      </c>
      <c r="N53" s="727">
        <v>107</v>
      </c>
      <c r="O53" s="727">
        <v>111</v>
      </c>
      <c r="P53" s="727">
        <v>82</v>
      </c>
      <c r="Q53" s="727">
        <v>173</v>
      </c>
      <c r="R53" s="727">
        <v>155</v>
      </c>
      <c r="S53" s="727">
        <v>134</v>
      </c>
      <c r="V53" s="4266"/>
    </row>
    <row r="54" spans="4:22" ht="11.5" hidden="1" customHeight="1" x14ac:dyDescent="0.25">
      <c r="V54" s="4266"/>
    </row>
    <row r="55" spans="4:22" ht="11.5" hidden="1" customHeight="1" x14ac:dyDescent="0.25">
      <c r="V55" s="4266"/>
    </row>
    <row r="56" spans="4:22" ht="11.5" hidden="1" customHeight="1" x14ac:dyDescent="0.25">
      <c r="V56" s="4266"/>
    </row>
    <row r="57" spans="4:22" ht="11.5" hidden="1" customHeight="1" x14ac:dyDescent="0.25">
      <c r="V57" s="4266"/>
    </row>
    <row r="58" spans="4:22" ht="11.5" hidden="1" customHeight="1" x14ac:dyDescent="0.25">
      <c r="V58" s="4266"/>
    </row>
    <row r="59" spans="4:22" ht="11.5" hidden="1" customHeight="1" x14ac:dyDescent="0.25">
      <c r="V59" s="4266"/>
    </row>
    <row r="60" spans="4:22" ht="11.5" hidden="1" customHeight="1" x14ac:dyDescent="0.25">
      <c r="V60" s="4266"/>
    </row>
    <row r="61" spans="4:22" ht="11.5" hidden="1" customHeight="1" x14ac:dyDescent="0.25">
      <c r="V61" s="4266"/>
    </row>
    <row r="62" spans="4:22" ht="11.5" hidden="1" customHeight="1" x14ac:dyDescent="0.25">
      <c r="V62" s="4266"/>
    </row>
    <row r="63" spans="4:22" ht="11.5" hidden="1" customHeight="1" x14ac:dyDescent="0.25">
      <c r="V63" s="4266"/>
    </row>
    <row r="64" spans="4:22" ht="11.5" hidden="1" customHeight="1" x14ac:dyDescent="0.25">
      <c r="V64" s="4266"/>
    </row>
    <row r="65" spans="4:35" ht="11.5" hidden="1" customHeight="1" x14ac:dyDescent="0.25">
      <c r="V65" s="4266"/>
    </row>
    <row r="66" spans="4:35" ht="11.5" hidden="1" customHeight="1" x14ac:dyDescent="0.25">
      <c r="V66" s="4266"/>
    </row>
    <row r="67" spans="4:35" ht="11.5" hidden="1" customHeight="1" x14ac:dyDescent="0.25">
      <c r="V67" s="4266"/>
    </row>
    <row r="68" spans="4:35" ht="11.5" hidden="1" customHeight="1" x14ac:dyDescent="0.25">
      <c r="V68" s="4266"/>
    </row>
    <row r="69" spans="4:35" ht="11.5" hidden="1" customHeight="1" x14ac:dyDescent="0.25">
      <c r="V69" s="4266"/>
    </row>
    <row r="70" spans="4:35" ht="11.5" hidden="1" customHeight="1" x14ac:dyDescent="0.25">
      <c r="V70" s="4266"/>
    </row>
    <row r="71" spans="4:35" ht="11.5" hidden="1" customHeight="1" x14ac:dyDescent="0.25">
      <c r="V71" s="4266"/>
    </row>
    <row r="72" spans="4:35" ht="12" hidden="1" customHeight="1" x14ac:dyDescent="0.25">
      <c r="D72" s="4071"/>
      <c r="E72" s="5096">
        <v>2000</v>
      </c>
      <c r="F72" s="5097"/>
      <c r="G72" s="5096">
        <v>2001</v>
      </c>
      <c r="H72" s="5097"/>
      <c r="I72" s="5096">
        <v>2002</v>
      </c>
      <c r="J72" s="5097"/>
      <c r="K72" s="5096">
        <v>2003</v>
      </c>
      <c r="L72" s="5097"/>
      <c r="M72" s="5096">
        <v>2004</v>
      </c>
      <c r="N72" s="5097"/>
      <c r="O72" s="5096">
        <v>2005</v>
      </c>
      <c r="P72" s="5097"/>
      <c r="Q72" s="5096">
        <v>2006</v>
      </c>
      <c r="R72" s="5097"/>
      <c r="S72" s="5098">
        <v>2007</v>
      </c>
      <c r="T72" s="5097"/>
      <c r="U72" s="4071">
        <v>2008</v>
      </c>
      <c r="V72" s="4267">
        <v>2008</v>
      </c>
      <c r="W72" s="4268"/>
      <c r="X72" s="5096">
        <v>2009</v>
      </c>
      <c r="Y72" s="5097"/>
      <c r="Z72" s="5096">
        <v>2010</v>
      </c>
      <c r="AA72" s="5097"/>
      <c r="AB72" s="5096">
        <v>2011</v>
      </c>
      <c r="AC72" s="5097"/>
      <c r="AD72" s="5096">
        <v>2011</v>
      </c>
      <c r="AE72" s="5097"/>
      <c r="AF72" s="5096">
        <v>2011</v>
      </c>
      <c r="AG72" s="5097"/>
      <c r="AH72" s="5096">
        <v>2012</v>
      </c>
      <c r="AI72" s="5097"/>
    </row>
    <row r="73" spans="4:35" ht="11.5" hidden="1" customHeight="1" x14ac:dyDescent="0.25">
      <c r="D73" s="3992"/>
      <c r="E73" s="4269" t="s">
        <v>934</v>
      </c>
      <c r="F73" s="4270" t="s">
        <v>939</v>
      </c>
      <c r="G73" s="4269" t="s">
        <v>934</v>
      </c>
      <c r="H73" s="4270" t="s">
        <v>939</v>
      </c>
      <c r="I73" s="4269" t="s">
        <v>934</v>
      </c>
      <c r="J73" s="4270" t="s">
        <v>939</v>
      </c>
      <c r="K73" s="4269" t="s">
        <v>934</v>
      </c>
      <c r="L73" s="4270" t="s">
        <v>939</v>
      </c>
      <c r="M73" s="4269" t="s">
        <v>934</v>
      </c>
      <c r="N73" s="4270" t="s">
        <v>939</v>
      </c>
      <c r="O73" s="4269" t="s">
        <v>934</v>
      </c>
      <c r="P73" s="4270" t="s">
        <v>939</v>
      </c>
      <c r="Q73" s="4269" t="s">
        <v>934</v>
      </c>
      <c r="R73" s="4270" t="s">
        <v>939</v>
      </c>
      <c r="S73" s="4269" t="s">
        <v>934</v>
      </c>
      <c r="T73" s="4270" t="s">
        <v>939</v>
      </c>
      <c r="U73" s="4269" t="s">
        <v>934</v>
      </c>
      <c r="V73" s="4271" t="s">
        <v>934</v>
      </c>
      <c r="W73" s="4270" t="s">
        <v>939</v>
      </c>
      <c r="X73" s="4269" t="s">
        <v>934</v>
      </c>
      <c r="Y73" s="4270" t="s">
        <v>1334</v>
      </c>
      <c r="Z73" s="4269" t="s">
        <v>1315</v>
      </c>
      <c r="AA73" s="4270" t="s">
        <v>939</v>
      </c>
      <c r="AB73" s="4269" t="s">
        <v>934</v>
      </c>
      <c r="AC73" s="4270" t="s">
        <v>939</v>
      </c>
      <c r="AD73" s="4269" t="s">
        <v>934</v>
      </c>
      <c r="AE73" s="4270" t="s">
        <v>939</v>
      </c>
      <c r="AF73" s="4269" t="s">
        <v>934</v>
      </c>
      <c r="AG73" s="4270" t="s">
        <v>939</v>
      </c>
      <c r="AH73" s="4269" t="s">
        <v>934</v>
      </c>
      <c r="AI73" s="4270" t="s">
        <v>939</v>
      </c>
    </row>
    <row r="74" spans="4:35" ht="11.5" hidden="1" customHeight="1" x14ac:dyDescent="0.25">
      <c r="D74" s="4253" t="s">
        <v>1884</v>
      </c>
      <c r="E74" s="4254">
        <v>72</v>
      </c>
      <c r="F74" s="4255">
        <v>67</v>
      </c>
      <c r="G74" s="4254">
        <v>65</v>
      </c>
      <c r="H74" s="4255">
        <v>63</v>
      </c>
      <c r="I74" s="4254">
        <v>74</v>
      </c>
      <c r="J74" s="4255">
        <v>71</v>
      </c>
      <c r="K74" s="4254">
        <v>75</v>
      </c>
      <c r="L74" s="4255">
        <v>72</v>
      </c>
      <c r="M74" s="4254">
        <v>81</v>
      </c>
      <c r="N74" s="4255">
        <v>77</v>
      </c>
      <c r="O74" s="4254">
        <v>73</v>
      </c>
      <c r="P74" s="4255">
        <v>73</v>
      </c>
      <c r="Q74" s="4254">
        <v>76</v>
      </c>
      <c r="R74" s="4255">
        <v>72</v>
      </c>
      <c r="S74" s="4254">
        <v>68</v>
      </c>
      <c r="T74" s="4255">
        <v>62</v>
      </c>
      <c r="U74" s="4254">
        <v>58</v>
      </c>
      <c r="V74" s="4272">
        <v>58</v>
      </c>
      <c r="W74" s="4255">
        <v>58</v>
      </c>
      <c r="X74" s="4254">
        <v>61</v>
      </c>
      <c r="Y74" s="4255">
        <v>57</v>
      </c>
      <c r="Z74" s="4254">
        <v>56.8</v>
      </c>
      <c r="AA74" s="4255">
        <v>54</v>
      </c>
      <c r="AB74" s="4254">
        <v>48</v>
      </c>
      <c r="AC74" s="4255">
        <v>51</v>
      </c>
      <c r="AD74" s="4254">
        <v>48</v>
      </c>
      <c r="AE74" s="4255">
        <v>51</v>
      </c>
      <c r="AF74" s="4254">
        <v>48</v>
      </c>
      <c r="AG74" s="4255">
        <v>51</v>
      </c>
      <c r="AH74" s="4254">
        <v>53.5</v>
      </c>
      <c r="AI74" s="4255"/>
    </row>
    <row r="75" spans="4:35" ht="11.5" hidden="1" customHeight="1" x14ac:dyDescent="0.25">
      <c r="E75" s="727">
        <f>+AVERAGE(E74:F74)</f>
        <v>69.5</v>
      </c>
      <c r="G75" s="727">
        <f>+AVERAGE(G74:H74)</f>
        <v>64</v>
      </c>
      <c r="I75" s="727">
        <f>+AVERAGE(I74:J74)</f>
        <v>72.5</v>
      </c>
      <c r="K75" s="727">
        <f>+AVERAGE(K74:L74)</f>
        <v>73.5</v>
      </c>
      <c r="M75" s="727">
        <f>+AVERAGE(M74:N74)</f>
        <v>79</v>
      </c>
      <c r="O75" s="727">
        <f>+AVERAGE(O74:P74)</f>
        <v>73</v>
      </c>
      <c r="Q75" s="727">
        <f>+AVERAGE(Q74:R74)</f>
        <v>74</v>
      </c>
      <c r="S75" s="727">
        <f>+AVERAGE(S74:T74)</f>
        <v>65</v>
      </c>
      <c r="U75" s="727">
        <f>+AVERAGE(U74:V74)</f>
        <v>58</v>
      </c>
      <c r="V75" s="4266">
        <f>+AVERAGE(V74:W74)</f>
        <v>58</v>
      </c>
      <c r="X75" s="727">
        <f>+AVERAGE(X74:Y74)</f>
        <v>59</v>
      </c>
      <c r="Z75" s="727">
        <f>+AVERAGE(Z74:AA74)</f>
        <v>55.4</v>
      </c>
      <c r="AB75" s="727">
        <f>+AVERAGE(AB74:AC74)</f>
        <v>49.5</v>
      </c>
      <c r="AD75" s="727">
        <f>+AVERAGE(AD74:AE74)</f>
        <v>49.5</v>
      </c>
      <c r="AF75" s="727">
        <f>+AVERAGE(AF74:AG74)</f>
        <v>49.5</v>
      </c>
      <c r="AH75" s="727">
        <f>+AVERAGE(AH74:AI74)</f>
        <v>53.5</v>
      </c>
    </row>
    <row r="76" spans="4:35" ht="11.5" hidden="1" customHeight="1" x14ac:dyDescent="0.25">
      <c r="V76" s="4266"/>
    </row>
    <row r="77" spans="4:35" ht="11.5" hidden="1" customHeight="1" x14ac:dyDescent="0.25">
      <c r="V77" s="4266"/>
    </row>
    <row r="78" spans="4:35" ht="11.5" hidden="1" customHeight="1" x14ac:dyDescent="0.25">
      <c r="V78" s="4266"/>
    </row>
    <row r="79" spans="4:35" ht="11.5" hidden="1" customHeight="1" x14ac:dyDescent="0.25">
      <c r="V79" s="4266"/>
    </row>
    <row r="80" spans="4:35" ht="11.5" hidden="1" customHeight="1" x14ac:dyDescent="0.25">
      <c r="V80" s="4266"/>
    </row>
    <row r="81" spans="5:24" x14ac:dyDescent="0.25">
      <c r="E81" s="3107">
        <v>69.5</v>
      </c>
      <c r="F81" s="4258">
        <v>64</v>
      </c>
      <c r="G81" s="3107">
        <v>72.5</v>
      </c>
      <c r="H81" s="4258">
        <v>73.5</v>
      </c>
      <c r="I81" s="3107">
        <v>79</v>
      </c>
      <c r="J81" s="4258">
        <v>73</v>
      </c>
      <c r="K81" s="3107">
        <v>74</v>
      </c>
      <c r="L81" s="4258">
        <v>65</v>
      </c>
      <c r="M81" s="3107">
        <v>58</v>
      </c>
      <c r="N81" s="4258">
        <v>59</v>
      </c>
      <c r="O81" s="3107">
        <v>55.4</v>
      </c>
      <c r="P81" s="4258">
        <v>49.5</v>
      </c>
      <c r="Q81" s="3107">
        <v>52.25</v>
      </c>
      <c r="R81" s="4258">
        <v>53</v>
      </c>
      <c r="S81" s="3107">
        <v>56</v>
      </c>
      <c r="T81" s="4258">
        <v>50.5</v>
      </c>
      <c r="U81" s="3107">
        <v>48</v>
      </c>
      <c r="V81" s="4273">
        <v>46</v>
      </c>
      <c r="W81" s="727">
        <v>52</v>
      </c>
      <c r="X81" s="727">
        <v>49</v>
      </c>
    </row>
    <row r="82" spans="5:24" x14ac:dyDescent="0.25">
      <c r="I82" s="3107">
        <v>10</v>
      </c>
      <c r="J82" s="3107">
        <v>34</v>
      </c>
      <c r="K82" s="3107">
        <v>2</v>
      </c>
      <c r="L82" s="3107">
        <v>32</v>
      </c>
      <c r="M82" s="3107">
        <v>27</v>
      </c>
      <c r="N82" s="3107">
        <v>107</v>
      </c>
      <c r="O82" s="3107">
        <v>111</v>
      </c>
      <c r="P82" s="3107">
        <v>82</v>
      </c>
      <c r="Q82" s="3107">
        <v>173</v>
      </c>
      <c r="R82" s="3107">
        <v>155</v>
      </c>
      <c r="S82" s="3107">
        <v>191</v>
      </c>
      <c r="T82" s="3107">
        <v>164</v>
      </c>
      <c r="U82" s="3107">
        <v>137</v>
      </c>
      <c r="V82" s="4273">
        <v>173</v>
      </c>
      <c r="W82" s="727">
        <v>237</v>
      </c>
      <c r="X82" s="727">
        <v>218</v>
      </c>
    </row>
    <row r="83" spans="5:24" x14ac:dyDescent="0.25">
      <c r="I83" s="3107"/>
      <c r="J83" s="3107"/>
      <c r="K83" s="3107"/>
      <c r="L83" s="3107"/>
      <c r="M83" s="3107"/>
      <c r="N83" s="3107"/>
      <c r="O83" s="3107"/>
      <c r="P83" s="3107"/>
      <c r="Q83" s="3107"/>
      <c r="R83" s="3107"/>
      <c r="S83" s="3107"/>
      <c r="T83" s="3107"/>
      <c r="U83" s="3107"/>
      <c r="V83" s="4273"/>
    </row>
    <row r="84" spans="5:24" x14ac:dyDescent="0.25">
      <c r="I84" s="3107"/>
      <c r="J84" s="3107"/>
      <c r="K84" s="3107"/>
      <c r="L84" s="3107"/>
      <c r="M84" s="3107"/>
      <c r="N84" s="3107"/>
      <c r="O84" s="3107"/>
      <c r="P84" s="3107"/>
      <c r="Q84" s="3107"/>
      <c r="R84" s="3107"/>
    </row>
    <row r="85" spans="5:24" x14ac:dyDescent="0.25">
      <c r="E85" s="4274"/>
      <c r="F85" s="4274"/>
      <c r="G85" s="4274"/>
      <c r="H85" s="4274"/>
      <c r="I85" s="4274"/>
      <c r="J85" s="4274"/>
      <c r="K85" s="4274"/>
      <c r="L85" s="4274"/>
      <c r="M85" s="4274"/>
      <c r="N85" s="4274"/>
      <c r="O85" s="4274"/>
      <c r="P85" s="4274"/>
      <c r="Q85" s="4274"/>
      <c r="R85" s="4274"/>
      <c r="S85" s="4275"/>
      <c r="T85" s="4275"/>
      <c r="U85" s="732"/>
    </row>
    <row r="86" spans="5:24" x14ac:dyDescent="0.25">
      <c r="E86" s="732"/>
      <c r="F86" s="4276" t="s">
        <v>1891</v>
      </c>
      <c r="G86" s="732"/>
      <c r="H86" s="732"/>
      <c r="I86" s="732"/>
      <c r="J86" s="732"/>
      <c r="K86" s="732"/>
      <c r="L86" s="732"/>
      <c r="M86" s="732"/>
      <c r="N86" s="732"/>
      <c r="O86" s="732"/>
      <c r="P86" s="732"/>
      <c r="Q86" s="732"/>
      <c r="R86" s="732"/>
      <c r="S86" s="732"/>
      <c r="T86" s="732"/>
      <c r="U86" s="732"/>
    </row>
    <row r="87" spans="5:24" x14ac:dyDescent="0.25">
      <c r="E87" s="732"/>
      <c r="F87" s="732"/>
      <c r="G87" s="732"/>
      <c r="H87" s="732"/>
      <c r="I87" s="732"/>
      <c r="J87" s="732"/>
      <c r="K87" s="732"/>
      <c r="L87" s="732"/>
      <c r="M87" s="732"/>
      <c r="N87" s="732"/>
      <c r="O87" s="732"/>
      <c r="P87" s="732"/>
      <c r="Q87" s="732"/>
      <c r="R87" s="732"/>
      <c r="S87" s="732"/>
      <c r="T87" s="732"/>
      <c r="U87" s="732"/>
    </row>
    <row r="88" spans="5:24" x14ac:dyDescent="0.25">
      <c r="G88" s="5099" t="s">
        <v>942</v>
      </c>
      <c r="H88" s="5100"/>
      <c r="I88" s="4983">
        <v>2014</v>
      </c>
      <c r="J88" s="4984"/>
      <c r="K88" s="4983">
        <v>2015</v>
      </c>
      <c r="L88" s="4984"/>
      <c r="M88" s="4983">
        <v>2016</v>
      </c>
      <c r="N88" s="4984"/>
      <c r="O88" s="4983">
        <v>2017</v>
      </c>
      <c r="P88" s="4984"/>
      <c r="Q88" s="4983">
        <v>2018</v>
      </c>
      <c r="R88" s="4984"/>
      <c r="S88" s="4983">
        <v>2019</v>
      </c>
      <c r="T88" s="4984"/>
    </row>
    <row r="89" spans="5:24" x14ac:dyDescent="0.25">
      <c r="G89" s="5101"/>
      <c r="H89" s="5102"/>
      <c r="I89" s="3336" t="s">
        <v>934</v>
      </c>
      <c r="J89" s="3336" t="s">
        <v>939</v>
      </c>
      <c r="K89" s="3336" t="s">
        <v>934</v>
      </c>
      <c r="L89" s="3336" t="s">
        <v>939</v>
      </c>
      <c r="M89" s="3336" t="s">
        <v>1315</v>
      </c>
      <c r="N89" s="3336" t="s">
        <v>939</v>
      </c>
      <c r="O89" s="3336" t="s">
        <v>1315</v>
      </c>
      <c r="P89" s="3336" t="s">
        <v>939</v>
      </c>
      <c r="Q89" s="3336" t="s">
        <v>1315</v>
      </c>
      <c r="R89" s="3336" t="s">
        <v>939</v>
      </c>
      <c r="S89" s="3336" t="s">
        <v>1315</v>
      </c>
      <c r="T89" s="3336" t="s">
        <v>939</v>
      </c>
    </row>
    <row r="90" spans="5:24" x14ac:dyDescent="0.25">
      <c r="G90" s="3336" t="s">
        <v>402</v>
      </c>
      <c r="H90" s="3336"/>
      <c r="I90" s="4277">
        <v>54.01</v>
      </c>
      <c r="J90" s="4277">
        <v>56.17</v>
      </c>
      <c r="K90" s="4277">
        <v>51.58</v>
      </c>
      <c r="L90" s="4277">
        <v>43.01</v>
      </c>
      <c r="M90" s="4277">
        <v>38.35</v>
      </c>
      <c r="N90" s="4277">
        <v>40.299999999999997</v>
      </c>
      <c r="O90" s="4277">
        <v>41.74</v>
      </c>
      <c r="P90" s="4277">
        <v>39.22</v>
      </c>
      <c r="Q90" s="4277">
        <v>54.85</v>
      </c>
      <c r="R90" s="4277">
        <v>58.62</v>
      </c>
      <c r="S90" s="4278">
        <v>53</v>
      </c>
      <c r="T90" s="4278">
        <v>57</v>
      </c>
    </row>
    <row r="91" spans="5:24" x14ac:dyDescent="0.25">
      <c r="G91" s="3336" t="s">
        <v>404</v>
      </c>
      <c r="H91" s="3336"/>
      <c r="I91" s="4277">
        <v>65.099999999999994</v>
      </c>
      <c r="J91" s="4277">
        <v>59.48</v>
      </c>
      <c r="K91" s="4277">
        <v>59.03</v>
      </c>
      <c r="L91" s="4277">
        <v>47.37</v>
      </c>
      <c r="M91" s="4277">
        <v>44.48</v>
      </c>
      <c r="N91" s="4277">
        <v>50</v>
      </c>
      <c r="O91" s="4277">
        <v>45.65</v>
      </c>
      <c r="P91" s="4277">
        <v>23.71</v>
      </c>
      <c r="Q91" s="4277">
        <v>53.52</v>
      </c>
      <c r="R91" s="4277">
        <v>41.77</v>
      </c>
      <c r="S91" s="4278">
        <v>56</v>
      </c>
      <c r="T91" s="4278">
        <v>39</v>
      </c>
    </row>
    <row r="92" spans="5:24" x14ac:dyDescent="0.25">
      <c r="G92" s="3336" t="s">
        <v>407</v>
      </c>
      <c r="H92" s="3336"/>
      <c r="I92" s="4277">
        <v>51.81</v>
      </c>
      <c r="J92" s="4277">
        <v>56.6</v>
      </c>
      <c r="K92" s="4277">
        <v>56.21</v>
      </c>
      <c r="L92" s="4277">
        <v>59.19</v>
      </c>
      <c r="M92" s="4277">
        <v>56.12</v>
      </c>
      <c r="N92" s="4277">
        <v>56.48</v>
      </c>
      <c r="O92" s="4277">
        <v>62.23</v>
      </c>
      <c r="P92" s="4277">
        <v>41.57</v>
      </c>
      <c r="Q92" s="4277">
        <v>54.1</v>
      </c>
      <c r="R92" s="4277">
        <v>55.8</v>
      </c>
      <c r="S92" s="4278">
        <v>58</v>
      </c>
      <c r="T92" s="4278">
        <v>54</v>
      </c>
    </row>
    <row r="93" spans="5:24" x14ac:dyDescent="0.25">
      <c r="G93" s="3336" t="s">
        <v>1324</v>
      </c>
      <c r="H93" s="3336"/>
      <c r="I93" s="4277">
        <v>59.68</v>
      </c>
      <c r="J93" s="4277">
        <v>65.39</v>
      </c>
      <c r="K93" s="4277">
        <v>54.8</v>
      </c>
      <c r="L93" s="4277">
        <v>41.12</v>
      </c>
      <c r="M93" s="4277">
        <v>45.76</v>
      </c>
      <c r="N93" s="4277">
        <v>40.43</v>
      </c>
      <c r="O93" s="4277">
        <v>42.24</v>
      </c>
      <c r="P93" s="4277">
        <v>60.77</v>
      </c>
      <c r="Q93" s="4277">
        <v>37.200000000000003</v>
      </c>
      <c r="R93" s="4277">
        <v>44.83</v>
      </c>
      <c r="S93" s="4278">
        <v>33</v>
      </c>
      <c r="T93" s="4278">
        <v>43</v>
      </c>
    </row>
    <row r="94" spans="5:24" x14ac:dyDescent="0.25">
      <c r="G94" s="3336" t="s">
        <v>409</v>
      </c>
      <c r="H94" s="3336"/>
      <c r="I94" s="4277">
        <v>77.66</v>
      </c>
      <c r="J94" s="4277">
        <v>41.58</v>
      </c>
      <c r="K94" s="4277">
        <v>49.54</v>
      </c>
      <c r="L94" s="4277">
        <v>41.16</v>
      </c>
      <c r="M94" s="4277">
        <v>36.57</v>
      </c>
      <c r="N94" s="4277">
        <v>63.89</v>
      </c>
      <c r="O94" s="4277">
        <v>40.340000000000003</v>
      </c>
      <c r="P94" s="4277">
        <v>39.31</v>
      </c>
      <c r="Q94" s="4277">
        <v>38.68</v>
      </c>
      <c r="R94" s="4277">
        <v>44.41</v>
      </c>
      <c r="S94" s="4278">
        <v>41</v>
      </c>
      <c r="T94" s="4278">
        <v>50</v>
      </c>
    </row>
    <row r="95" spans="5:24" x14ac:dyDescent="0.25">
      <c r="G95" s="3336" t="s">
        <v>408</v>
      </c>
      <c r="H95" s="3336"/>
      <c r="I95" s="4277">
        <v>51.8</v>
      </c>
      <c r="J95" s="4277">
        <v>55.63</v>
      </c>
      <c r="K95" s="4277">
        <v>48.4</v>
      </c>
      <c r="L95" s="4277">
        <v>58.96</v>
      </c>
      <c r="M95" s="4277">
        <v>47.32</v>
      </c>
      <c r="N95" s="4277">
        <v>43.81</v>
      </c>
      <c r="O95" s="4277">
        <v>39.049999999999997</v>
      </c>
      <c r="P95" s="4277">
        <v>40.31</v>
      </c>
      <c r="Q95" s="4277">
        <v>55.81</v>
      </c>
      <c r="R95" s="4277">
        <v>67.83</v>
      </c>
      <c r="S95" s="4278">
        <v>32</v>
      </c>
      <c r="T95" s="4278">
        <v>58</v>
      </c>
    </row>
    <row r="96" spans="5:24" x14ac:dyDescent="0.25">
      <c r="G96" s="3336" t="s">
        <v>406</v>
      </c>
      <c r="H96" s="3336"/>
      <c r="I96" s="4277">
        <v>59.01</v>
      </c>
      <c r="J96" s="4277">
        <v>73.34</v>
      </c>
      <c r="K96" s="4277">
        <v>53.97</v>
      </c>
      <c r="L96" s="4277">
        <v>56.28</v>
      </c>
      <c r="M96" s="4277">
        <v>47.15</v>
      </c>
      <c r="N96" s="4277">
        <v>44.64</v>
      </c>
      <c r="O96" s="4277">
        <v>39</v>
      </c>
      <c r="P96" s="4277">
        <v>60.24</v>
      </c>
      <c r="Q96" s="4277">
        <v>65.47</v>
      </c>
      <c r="R96" s="4277">
        <v>48.74</v>
      </c>
      <c r="S96" s="4278">
        <v>38</v>
      </c>
      <c r="T96" s="4278">
        <v>32</v>
      </c>
    </row>
    <row r="97" spans="7:20" x14ac:dyDescent="0.25">
      <c r="G97" s="3336" t="s">
        <v>403</v>
      </c>
      <c r="H97" s="3336"/>
      <c r="I97" s="4277">
        <v>48.96</v>
      </c>
      <c r="J97" s="4277">
        <v>30.67</v>
      </c>
      <c r="K97" s="4277">
        <v>71.44</v>
      </c>
      <c r="L97" s="4277">
        <v>42.59</v>
      </c>
      <c r="M97" s="4277">
        <v>34.880000000000003</v>
      </c>
      <c r="N97" s="4277">
        <v>27.78</v>
      </c>
      <c r="O97" s="4277">
        <v>25.88</v>
      </c>
      <c r="P97" s="4277">
        <v>40.46</v>
      </c>
      <c r="Q97" s="4277">
        <v>21.47</v>
      </c>
      <c r="R97" s="4277">
        <v>84.95</v>
      </c>
      <c r="S97" s="4278">
        <v>28</v>
      </c>
      <c r="T97" s="4278">
        <v>47</v>
      </c>
    </row>
    <row r="98" spans="7:20" x14ac:dyDescent="0.25">
      <c r="G98" s="3336" t="s">
        <v>401</v>
      </c>
      <c r="H98" s="3336"/>
      <c r="I98" s="4277">
        <v>42.53</v>
      </c>
      <c r="J98" s="4277">
        <v>37.409999999999997</v>
      </c>
      <c r="K98" s="4277">
        <v>37.299999999999997</v>
      </c>
      <c r="L98" s="4277">
        <v>35.53</v>
      </c>
      <c r="M98" s="4277">
        <v>46.49</v>
      </c>
      <c r="N98" s="4277">
        <v>44.74</v>
      </c>
      <c r="O98" s="4277">
        <v>48.49</v>
      </c>
      <c r="P98" s="4277">
        <v>34.96</v>
      </c>
      <c r="Q98" s="4277">
        <v>68.02</v>
      </c>
      <c r="R98" s="4277">
        <v>57.72</v>
      </c>
      <c r="S98" s="4278">
        <v>56</v>
      </c>
      <c r="T98" s="4278">
        <v>59</v>
      </c>
    </row>
    <row r="99" spans="7:20" x14ac:dyDescent="0.25">
      <c r="G99" s="4276"/>
      <c r="H99" s="4276"/>
      <c r="I99" s="4279"/>
      <c r="J99" s="4279"/>
      <c r="K99" s="4279"/>
      <c r="L99" s="4279"/>
      <c r="M99" s="4279"/>
      <c r="N99" s="4279"/>
      <c r="O99" s="4279"/>
      <c r="P99" s="4279"/>
      <c r="Q99" s="4279"/>
      <c r="R99" s="4279"/>
    </row>
    <row r="100" spans="7:20" x14ac:dyDescent="0.25">
      <c r="G100" s="4276"/>
      <c r="H100" s="4276"/>
      <c r="I100" s="4279"/>
      <c r="J100" s="4279"/>
      <c r="K100" s="4279"/>
      <c r="L100" s="4279"/>
      <c r="M100" s="4279"/>
      <c r="N100" s="4279"/>
      <c r="O100" s="4279"/>
      <c r="P100" s="4279"/>
      <c r="Q100" s="4279"/>
      <c r="R100" s="4279"/>
    </row>
  </sheetData>
  <mergeCells count="87">
    <mergeCell ref="AA7:AB7"/>
    <mergeCell ref="W12:X12"/>
    <mergeCell ref="D2:AP2"/>
    <mergeCell ref="D3:AP3"/>
    <mergeCell ref="D4:AP4"/>
    <mergeCell ref="E7:F7"/>
    <mergeCell ref="G7:H7"/>
    <mergeCell ref="I7:J7"/>
    <mergeCell ref="K7:L7"/>
    <mergeCell ref="M7:N7"/>
    <mergeCell ref="O7:P7"/>
    <mergeCell ref="Q7:R7"/>
    <mergeCell ref="AO7:AP7"/>
    <mergeCell ref="S7:T7"/>
    <mergeCell ref="U7:V7"/>
    <mergeCell ref="W7:X7"/>
    <mergeCell ref="Y7:Z7"/>
    <mergeCell ref="AI12:AJ12"/>
    <mergeCell ref="AQ7:AR7"/>
    <mergeCell ref="E12:F12"/>
    <mergeCell ref="G12:H12"/>
    <mergeCell ref="I12:J12"/>
    <mergeCell ref="K12:L12"/>
    <mergeCell ref="M12:N12"/>
    <mergeCell ref="O12:P12"/>
    <mergeCell ref="Q12:R12"/>
    <mergeCell ref="S12:T12"/>
    <mergeCell ref="U12:V12"/>
    <mergeCell ref="AE7:AF7"/>
    <mergeCell ref="AG7:AH7"/>
    <mergeCell ref="AI7:AJ7"/>
    <mergeCell ref="AK7:AL7"/>
    <mergeCell ref="AM7:AN7"/>
    <mergeCell ref="AC7:AD7"/>
    <mergeCell ref="AG12:AH12"/>
    <mergeCell ref="D43:AP43"/>
    <mergeCell ref="AA13:AB13"/>
    <mergeCell ref="AC13:AD13"/>
    <mergeCell ref="AE13:AF13"/>
    <mergeCell ref="AG13:AH13"/>
    <mergeCell ref="AI13:AJ13"/>
    <mergeCell ref="AK13:AL13"/>
    <mergeCell ref="O13:P13"/>
    <mergeCell ref="Q13:R13"/>
    <mergeCell ref="S13:T13"/>
    <mergeCell ref="U13:V13"/>
    <mergeCell ref="W13:X13"/>
    <mergeCell ref="Y12:Z12"/>
    <mergeCell ref="AA12:AB12"/>
    <mergeCell ref="AQ13:AR13"/>
    <mergeCell ref="AO12:AP12"/>
    <mergeCell ref="AQ12:AR12"/>
    <mergeCell ref="D41:AP41"/>
    <mergeCell ref="AK12:AL12"/>
    <mergeCell ref="AM12:AN12"/>
    <mergeCell ref="AC12:AD12"/>
    <mergeCell ref="AE12:AF12"/>
    <mergeCell ref="G13:H13"/>
    <mergeCell ref="K13:L13"/>
    <mergeCell ref="M13:N13"/>
    <mergeCell ref="Y13:Z13"/>
    <mergeCell ref="E13:F13"/>
    <mergeCell ref="I13:J13"/>
    <mergeCell ref="AM13:AN13"/>
    <mergeCell ref="G88:H89"/>
    <mergeCell ref="I88:J88"/>
    <mergeCell ref="K88:L88"/>
    <mergeCell ref="M88:N88"/>
    <mergeCell ref="D42:AP42"/>
    <mergeCell ref="O72:P72"/>
    <mergeCell ref="O88:P88"/>
    <mergeCell ref="Z72:AA72"/>
    <mergeCell ref="AB72:AC72"/>
    <mergeCell ref="AD72:AE72"/>
    <mergeCell ref="E72:F72"/>
    <mergeCell ref="G72:H72"/>
    <mergeCell ref="I72:J72"/>
    <mergeCell ref="K72:L72"/>
    <mergeCell ref="M72:N72"/>
    <mergeCell ref="AO13:AP13"/>
    <mergeCell ref="Q88:R88"/>
    <mergeCell ref="AF72:AG72"/>
    <mergeCell ref="AH72:AI72"/>
    <mergeCell ref="S88:T88"/>
    <mergeCell ref="Q72:R72"/>
    <mergeCell ref="S72:T72"/>
    <mergeCell ref="X72:Y72"/>
  </mergeCells>
  <pageMargins left="0.74803149606299213" right="0.74803149606299213" top="0.98425196850393704" bottom="0.98425196850393704" header="0.51181102362204722" footer="0.51181102362204722"/>
  <pageSetup paperSize="9" scale="4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8"/>
    <pageSetUpPr fitToPage="1"/>
  </sheetPr>
  <dimension ref="A1:Y67"/>
  <sheetViews>
    <sheetView showGridLines="0" view="pageBreakPreview" zoomScaleNormal="100" zoomScaleSheetLayoutView="100" workbookViewId="0">
      <selection activeCell="B36" sqref="B36"/>
    </sheetView>
  </sheetViews>
  <sheetFormatPr defaultColWidth="9.1796875" defaultRowHeight="11.5" x14ac:dyDescent="0.25"/>
  <cols>
    <col min="1" max="1" width="3.7265625" style="3000" customWidth="1"/>
    <col min="2" max="2" width="14.453125" style="3001" customWidth="1"/>
    <col min="3" max="3" width="3.7265625" style="3001" customWidth="1"/>
    <col min="4" max="4" width="17.81640625" style="767" customWidth="1"/>
    <col min="5" max="13" width="7.54296875" style="767" customWidth="1"/>
    <col min="14" max="14" width="7.54296875" style="4303" customWidth="1"/>
    <col min="15" max="19" width="7.54296875" style="767" customWidth="1"/>
    <col min="20" max="20" width="9.453125" style="767" customWidth="1"/>
    <col min="21" max="21" width="9.453125" style="767" bestFit="1" customWidth="1"/>
    <col min="22" max="22" width="7.81640625" style="767" customWidth="1"/>
    <col min="23" max="244" width="9.1796875" style="767"/>
    <col min="245" max="245" width="3.7265625" style="767" customWidth="1"/>
    <col min="246" max="246" width="14.453125" style="767" customWidth="1"/>
    <col min="247" max="247" width="3.7265625" style="767" customWidth="1"/>
    <col min="248" max="248" width="22.54296875" style="767" customWidth="1"/>
    <col min="249" max="255" width="10.54296875" style="767" customWidth="1"/>
    <col min="256" max="256" width="18.54296875" style="767" customWidth="1"/>
    <col min="257" max="257" width="9" style="767" customWidth="1"/>
    <col min="258" max="258" width="9.1796875" style="767"/>
    <col min="259" max="259" width="13.1796875" style="767" customWidth="1"/>
    <col min="260" max="260" width="9.1796875" style="767"/>
    <col min="261" max="261" width="22.7265625" style="767" customWidth="1"/>
    <col min="262" max="500" width="9.1796875" style="767"/>
    <col min="501" max="501" width="3.7265625" style="767" customWidth="1"/>
    <col min="502" max="502" width="14.453125" style="767" customWidth="1"/>
    <col min="503" max="503" width="3.7265625" style="767" customWidth="1"/>
    <col min="504" max="504" width="22.54296875" style="767" customWidth="1"/>
    <col min="505" max="511" width="10.54296875" style="767" customWidth="1"/>
    <col min="512" max="512" width="18.54296875" style="767" customWidth="1"/>
    <col min="513" max="513" width="9" style="767" customWidth="1"/>
    <col min="514" max="514" width="9.1796875" style="767"/>
    <col min="515" max="515" width="13.1796875" style="767" customWidth="1"/>
    <col min="516" max="516" width="9.1796875" style="767"/>
    <col min="517" max="517" width="22.7265625" style="767" customWidth="1"/>
    <col min="518" max="756" width="9.1796875" style="767"/>
    <col min="757" max="757" width="3.7265625" style="767" customWidth="1"/>
    <col min="758" max="758" width="14.453125" style="767" customWidth="1"/>
    <col min="759" max="759" width="3.7265625" style="767" customWidth="1"/>
    <col min="760" max="760" width="22.54296875" style="767" customWidth="1"/>
    <col min="761" max="767" width="10.54296875" style="767" customWidth="1"/>
    <col min="768" max="768" width="18.54296875" style="767" customWidth="1"/>
    <col min="769" max="769" width="9" style="767" customWidth="1"/>
    <col min="770" max="770" width="9.1796875" style="767"/>
    <col min="771" max="771" width="13.1796875" style="767" customWidth="1"/>
    <col min="772" max="772" width="9.1796875" style="767"/>
    <col min="773" max="773" width="22.7265625" style="767" customWidth="1"/>
    <col min="774" max="1012" width="9.1796875" style="767"/>
    <col min="1013" max="1013" width="3.7265625" style="767" customWidth="1"/>
    <col min="1014" max="1014" width="14.453125" style="767" customWidth="1"/>
    <col min="1015" max="1015" width="3.7265625" style="767" customWidth="1"/>
    <col min="1016" max="1016" width="22.54296875" style="767" customWidth="1"/>
    <col min="1017" max="1023" width="10.54296875" style="767" customWidth="1"/>
    <col min="1024" max="1024" width="18.54296875" style="767" customWidth="1"/>
    <col min="1025" max="1025" width="9" style="767" customWidth="1"/>
    <col min="1026" max="1026" width="9.1796875" style="767"/>
    <col min="1027" max="1027" width="13.1796875" style="767" customWidth="1"/>
    <col min="1028" max="1028" width="9.1796875" style="767"/>
    <col min="1029" max="1029" width="22.7265625" style="767" customWidth="1"/>
    <col min="1030" max="1268" width="9.1796875" style="767"/>
    <col min="1269" max="1269" width="3.7265625" style="767" customWidth="1"/>
    <col min="1270" max="1270" width="14.453125" style="767" customWidth="1"/>
    <col min="1271" max="1271" width="3.7265625" style="767" customWidth="1"/>
    <col min="1272" max="1272" width="22.54296875" style="767" customWidth="1"/>
    <col min="1273" max="1279" width="10.54296875" style="767" customWidth="1"/>
    <col min="1280" max="1280" width="18.54296875" style="767" customWidth="1"/>
    <col min="1281" max="1281" width="9" style="767" customWidth="1"/>
    <col min="1282" max="1282" width="9.1796875" style="767"/>
    <col min="1283" max="1283" width="13.1796875" style="767" customWidth="1"/>
    <col min="1284" max="1284" width="9.1796875" style="767"/>
    <col min="1285" max="1285" width="22.7265625" style="767" customWidth="1"/>
    <col min="1286" max="1524" width="9.1796875" style="767"/>
    <col min="1525" max="1525" width="3.7265625" style="767" customWidth="1"/>
    <col min="1526" max="1526" width="14.453125" style="767" customWidth="1"/>
    <col min="1527" max="1527" width="3.7265625" style="767" customWidth="1"/>
    <col min="1528" max="1528" width="22.54296875" style="767" customWidth="1"/>
    <col min="1529" max="1535" width="10.54296875" style="767" customWidth="1"/>
    <col min="1536" max="1536" width="18.54296875" style="767" customWidth="1"/>
    <col min="1537" max="1537" width="9" style="767" customWidth="1"/>
    <col min="1538" max="1538" width="9.1796875" style="767"/>
    <col min="1539" max="1539" width="13.1796875" style="767" customWidth="1"/>
    <col min="1540" max="1540" width="9.1796875" style="767"/>
    <col min="1541" max="1541" width="22.7265625" style="767" customWidth="1"/>
    <col min="1542" max="1780" width="9.1796875" style="767"/>
    <col min="1781" max="1781" width="3.7265625" style="767" customWidth="1"/>
    <col min="1782" max="1782" width="14.453125" style="767" customWidth="1"/>
    <col min="1783" max="1783" width="3.7265625" style="767" customWidth="1"/>
    <col min="1784" max="1784" width="22.54296875" style="767" customWidth="1"/>
    <col min="1785" max="1791" width="10.54296875" style="767" customWidth="1"/>
    <col min="1792" max="1792" width="18.54296875" style="767" customWidth="1"/>
    <col min="1793" max="1793" width="9" style="767" customWidth="1"/>
    <col min="1794" max="1794" width="9.1796875" style="767"/>
    <col min="1795" max="1795" width="13.1796875" style="767" customWidth="1"/>
    <col min="1796" max="1796" width="9.1796875" style="767"/>
    <col min="1797" max="1797" width="22.7265625" style="767" customWidth="1"/>
    <col min="1798" max="2036" width="9.1796875" style="767"/>
    <col min="2037" max="2037" width="3.7265625" style="767" customWidth="1"/>
    <col min="2038" max="2038" width="14.453125" style="767" customWidth="1"/>
    <col min="2039" max="2039" width="3.7265625" style="767" customWidth="1"/>
    <col min="2040" max="2040" width="22.54296875" style="767" customWidth="1"/>
    <col min="2041" max="2047" width="10.54296875" style="767" customWidth="1"/>
    <col min="2048" max="2048" width="18.54296875" style="767" customWidth="1"/>
    <col min="2049" max="2049" width="9" style="767" customWidth="1"/>
    <col min="2050" max="2050" width="9.1796875" style="767"/>
    <col min="2051" max="2051" width="13.1796875" style="767" customWidth="1"/>
    <col min="2052" max="2052" width="9.1796875" style="767"/>
    <col min="2053" max="2053" width="22.7265625" style="767" customWidth="1"/>
    <col min="2054" max="2292" width="9.1796875" style="767"/>
    <col min="2293" max="2293" width="3.7265625" style="767" customWidth="1"/>
    <col min="2294" max="2294" width="14.453125" style="767" customWidth="1"/>
    <col min="2295" max="2295" width="3.7265625" style="767" customWidth="1"/>
    <col min="2296" max="2296" width="22.54296875" style="767" customWidth="1"/>
    <col min="2297" max="2303" width="10.54296875" style="767" customWidth="1"/>
    <col min="2304" max="2304" width="18.54296875" style="767" customWidth="1"/>
    <col min="2305" max="2305" width="9" style="767" customWidth="1"/>
    <col min="2306" max="2306" width="9.1796875" style="767"/>
    <col min="2307" max="2307" width="13.1796875" style="767" customWidth="1"/>
    <col min="2308" max="2308" width="9.1796875" style="767"/>
    <col min="2309" max="2309" width="22.7265625" style="767" customWidth="1"/>
    <col min="2310" max="2548" width="9.1796875" style="767"/>
    <col min="2549" max="2549" width="3.7265625" style="767" customWidth="1"/>
    <col min="2550" max="2550" width="14.453125" style="767" customWidth="1"/>
    <col min="2551" max="2551" width="3.7265625" style="767" customWidth="1"/>
    <col min="2552" max="2552" width="22.54296875" style="767" customWidth="1"/>
    <col min="2553" max="2559" width="10.54296875" style="767" customWidth="1"/>
    <col min="2560" max="2560" width="18.54296875" style="767" customWidth="1"/>
    <col min="2561" max="2561" width="9" style="767" customWidth="1"/>
    <col min="2562" max="2562" width="9.1796875" style="767"/>
    <col min="2563" max="2563" width="13.1796875" style="767" customWidth="1"/>
    <col min="2564" max="2564" width="9.1796875" style="767"/>
    <col min="2565" max="2565" width="22.7265625" style="767" customWidth="1"/>
    <col min="2566" max="2804" width="9.1796875" style="767"/>
    <col min="2805" max="2805" width="3.7265625" style="767" customWidth="1"/>
    <col min="2806" max="2806" width="14.453125" style="767" customWidth="1"/>
    <col min="2807" max="2807" width="3.7265625" style="767" customWidth="1"/>
    <col min="2808" max="2808" width="22.54296875" style="767" customWidth="1"/>
    <col min="2809" max="2815" width="10.54296875" style="767" customWidth="1"/>
    <col min="2816" max="2816" width="18.54296875" style="767" customWidth="1"/>
    <col min="2817" max="2817" width="9" style="767" customWidth="1"/>
    <col min="2818" max="2818" width="9.1796875" style="767"/>
    <col min="2819" max="2819" width="13.1796875" style="767" customWidth="1"/>
    <col min="2820" max="2820" width="9.1796875" style="767"/>
    <col min="2821" max="2821" width="22.7265625" style="767" customWidth="1"/>
    <col min="2822" max="3060" width="9.1796875" style="767"/>
    <col min="3061" max="3061" width="3.7265625" style="767" customWidth="1"/>
    <col min="3062" max="3062" width="14.453125" style="767" customWidth="1"/>
    <col min="3063" max="3063" width="3.7265625" style="767" customWidth="1"/>
    <col min="3064" max="3064" width="22.54296875" style="767" customWidth="1"/>
    <col min="3065" max="3071" width="10.54296875" style="767" customWidth="1"/>
    <col min="3072" max="3072" width="18.54296875" style="767" customWidth="1"/>
    <col min="3073" max="3073" width="9" style="767" customWidth="1"/>
    <col min="3074" max="3074" width="9.1796875" style="767"/>
    <col min="3075" max="3075" width="13.1796875" style="767" customWidth="1"/>
    <col min="3076" max="3076" width="9.1796875" style="767"/>
    <col min="3077" max="3077" width="22.7265625" style="767" customWidth="1"/>
    <col min="3078" max="3316" width="9.1796875" style="767"/>
    <col min="3317" max="3317" width="3.7265625" style="767" customWidth="1"/>
    <col min="3318" max="3318" width="14.453125" style="767" customWidth="1"/>
    <col min="3319" max="3319" width="3.7265625" style="767" customWidth="1"/>
    <col min="3320" max="3320" width="22.54296875" style="767" customWidth="1"/>
    <col min="3321" max="3327" width="10.54296875" style="767" customWidth="1"/>
    <col min="3328" max="3328" width="18.54296875" style="767" customWidth="1"/>
    <col min="3329" max="3329" width="9" style="767" customWidth="1"/>
    <col min="3330" max="3330" width="9.1796875" style="767"/>
    <col min="3331" max="3331" width="13.1796875" style="767" customWidth="1"/>
    <col min="3332" max="3332" width="9.1796875" style="767"/>
    <col min="3333" max="3333" width="22.7265625" style="767" customWidth="1"/>
    <col min="3334" max="3572" width="9.1796875" style="767"/>
    <col min="3573" max="3573" width="3.7265625" style="767" customWidth="1"/>
    <col min="3574" max="3574" width="14.453125" style="767" customWidth="1"/>
    <col min="3575" max="3575" width="3.7265625" style="767" customWidth="1"/>
    <col min="3576" max="3576" width="22.54296875" style="767" customWidth="1"/>
    <col min="3577" max="3583" width="10.54296875" style="767" customWidth="1"/>
    <col min="3584" max="3584" width="18.54296875" style="767" customWidth="1"/>
    <col min="3585" max="3585" width="9" style="767" customWidth="1"/>
    <col min="3586" max="3586" width="9.1796875" style="767"/>
    <col min="3587" max="3587" width="13.1796875" style="767" customWidth="1"/>
    <col min="3588" max="3588" width="9.1796875" style="767"/>
    <col min="3589" max="3589" width="22.7265625" style="767" customWidth="1"/>
    <col min="3590" max="3828" width="9.1796875" style="767"/>
    <col min="3829" max="3829" width="3.7265625" style="767" customWidth="1"/>
    <col min="3830" max="3830" width="14.453125" style="767" customWidth="1"/>
    <col min="3831" max="3831" width="3.7265625" style="767" customWidth="1"/>
    <col min="3832" max="3832" width="22.54296875" style="767" customWidth="1"/>
    <col min="3833" max="3839" width="10.54296875" style="767" customWidth="1"/>
    <col min="3840" max="3840" width="18.54296875" style="767" customWidth="1"/>
    <col min="3841" max="3841" width="9" style="767" customWidth="1"/>
    <col min="3842" max="3842" width="9.1796875" style="767"/>
    <col min="3843" max="3843" width="13.1796875" style="767" customWidth="1"/>
    <col min="3844" max="3844" width="9.1796875" style="767"/>
    <col min="3845" max="3845" width="22.7265625" style="767" customWidth="1"/>
    <col min="3846" max="4084" width="9.1796875" style="767"/>
    <col min="4085" max="4085" width="3.7265625" style="767" customWidth="1"/>
    <col min="4086" max="4086" width="14.453125" style="767" customWidth="1"/>
    <col min="4087" max="4087" width="3.7265625" style="767" customWidth="1"/>
    <col min="4088" max="4088" width="22.54296875" style="767" customWidth="1"/>
    <col min="4089" max="4095" width="10.54296875" style="767" customWidth="1"/>
    <col min="4096" max="4096" width="18.54296875" style="767" customWidth="1"/>
    <col min="4097" max="4097" width="9" style="767" customWidth="1"/>
    <col min="4098" max="4098" width="9.1796875" style="767"/>
    <col min="4099" max="4099" width="13.1796875" style="767" customWidth="1"/>
    <col min="4100" max="4100" width="9.1796875" style="767"/>
    <col min="4101" max="4101" width="22.7265625" style="767" customWidth="1"/>
    <col min="4102" max="4340" width="9.1796875" style="767"/>
    <col min="4341" max="4341" width="3.7265625" style="767" customWidth="1"/>
    <col min="4342" max="4342" width="14.453125" style="767" customWidth="1"/>
    <col min="4343" max="4343" width="3.7265625" style="767" customWidth="1"/>
    <col min="4344" max="4344" width="22.54296875" style="767" customWidth="1"/>
    <col min="4345" max="4351" width="10.54296875" style="767" customWidth="1"/>
    <col min="4352" max="4352" width="18.54296875" style="767" customWidth="1"/>
    <col min="4353" max="4353" width="9" style="767" customWidth="1"/>
    <col min="4354" max="4354" width="9.1796875" style="767"/>
    <col min="4355" max="4355" width="13.1796875" style="767" customWidth="1"/>
    <col min="4356" max="4356" width="9.1796875" style="767"/>
    <col min="4357" max="4357" width="22.7265625" style="767" customWidth="1"/>
    <col min="4358" max="4596" width="9.1796875" style="767"/>
    <col min="4597" max="4597" width="3.7265625" style="767" customWidth="1"/>
    <col min="4598" max="4598" width="14.453125" style="767" customWidth="1"/>
    <col min="4599" max="4599" width="3.7265625" style="767" customWidth="1"/>
    <col min="4600" max="4600" width="22.54296875" style="767" customWidth="1"/>
    <col min="4601" max="4607" width="10.54296875" style="767" customWidth="1"/>
    <col min="4608" max="4608" width="18.54296875" style="767" customWidth="1"/>
    <col min="4609" max="4609" width="9" style="767" customWidth="1"/>
    <col min="4610" max="4610" width="9.1796875" style="767"/>
    <col min="4611" max="4611" width="13.1796875" style="767" customWidth="1"/>
    <col min="4612" max="4612" width="9.1796875" style="767"/>
    <col min="4613" max="4613" width="22.7265625" style="767" customWidth="1"/>
    <col min="4614" max="4852" width="9.1796875" style="767"/>
    <col min="4853" max="4853" width="3.7265625" style="767" customWidth="1"/>
    <col min="4854" max="4854" width="14.453125" style="767" customWidth="1"/>
    <col min="4855" max="4855" width="3.7265625" style="767" customWidth="1"/>
    <col min="4856" max="4856" width="22.54296875" style="767" customWidth="1"/>
    <col min="4857" max="4863" width="10.54296875" style="767" customWidth="1"/>
    <col min="4864" max="4864" width="18.54296875" style="767" customWidth="1"/>
    <col min="4865" max="4865" width="9" style="767" customWidth="1"/>
    <col min="4866" max="4866" width="9.1796875" style="767"/>
    <col min="4867" max="4867" width="13.1796875" style="767" customWidth="1"/>
    <col min="4868" max="4868" width="9.1796875" style="767"/>
    <col min="4869" max="4869" width="22.7265625" style="767" customWidth="1"/>
    <col min="4870" max="5108" width="9.1796875" style="767"/>
    <col min="5109" max="5109" width="3.7265625" style="767" customWidth="1"/>
    <col min="5110" max="5110" width="14.453125" style="767" customWidth="1"/>
    <col min="5111" max="5111" width="3.7265625" style="767" customWidth="1"/>
    <col min="5112" max="5112" width="22.54296875" style="767" customWidth="1"/>
    <col min="5113" max="5119" width="10.54296875" style="767" customWidth="1"/>
    <col min="5120" max="5120" width="18.54296875" style="767" customWidth="1"/>
    <col min="5121" max="5121" width="9" style="767" customWidth="1"/>
    <col min="5122" max="5122" width="9.1796875" style="767"/>
    <col min="5123" max="5123" width="13.1796875" style="767" customWidth="1"/>
    <col min="5124" max="5124" width="9.1796875" style="767"/>
    <col min="5125" max="5125" width="22.7265625" style="767" customWidth="1"/>
    <col min="5126" max="5364" width="9.1796875" style="767"/>
    <col min="5365" max="5365" width="3.7265625" style="767" customWidth="1"/>
    <col min="5366" max="5366" width="14.453125" style="767" customWidth="1"/>
    <col min="5367" max="5367" width="3.7265625" style="767" customWidth="1"/>
    <col min="5368" max="5368" width="22.54296875" style="767" customWidth="1"/>
    <col min="5369" max="5375" width="10.54296875" style="767" customWidth="1"/>
    <col min="5376" max="5376" width="18.54296875" style="767" customWidth="1"/>
    <col min="5377" max="5377" width="9" style="767" customWidth="1"/>
    <col min="5378" max="5378" width="9.1796875" style="767"/>
    <col min="5379" max="5379" width="13.1796875" style="767" customWidth="1"/>
    <col min="5380" max="5380" width="9.1796875" style="767"/>
    <col min="5381" max="5381" width="22.7265625" style="767" customWidth="1"/>
    <col min="5382" max="5620" width="9.1796875" style="767"/>
    <col min="5621" max="5621" width="3.7265625" style="767" customWidth="1"/>
    <col min="5622" max="5622" width="14.453125" style="767" customWidth="1"/>
    <col min="5623" max="5623" width="3.7265625" style="767" customWidth="1"/>
    <col min="5624" max="5624" width="22.54296875" style="767" customWidth="1"/>
    <col min="5625" max="5631" width="10.54296875" style="767" customWidth="1"/>
    <col min="5632" max="5632" width="18.54296875" style="767" customWidth="1"/>
    <col min="5633" max="5633" width="9" style="767" customWidth="1"/>
    <col min="5634" max="5634" width="9.1796875" style="767"/>
    <col min="5635" max="5635" width="13.1796875" style="767" customWidth="1"/>
    <col min="5636" max="5636" width="9.1796875" style="767"/>
    <col min="5637" max="5637" width="22.7265625" style="767" customWidth="1"/>
    <col min="5638" max="5876" width="9.1796875" style="767"/>
    <col min="5877" max="5877" width="3.7265625" style="767" customWidth="1"/>
    <col min="5878" max="5878" width="14.453125" style="767" customWidth="1"/>
    <col min="5879" max="5879" width="3.7265625" style="767" customWidth="1"/>
    <col min="5880" max="5880" width="22.54296875" style="767" customWidth="1"/>
    <col min="5881" max="5887" width="10.54296875" style="767" customWidth="1"/>
    <col min="5888" max="5888" width="18.54296875" style="767" customWidth="1"/>
    <col min="5889" max="5889" width="9" style="767" customWidth="1"/>
    <col min="5890" max="5890" width="9.1796875" style="767"/>
    <col min="5891" max="5891" width="13.1796875" style="767" customWidth="1"/>
    <col min="5892" max="5892" width="9.1796875" style="767"/>
    <col min="5893" max="5893" width="22.7265625" style="767" customWidth="1"/>
    <col min="5894" max="6132" width="9.1796875" style="767"/>
    <col min="6133" max="6133" width="3.7265625" style="767" customWidth="1"/>
    <col min="6134" max="6134" width="14.453125" style="767" customWidth="1"/>
    <col min="6135" max="6135" width="3.7265625" style="767" customWidth="1"/>
    <col min="6136" max="6136" width="22.54296875" style="767" customWidth="1"/>
    <col min="6137" max="6143" width="10.54296875" style="767" customWidth="1"/>
    <col min="6144" max="6144" width="18.54296875" style="767" customWidth="1"/>
    <col min="6145" max="6145" width="9" style="767" customWidth="1"/>
    <col min="6146" max="6146" width="9.1796875" style="767"/>
    <col min="6147" max="6147" width="13.1796875" style="767" customWidth="1"/>
    <col min="6148" max="6148" width="9.1796875" style="767"/>
    <col min="6149" max="6149" width="22.7265625" style="767" customWidth="1"/>
    <col min="6150" max="6388" width="9.1796875" style="767"/>
    <col min="6389" max="6389" width="3.7265625" style="767" customWidth="1"/>
    <col min="6390" max="6390" width="14.453125" style="767" customWidth="1"/>
    <col min="6391" max="6391" width="3.7265625" style="767" customWidth="1"/>
    <col min="6392" max="6392" width="22.54296875" style="767" customWidth="1"/>
    <col min="6393" max="6399" width="10.54296875" style="767" customWidth="1"/>
    <col min="6400" max="6400" width="18.54296875" style="767" customWidth="1"/>
    <col min="6401" max="6401" width="9" style="767" customWidth="1"/>
    <col min="6402" max="6402" width="9.1796875" style="767"/>
    <col min="6403" max="6403" width="13.1796875" style="767" customWidth="1"/>
    <col min="6404" max="6404" width="9.1796875" style="767"/>
    <col min="6405" max="6405" width="22.7265625" style="767" customWidth="1"/>
    <col min="6406" max="6644" width="9.1796875" style="767"/>
    <col min="6645" max="6645" width="3.7265625" style="767" customWidth="1"/>
    <col min="6646" max="6646" width="14.453125" style="767" customWidth="1"/>
    <col min="6647" max="6647" width="3.7265625" style="767" customWidth="1"/>
    <col min="6648" max="6648" width="22.54296875" style="767" customWidth="1"/>
    <col min="6649" max="6655" width="10.54296875" style="767" customWidth="1"/>
    <col min="6656" max="6656" width="18.54296875" style="767" customWidth="1"/>
    <col min="6657" max="6657" width="9" style="767" customWidth="1"/>
    <col min="6658" max="6658" width="9.1796875" style="767"/>
    <col min="6659" max="6659" width="13.1796875" style="767" customWidth="1"/>
    <col min="6660" max="6660" width="9.1796875" style="767"/>
    <col min="6661" max="6661" width="22.7265625" style="767" customWidth="1"/>
    <col min="6662" max="6900" width="9.1796875" style="767"/>
    <col min="6901" max="6901" width="3.7265625" style="767" customWidth="1"/>
    <col min="6902" max="6902" width="14.453125" style="767" customWidth="1"/>
    <col min="6903" max="6903" width="3.7265625" style="767" customWidth="1"/>
    <col min="6904" max="6904" width="22.54296875" style="767" customWidth="1"/>
    <col min="6905" max="6911" width="10.54296875" style="767" customWidth="1"/>
    <col min="6912" max="6912" width="18.54296875" style="767" customWidth="1"/>
    <col min="6913" max="6913" width="9" style="767" customWidth="1"/>
    <col min="6914" max="6914" width="9.1796875" style="767"/>
    <col min="6915" max="6915" width="13.1796875" style="767" customWidth="1"/>
    <col min="6916" max="6916" width="9.1796875" style="767"/>
    <col min="6917" max="6917" width="22.7265625" style="767" customWidth="1"/>
    <col min="6918" max="7156" width="9.1796875" style="767"/>
    <col min="7157" max="7157" width="3.7265625" style="767" customWidth="1"/>
    <col min="7158" max="7158" width="14.453125" style="767" customWidth="1"/>
    <col min="7159" max="7159" width="3.7265625" style="767" customWidth="1"/>
    <col min="7160" max="7160" width="22.54296875" style="767" customWidth="1"/>
    <col min="7161" max="7167" width="10.54296875" style="767" customWidth="1"/>
    <col min="7168" max="7168" width="18.54296875" style="767" customWidth="1"/>
    <col min="7169" max="7169" width="9" style="767" customWidth="1"/>
    <col min="7170" max="7170" width="9.1796875" style="767"/>
    <col min="7171" max="7171" width="13.1796875" style="767" customWidth="1"/>
    <col min="7172" max="7172" width="9.1796875" style="767"/>
    <col min="7173" max="7173" width="22.7265625" style="767" customWidth="1"/>
    <col min="7174" max="7412" width="9.1796875" style="767"/>
    <col min="7413" max="7413" width="3.7265625" style="767" customWidth="1"/>
    <col min="7414" max="7414" width="14.453125" style="767" customWidth="1"/>
    <col min="7415" max="7415" width="3.7265625" style="767" customWidth="1"/>
    <col min="7416" max="7416" width="22.54296875" style="767" customWidth="1"/>
    <col min="7417" max="7423" width="10.54296875" style="767" customWidth="1"/>
    <col min="7424" max="7424" width="18.54296875" style="767" customWidth="1"/>
    <col min="7425" max="7425" width="9" style="767" customWidth="1"/>
    <col min="7426" max="7426" width="9.1796875" style="767"/>
    <col min="7427" max="7427" width="13.1796875" style="767" customWidth="1"/>
    <col min="7428" max="7428" width="9.1796875" style="767"/>
    <col min="7429" max="7429" width="22.7265625" style="767" customWidth="1"/>
    <col min="7430" max="7668" width="9.1796875" style="767"/>
    <col min="7669" max="7669" width="3.7265625" style="767" customWidth="1"/>
    <col min="7670" max="7670" width="14.453125" style="767" customWidth="1"/>
    <col min="7671" max="7671" width="3.7265625" style="767" customWidth="1"/>
    <col min="7672" max="7672" width="22.54296875" style="767" customWidth="1"/>
    <col min="7673" max="7679" width="10.54296875" style="767" customWidth="1"/>
    <col min="7680" max="7680" width="18.54296875" style="767" customWidth="1"/>
    <col min="7681" max="7681" width="9" style="767" customWidth="1"/>
    <col min="7682" max="7682" width="9.1796875" style="767"/>
    <col min="7683" max="7683" width="13.1796875" style="767" customWidth="1"/>
    <col min="7684" max="7684" width="9.1796875" style="767"/>
    <col min="7685" max="7685" width="22.7265625" style="767" customWidth="1"/>
    <col min="7686" max="7924" width="9.1796875" style="767"/>
    <col min="7925" max="7925" width="3.7265625" style="767" customWidth="1"/>
    <col min="7926" max="7926" width="14.453125" style="767" customWidth="1"/>
    <col min="7927" max="7927" width="3.7265625" style="767" customWidth="1"/>
    <col min="7928" max="7928" width="22.54296875" style="767" customWidth="1"/>
    <col min="7929" max="7935" width="10.54296875" style="767" customWidth="1"/>
    <col min="7936" max="7936" width="18.54296875" style="767" customWidth="1"/>
    <col min="7937" max="7937" width="9" style="767" customWidth="1"/>
    <col min="7938" max="7938" width="9.1796875" style="767"/>
    <col min="7939" max="7939" width="13.1796875" style="767" customWidth="1"/>
    <col min="7940" max="7940" width="9.1796875" style="767"/>
    <col min="7941" max="7941" width="22.7265625" style="767" customWidth="1"/>
    <col min="7942" max="8180" width="9.1796875" style="767"/>
    <col min="8181" max="8181" width="3.7265625" style="767" customWidth="1"/>
    <col min="8182" max="8182" width="14.453125" style="767" customWidth="1"/>
    <col min="8183" max="8183" width="3.7265625" style="767" customWidth="1"/>
    <col min="8184" max="8184" width="22.54296875" style="767" customWidth="1"/>
    <col min="8185" max="8191" width="10.54296875" style="767" customWidth="1"/>
    <col min="8192" max="8192" width="18.54296875" style="767" customWidth="1"/>
    <col min="8193" max="8193" width="9" style="767" customWidth="1"/>
    <col min="8194" max="8194" width="9.1796875" style="767"/>
    <col min="8195" max="8195" width="13.1796875" style="767" customWidth="1"/>
    <col min="8196" max="8196" width="9.1796875" style="767"/>
    <col min="8197" max="8197" width="22.7265625" style="767" customWidth="1"/>
    <col min="8198" max="8436" width="9.1796875" style="767"/>
    <col min="8437" max="8437" width="3.7265625" style="767" customWidth="1"/>
    <col min="8438" max="8438" width="14.453125" style="767" customWidth="1"/>
    <col min="8439" max="8439" width="3.7265625" style="767" customWidth="1"/>
    <col min="8440" max="8440" width="22.54296875" style="767" customWidth="1"/>
    <col min="8441" max="8447" width="10.54296875" style="767" customWidth="1"/>
    <col min="8448" max="8448" width="18.54296875" style="767" customWidth="1"/>
    <col min="8449" max="8449" width="9" style="767" customWidth="1"/>
    <col min="8450" max="8450" width="9.1796875" style="767"/>
    <col min="8451" max="8451" width="13.1796875" style="767" customWidth="1"/>
    <col min="8452" max="8452" width="9.1796875" style="767"/>
    <col min="8453" max="8453" width="22.7265625" style="767" customWidth="1"/>
    <col min="8454" max="8692" width="9.1796875" style="767"/>
    <col min="8693" max="8693" width="3.7265625" style="767" customWidth="1"/>
    <col min="8694" max="8694" width="14.453125" style="767" customWidth="1"/>
    <col min="8695" max="8695" width="3.7265625" style="767" customWidth="1"/>
    <col min="8696" max="8696" width="22.54296875" style="767" customWidth="1"/>
    <col min="8697" max="8703" width="10.54296875" style="767" customWidth="1"/>
    <col min="8704" max="8704" width="18.54296875" style="767" customWidth="1"/>
    <col min="8705" max="8705" width="9" style="767" customWidth="1"/>
    <col min="8706" max="8706" width="9.1796875" style="767"/>
    <col min="8707" max="8707" width="13.1796875" style="767" customWidth="1"/>
    <col min="8708" max="8708" width="9.1796875" style="767"/>
    <col min="8709" max="8709" width="22.7265625" style="767" customWidth="1"/>
    <col min="8710" max="8948" width="9.1796875" style="767"/>
    <col min="8949" max="8949" width="3.7265625" style="767" customWidth="1"/>
    <col min="8950" max="8950" width="14.453125" style="767" customWidth="1"/>
    <col min="8951" max="8951" width="3.7265625" style="767" customWidth="1"/>
    <col min="8952" max="8952" width="22.54296875" style="767" customWidth="1"/>
    <col min="8953" max="8959" width="10.54296875" style="767" customWidth="1"/>
    <col min="8960" max="8960" width="18.54296875" style="767" customWidth="1"/>
    <col min="8961" max="8961" width="9" style="767" customWidth="1"/>
    <col min="8962" max="8962" width="9.1796875" style="767"/>
    <col min="8963" max="8963" width="13.1796875" style="767" customWidth="1"/>
    <col min="8964" max="8964" width="9.1796875" style="767"/>
    <col min="8965" max="8965" width="22.7265625" style="767" customWidth="1"/>
    <col min="8966" max="9204" width="9.1796875" style="767"/>
    <col min="9205" max="9205" width="3.7265625" style="767" customWidth="1"/>
    <col min="9206" max="9206" width="14.453125" style="767" customWidth="1"/>
    <col min="9207" max="9207" width="3.7265625" style="767" customWidth="1"/>
    <col min="9208" max="9208" width="22.54296875" style="767" customWidth="1"/>
    <col min="9209" max="9215" width="10.54296875" style="767" customWidth="1"/>
    <col min="9216" max="9216" width="18.54296875" style="767" customWidth="1"/>
    <col min="9217" max="9217" width="9" style="767" customWidth="1"/>
    <col min="9218" max="9218" width="9.1796875" style="767"/>
    <col min="9219" max="9219" width="13.1796875" style="767" customWidth="1"/>
    <col min="9220" max="9220" width="9.1796875" style="767"/>
    <col min="9221" max="9221" width="22.7265625" style="767" customWidth="1"/>
    <col min="9222" max="9460" width="9.1796875" style="767"/>
    <col min="9461" max="9461" width="3.7265625" style="767" customWidth="1"/>
    <col min="9462" max="9462" width="14.453125" style="767" customWidth="1"/>
    <col min="9463" max="9463" width="3.7265625" style="767" customWidth="1"/>
    <col min="9464" max="9464" width="22.54296875" style="767" customWidth="1"/>
    <col min="9465" max="9471" width="10.54296875" style="767" customWidth="1"/>
    <col min="9472" max="9472" width="18.54296875" style="767" customWidth="1"/>
    <col min="9473" max="9473" width="9" style="767" customWidth="1"/>
    <col min="9474" max="9474" width="9.1796875" style="767"/>
    <col min="9475" max="9475" width="13.1796875" style="767" customWidth="1"/>
    <col min="9476" max="9476" width="9.1796875" style="767"/>
    <col min="9477" max="9477" width="22.7265625" style="767" customWidth="1"/>
    <col min="9478" max="9716" width="9.1796875" style="767"/>
    <col min="9717" max="9717" width="3.7265625" style="767" customWidth="1"/>
    <col min="9718" max="9718" width="14.453125" style="767" customWidth="1"/>
    <col min="9719" max="9719" width="3.7265625" style="767" customWidth="1"/>
    <col min="9720" max="9720" width="22.54296875" style="767" customWidth="1"/>
    <col min="9721" max="9727" width="10.54296875" style="767" customWidth="1"/>
    <col min="9728" max="9728" width="18.54296875" style="767" customWidth="1"/>
    <col min="9729" max="9729" width="9" style="767" customWidth="1"/>
    <col min="9730" max="9730" width="9.1796875" style="767"/>
    <col min="9731" max="9731" width="13.1796875" style="767" customWidth="1"/>
    <col min="9732" max="9732" width="9.1796875" style="767"/>
    <col min="9733" max="9733" width="22.7265625" style="767" customWidth="1"/>
    <col min="9734" max="9972" width="9.1796875" style="767"/>
    <col min="9973" max="9973" width="3.7265625" style="767" customWidth="1"/>
    <col min="9974" max="9974" width="14.453125" style="767" customWidth="1"/>
    <col min="9975" max="9975" width="3.7265625" style="767" customWidth="1"/>
    <col min="9976" max="9976" width="22.54296875" style="767" customWidth="1"/>
    <col min="9977" max="9983" width="10.54296875" style="767" customWidth="1"/>
    <col min="9984" max="9984" width="18.54296875" style="767" customWidth="1"/>
    <col min="9985" max="9985" width="9" style="767" customWidth="1"/>
    <col min="9986" max="9986" width="9.1796875" style="767"/>
    <col min="9987" max="9987" width="13.1796875" style="767" customWidth="1"/>
    <col min="9988" max="9988" width="9.1796875" style="767"/>
    <col min="9989" max="9989" width="22.7265625" style="767" customWidth="1"/>
    <col min="9990" max="10228" width="9.1796875" style="767"/>
    <col min="10229" max="10229" width="3.7265625" style="767" customWidth="1"/>
    <col min="10230" max="10230" width="14.453125" style="767" customWidth="1"/>
    <col min="10231" max="10231" width="3.7265625" style="767" customWidth="1"/>
    <col min="10232" max="10232" width="22.54296875" style="767" customWidth="1"/>
    <col min="10233" max="10239" width="10.54296875" style="767" customWidth="1"/>
    <col min="10240" max="10240" width="18.54296875" style="767" customWidth="1"/>
    <col min="10241" max="10241" width="9" style="767" customWidth="1"/>
    <col min="10242" max="10242" width="9.1796875" style="767"/>
    <col min="10243" max="10243" width="13.1796875" style="767" customWidth="1"/>
    <col min="10244" max="10244" width="9.1796875" style="767"/>
    <col min="10245" max="10245" width="22.7265625" style="767" customWidth="1"/>
    <col min="10246" max="10484" width="9.1796875" style="767"/>
    <col min="10485" max="10485" width="3.7265625" style="767" customWidth="1"/>
    <col min="10486" max="10486" width="14.453125" style="767" customWidth="1"/>
    <col min="10487" max="10487" width="3.7265625" style="767" customWidth="1"/>
    <col min="10488" max="10488" width="22.54296875" style="767" customWidth="1"/>
    <col min="10489" max="10495" width="10.54296875" style="767" customWidth="1"/>
    <col min="10496" max="10496" width="18.54296875" style="767" customWidth="1"/>
    <col min="10497" max="10497" width="9" style="767" customWidth="1"/>
    <col min="10498" max="10498" width="9.1796875" style="767"/>
    <col min="10499" max="10499" width="13.1796875" style="767" customWidth="1"/>
    <col min="10500" max="10500" width="9.1796875" style="767"/>
    <col min="10501" max="10501" width="22.7265625" style="767" customWidth="1"/>
    <col min="10502" max="10740" width="9.1796875" style="767"/>
    <col min="10741" max="10741" width="3.7265625" style="767" customWidth="1"/>
    <col min="10742" max="10742" width="14.453125" style="767" customWidth="1"/>
    <col min="10743" max="10743" width="3.7265625" style="767" customWidth="1"/>
    <col min="10744" max="10744" width="22.54296875" style="767" customWidth="1"/>
    <col min="10745" max="10751" width="10.54296875" style="767" customWidth="1"/>
    <col min="10752" max="10752" width="18.54296875" style="767" customWidth="1"/>
    <col min="10753" max="10753" width="9" style="767" customWidth="1"/>
    <col min="10754" max="10754" width="9.1796875" style="767"/>
    <col min="10755" max="10755" width="13.1796875" style="767" customWidth="1"/>
    <col min="10756" max="10756" width="9.1796875" style="767"/>
    <col min="10757" max="10757" width="22.7265625" style="767" customWidth="1"/>
    <col min="10758" max="10996" width="9.1796875" style="767"/>
    <col min="10997" max="10997" width="3.7265625" style="767" customWidth="1"/>
    <col min="10998" max="10998" width="14.453125" style="767" customWidth="1"/>
    <col min="10999" max="10999" width="3.7265625" style="767" customWidth="1"/>
    <col min="11000" max="11000" width="22.54296875" style="767" customWidth="1"/>
    <col min="11001" max="11007" width="10.54296875" style="767" customWidth="1"/>
    <col min="11008" max="11008" width="18.54296875" style="767" customWidth="1"/>
    <col min="11009" max="11009" width="9" style="767" customWidth="1"/>
    <col min="11010" max="11010" width="9.1796875" style="767"/>
    <col min="11011" max="11011" width="13.1796875" style="767" customWidth="1"/>
    <col min="11012" max="11012" width="9.1796875" style="767"/>
    <col min="11013" max="11013" width="22.7265625" style="767" customWidth="1"/>
    <col min="11014" max="11252" width="9.1796875" style="767"/>
    <col min="11253" max="11253" width="3.7265625" style="767" customWidth="1"/>
    <col min="11254" max="11254" width="14.453125" style="767" customWidth="1"/>
    <col min="11255" max="11255" width="3.7265625" style="767" customWidth="1"/>
    <col min="11256" max="11256" width="22.54296875" style="767" customWidth="1"/>
    <col min="11257" max="11263" width="10.54296875" style="767" customWidth="1"/>
    <col min="11264" max="11264" width="18.54296875" style="767" customWidth="1"/>
    <col min="11265" max="11265" width="9" style="767" customWidth="1"/>
    <col min="11266" max="11266" width="9.1796875" style="767"/>
    <col min="11267" max="11267" width="13.1796875" style="767" customWidth="1"/>
    <col min="11268" max="11268" width="9.1796875" style="767"/>
    <col min="11269" max="11269" width="22.7265625" style="767" customWidth="1"/>
    <col min="11270" max="11508" width="9.1796875" style="767"/>
    <col min="11509" max="11509" width="3.7265625" style="767" customWidth="1"/>
    <col min="11510" max="11510" width="14.453125" style="767" customWidth="1"/>
    <col min="11511" max="11511" width="3.7265625" style="767" customWidth="1"/>
    <col min="11512" max="11512" width="22.54296875" style="767" customWidth="1"/>
    <col min="11513" max="11519" width="10.54296875" style="767" customWidth="1"/>
    <col min="11520" max="11520" width="18.54296875" style="767" customWidth="1"/>
    <col min="11521" max="11521" width="9" style="767" customWidth="1"/>
    <col min="11522" max="11522" width="9.1796875" style="767"/>
    <col min="11523" max="11523" width="13.1796875" style="767" customWidth="1"/>
    <col min="11524" max="11524" width="9.1796875" style="767"/>
    <col min="11525" max="11525" width="22.7265625" style="767" customWidth="1"/>
    <col min="11526" max="11764" width="9.1796875" style="767"/>
    <col min="11765" max="11765" width="3.7265625" style="767" customWidth="1"/>
    <col min="11766" max="11766" width="14.453125" style="767" customWidth="1"/>
    <col min="11767" max="11767" width="3.7265625" style="767" customWidth="1"/>
    <col min="11768" max="11768" width="22.54296875" style="767" customWidth="1"/>
    <col min="11769" max="11775" width="10.54296875" style="767" customWidth="1"/>
    <col min="11776" max="11776" width="18.54296875" style="767" customWidth="1"/>
    <col min="11777" max="11777" width="9" style="767" customWidth="1"/>
    <col min="11778" max="11778" width="9.1796875" style="767"/>
    <col min="11779" max="11779" width="13.1796875" style="767" customWidth="1"/>
    <col min="11780" max="11780" width="9.1796875" style="767"/>
    <col min="11781" max="11781" width="22.7265625" style="767" customWidth="1"/>
    <col min="11782" max="12020" width="9.1796875" style="767"/>
    <col min="12021" max="12021" width="3.7265625" style="767" customWidth="1"/>
    <col min="12022" max="12022" width="14.453125" style="767" customWidth="1"/>
    <col min="12023" max="12023" width="3.7265625" style="767" customWidth="1"/>
    <col min="12024" max="12024" width="22.54296875" style="767" customWidth="1"/>
    <col min="12025" max="12031" width="10.54296875" style="767" customWidth="1"/>
    <col min="12032" max="12032" width="18.54296875" style="767" customWidth="1"/>
    <col min="12033" max="12033" width="9" style="767" customWidth="1"/>
    <col min="12034" max="12034" width="9.1796875" style="767"/>
    <col min="12035" max="12035" width="13.1796875" style="767" customWidth="1"/>
    <col min="12036" max="12036" width="9.1796875" style="767"/>
    <col min="12037" max="12037" width="22.7265625" style="767" customWidth="1"/>
    <col min="12038" max="12276" width="9.1796875" style="767"/>
    <col min="12277" max="12277" width="3.7265625" style="767" customWidth="1"/>
    <col min="12278" max="12278" width="14.453125" style="767" customWidth="1"/>
    <col min="12279" max="12279" width="3.7265625" style="767" customWidth="1"/>
    <col min="12280" max="12280" width="22.54296875" style="767" customWidth="1"/>
    <col min="12281" max="12287" width="10.54296875" style="767" customWidth="1"/>
    <col min="12288" max="12288" width="18.54296875" style="767" customWidth="1"/>
    <col min="12289" max="12289" width="9" style="767" customWidth="1"/>
    <col min="12290" max="12290" width="9.1796875" style="767"/>
    <col min="12291" max="12291" width="13.1796875" style="767" customWidth="1"/>
    <col min="12292" max="12292" width="9.1796875" style="767"/>
    <col min="12293" max="12293" width="22.7265625" style="767" customWidth="1"/>
    <col min="12294" max="12532" width="9.1796875" style="767"/>
    <col min="12533" max="12533" width="3.7265625" style="767" customWidth="1"/>
    <col min="12534" max="12534" width="14.453125" style="767" customWidth="1"/>
    <col min="12535" max="12535" width="3.7265625" style="767" customWidth="1"/>
    <col min="12536" max="12536" width="22.54296875" style="767" customWidth="1"/>
    <col min="12537" max="12543" width="10.54296875" style="767" customWidth="1"/>
    <col min="12544" max="12544" width="18.54296875" style="767" customWidth="1"/>
    <col min="12545" max="12545" width="9" style="767" customWidth="1"/>
    <col min="12546" max="12546" width="9.1796875" style="767"/>
    <col min="12547" max="12547" width="13.1796875" style="767" customWidth="1"/>
    <col min="12548" max="12548" width="9.1796875" style="767"/>
    <col min="12549" max="12549" width="22.7265625" style="767" customWidth="1"/>
    <col min="12550" max="12788" width="9.1796875" style="767"/>
    <col min="12789" max="12789" width="3.7265625" style="767" customWidth="1"/>
    <col min="12790" max="12790" width="14.453125" style="767" customWidth="1"/>
    <col min="12791" max="12791" width="3.7265625" style="767" customWidth="1"/>
    <col min="12792" max="12792" width="22.54296875" style="767" customWidth="1"/>
    <col min="12793" max="12799" width="10.54296875" style="767" customWidth="1"/>
    <col min="12800" max="12800" width="18.54296875" style="767" customWidth="1"/>
    <col min="12801" max="12801" width="9" style="767" customWidth="1"/>
    <col min="12802" max="12802" width="9.1796875" style="767"/>
    <col min="12803" max="12803" width="13.1796875" style="767" customWidth="1"/>
    <col min="12804" max="12804" width="9.1796875" style="767"/>
    <col min="12805" max="12805" width="22.7265625" style="767" customWidth="1"/>
    <col min="12806" max="13044" width="9.1796875" style="767"/>
    <col min="13045" max="13045" width="3.7265625" style="767" customWidth="1"/>
    <col min="13046" max="13046" width="14.453125" style="767" customWidth="1"/>
    <col min="13047" max="13047" width="3.7265625" style="767" customWidth="1"/>
    <col min="13048" max="13048" width="22.54296875" style="767" customWidth="1"/>
    <col min="13049" max="13055" width="10.54296875" style="767" customWidth="1"/>
    <col min="13056" max="13056" width="18.54296875" style="767" customWidth="1"/>
    <col min="13057" max="13057" width="9" style="767" customWidth="1"/>
    <col min="13058" max="13058" width="9.1796875" style="767"/>
    <col min="13059" max="13059" width="13.1796875" style="767" customWidth="1"/>
    <col min="13060" max="13060" width="9.1796875" style="767"/>
    <col min="13061" max="13061" width="22.7265625" style="767" customWidth="1"/>
    <col min="13062" max="13300" width="9.1796875" style="767"/>
    <col min="13301" max="13301" width="3.7265625" style="767" customWidth="1"/>
    <col min="13302" max="13302" width="14.453125" style="767" customWidth="1"/>
    <col min="13303" max="13303" width="3.7265625" style="767" customWidth="1"/>
    <col min="13304" max="13304" width="22.54296875" style="767" customWidth="1"/>
    <col min="13305" max="13311" width="10.54296875" style="767" customWidth="1"/>
    <col min="13312" max="13312" width="18.54296875" style="767" customWidth="1"/>
    <col min="13313" max="13313" width="9" style="767" customWidth="1"/>
    <col min="13314" max="13314" width="9.1796875" style="767"/>
    <col min="13315" max="13315" width="13.1796875" style="767" customWidth="1"/>
    <col min="13316" max="13316" width="9.1796875" style="767"/>
    <col min="13317" max="13317" width="22.7265625" style="767" customWidth="1"/>
    <col min="13318" max="13556" width="9.1796875" style="767"/>
    <col min="13557" max="13557" width="3.7265625" style="767" customWidth="1"/>
    <col min="13558" max="13558" width="14.453125" style="767" customWidth="1"/>
    <col min="13559" max="13559" width="3.7265625" style="767" customWidth="1"/>
    <col min="13560" max="13560" width="22.54296875" style="767" customWidth="1"/>
    <col min="13561" max="13567" width="10.54296875" style="767" customWidth="1"/>
    <col min="13568" max="13568" width="18.54296875" style="767" customWidth="1"/>
    <col min="13569" max="13569" width="9" style="767" customWidth="1"/>
    <col min="13570" max="13570" width="9.1796875" style="767"/>
    <col min="13571" max="13571" width="13.1796875" style="767" customWidth="1"/>
    <col min="13572" max="13572" width="9.1796875" style="767"/>
    <col min="13573" max="13573" width="22.7265625" style="767" customWidth="1"/>
    <col min="13574" max="13812" width="9.1796875" style="767"/>
    <col min="13813" max="13813" width="3.7265625" style="767" customWidth="1"/>
    <col min="13814" max="13814" width="14.453125" style="767" customWidth="1"/>
    <col min="13815" max="13815" width="3.7265625" style="767" customWidth="1"/>
    <col min="13816" max="13816" width="22.54296875" style="767" customWidth="1"/>
    <col min="13817" max="13823" width="10.54296875" style="767" customWidth="1"/>
    <col min="13824" max="13824" width="18.54296875" style="767" customWidth="1"/>
    <col min="13825" max="13825" width="9" style="767" customWidth="1"/>
    <col min="13826" max="13826" width="9.1796875" style="767"/>
    <col min="13827" max="13827" width="13.1796875" style="767" customWidth="1"/>
    <col min="13828" max="13828" width="9.1796875" style="767"/>
    <col min="13829" max="13829" width="22.7265625" style="767" customWidth="1"/>
    <col min="13830" max="14068" width="9.1796875" style="767"/>
    <col min="14069" max="14069" width="3.7265625" style="767" customWidth="1"/>
    <col min="14070" max="14070" width="14.453125" style="767" customWidth="1"/>
    <col min="14071" max="14071" width="3.7265625" style="767" customWidth="1"/>
    <col min="14072" max="14072" width="22.54296875" style="767" customWidth="1"/>
    <col min="14073" max="14079" width="10.54296875" style="767" customWidth="1"/>
    <col min="14080" max="14080" width="18.54296875" style="767" customWidth="1"/>
    <col min="14081" max="14081" width="9" style="767" customWidth="1"/>
    <col min="14082" max="14082" width="9.1796875" style="767"/>
    <col min="14083" max="14083" width="13.1796875" style="767" customWidth="1"/>
    <col min="14084" max="14084" width="9.1796875" style="767"/>
    <col min="14085" max="14085" width="22.7265625" style="767" customWidth="1"/>
    <col min="14086" max="14324" width="9.1796875" style="767"/>
    <col min="14325" max="14325" width="3.7265625" style="767" customWidth="1"/>
    <col min="14326" max="14326" width="14.453125" style="767" customWidth="1"/>
    <col min="14327" max="14327" width="3.7265625" style="767" customWidth="1"/>
    <col min="14328" max="14328" width="22.54296875" style="767" customWidth="1"/>
    <col min="14329" max="14335" width="10.54296875" style="767" customWidth="1"/>
    <col min="14336" max="14336" width="18.54296875" style="767" customWidth="1"/>
    <col min="14337" max="14337" width="9" style="767" customWidth="1"/>
    <col min="14338" max="14338" width="9.1796875" style="767"/>
    <col min="14339" max="14339" width="13.1796875" style="767" customWidth="1"/>
    <col min="14340" max="14340" width="9.1796875" style="767"/>
    <col min="14341" max="14341" width="22.7265625" style="767" customWidth="1"/>
    <col min="14342" max="14580" width="9.1796875" style="767"/>
    <col min="14581" max="14581" width="3.7265625" style="767" customWidth="1"/>
    <col min="14582" max="14582" width="14.453125" style="767" customWidth="1"/>
    <col min="14583" max="14583" width="3.7265625" style="767" customWidth="1"/>
    <col min="14584" max="14584" width="22.54296875" style="767" customWidth="1"/>
    <col min="14585" max="14591" width="10.54296875" style="767" customWidth="1"/>
    <col min="14592" max="14592" width="18.54296875" style="767" customWidth="1"/>
    <col min="14593" max="14593" width="9" style="767" customWidth="1"/>
    <col min="14594" max="14594" width="9.1796875" style="767"/>
    <col min="14595" max="14595" width="13.1796875" style="767" customWidth="1"/>
    <col min="14596" max="14596" width="9.1796875" style="767"/>
    <col min="14597" max="14597" width="22.7265625" style="767" customWidth="1"/>
    <col min="14598" max="14836" width="9.1796875" style="767"/>
    <col min="14837" max="14837" width="3.7265625" style="767" customWidth="1"/>
    <col min="14838" max="14838" width="14.453125" style="767" customWidth="1"/>
    <col min="14839" max="14839" width="3.7265625" style="767" customWidth="1"/>
    <col min="14840" max="14840" width="22.54296875" style="767" customWidth="1"/>
    <col min="14841" max="14847" width="10.54296875" style="767" customWidth="1"/>
    <col min="14848" max="14848" width="18.54296875" style="767" customWidth="1"/>
    <col min="14849" max="14849" width="9" style="767" customWidth="1"/>
    <col min="14850" max="14850" width="9.1796875" style="767"/>
    <col min="14851" max="14851" width="13.1796875" style="767" customWidth="1"/>
    <col min="14852" max="14852" width="9.1796875" style="767"/>
    <col min="14853" max="14853" width="22.7265625" style="767" customWidth="1"/>
    <col min="14854" max="15092" width="9.1796875" style="767"/>
    <col min="15093" max="15093" width="3.7265625" style="767" customWidth="1"/>
    <col min="15094" max="15094" width="14.453125" style="767" customWidth="1"/>
    <col min="15095" max="15095" width="3.7265625" style="767" customWidth="1"/>
    <col min="15096" max="15096" width="22.54296875" style="767" customWidth="1"/>
    <col min="15097" max="15103" width="10.54296875" style="767" customWidth="1"/>
    <col min="15104" max="15104" width="18.54296875" style="767" customWidth="1"/>
    <col min="15105" max="15105" width="9" style="767" customWidth="1"/>
    <col min="15106" max="15106" width="9.1796875" style="767"/>
    <col min="15107" max="15107" width="13.1796875" style="767" customWidth="1"/>
    <col min="15108" max="15108" width="9.1796875" style="767"/>
    <col min="15109" max="15109" width="22.7265625" style="767" customWidth="1"/>
    <col min="15110" max="15348" width="9.1796875" style="767"/>
    <col min="15349" max="15349" width="3.7265625" style="767" customWidth="1"/>
    <col min="15350" max="15350" width="14.453125" style="767" customWidth="1"/>
    <col min="15351" max="15351" width="3.7265625" style="767" customWidth="1"/>
    <col min="15352" max="15352" width="22.54296875" style="767" customWidth="1"/>
    <col min="15353" max="15359" width="10.54296875" style="767" customWidth="1"/>
    <col min="15360" max="15360" width="18.54296875" style="767" customWidth="1"/>
    <col min="15361" max="15361" width="9" style="767" customWidth="1"/>
    <col min="15362" max="15362" width="9.1796875" style="767"/>
    <col min="15363" max="15363" width="13.1796875" style="767" customWidth="1"/>
    <col min="15364" max="15364" width="9.1796875" style="767"/>
    <col min="15365" max="15365" width="22.7265625" style="767" customWidth="1"/>
    <col min="15366" max="15604" width="9.1796875" style="767"/>
    <col min="15605" max="15605" width="3.7265625" style="767" customWidth="1"/>
    <col min="15606" max="15606" width="14.453125" style="767" customWidth="1"/>
    <col min="15607" max="15607" width="3.7265625" style="767" customWidth="1"/>
    <col min="15608" max="15608" width="22.54296875" style="767" customWidth="1"/>
    <col min="15609" max="15615" width="10.54296875" style="767" customWidth="1"/>
    <col min="15616" max="15616" width="18.54296875" style="767" customWidth="1"/>
    <col min="15617" max="15617" width="9" style="767" customWidth="1"/>
    <col min="15618" max="15618" width="9.1796875" style="767"/>
    <col min="15619" max="15619" width="13.1796875" style="767" customWidth="1"/>
    <col min="15620" max="15620" width="9.1796875" style="767"/>
    <col min="15621" max="15621" width="22.7265625" style="767" customWidth="1"/>
    <col min="15622" max="15860" width="9.1796875" style="767"/>
    <col min="15861" max="15861" width="3.7265625" style="767" customWidth="1"/>
    <col min="15862" max="15862" width="14.453125" style="767" customWidth="1"/>
    <col min="15863" max="15863" width="3.7265625" style="767" customWidth="1"/>
    <col min="15864" max="15864" width="22.54296875" style="767" customWidth="1"/>
    <col min="15865" max="15871" width="10.54296875" style="767" customWidth="1"/>
    <col min="15872" max="15872" width="18.54296875" style="767" customWidth="1"/>
    <col min="15873" max="15873" width="9" style="767" customWidth="1"/>
    <col min="15874" max="15874" width="9.1796875" style="767"/>
    <col min="15875" max="15875" width="13.1796875" style="767" customWidth="1"/>
    <col min="15876" max="15876" width="9.1796875" style="767"/>
    <col min="15877" max="15877" width="22.7265625" style="767" customWidth="1"/>
    <col min="15878" max="16116" width="9.1796875" style="767"/>
    <col min="16117" max="16117" width="3.7265625" style="767" customWidth="1"/>
    <col min="16118" max="16118" width="14.453125" style="767" customWidth="1"/>
    <col min="16119" max="16119" width="3.7265625" style="767" customWidth="1"/>
    <col min="16120" max="16120" width="22.54296875" style="767" customWidth="1"/>
    <col min="16121" max="16127" width="10.54296875" style="767" customWidth="1"/>
    <col min="16128" max="16128" width="18.54296875" style="767" customWidth="1"/>
    <col min="16129" max="16129" width="9" style="767" customWidth="1"/>
    <col min="16130" max="16130" width="9.1796875" style="767"/>
    <col min="16131" max="16131" width="13.1796875" style="767" customWidth="1"/>
    <col min="16132" max="16132" width="9.1796875" style="767"/>
    <col min="16133" max="16133" width="22.7265625" style="767" customWidth="1"/>
    <col min="16134" max="16384" width="9.1796875" style="767"/>
  </cols>
  <sheetData>
    <row r="1" spans="1:24" s="1764" customFormat="1" ht="14" x14ac:dyDescent="0.3">
      <c r="A1" s="2070"/>
      <c r="B1" s="1768"/>
      <c r="C1" s="1768"/>
      <c r="N1" s="4280"/>
      <c r="S1" s="3012"/>
      <c r="T1" s="3012"/>
    </row>
    <row r="2" spans="1:24" s="1764" customFormat="1" ht="15" customHeight="1" x14ac:dyDescent="0.3">
      <c r="A2" s="1255">
        <v>1</v>
      </c>
      <c r="B2" s="1255" t="s">
        <v>0</v>
      </c>
      <c r="C2" s="1255">
        <v>83</v>
      </c>
      <c r="D2" s="4733" t="s">
        <v>1892</v>
      </c>
      <c r="E2" s="4734"/>
      <c r="F2" s="4734"/>
      <c r="G2" s="4734"/>
      <c r="H2" s="4734"/>
      <c r="I2" s="4734"/>
      <c r="J2" s="4734"/>
      <c r="K2" s="4734"/>
      <c r="L2" s="4734"/>
      <c r="M2" s="4734"/>
      <c r="N2" s="4734"/>
      <c r="O2" s="4734"/>
      <c r="P2" s="4734"/>
      <c r="Q2" s="4734"/>
      <c r="R2" s="4734"/>
      <c r="S2" s="4734"/>
      <c r="T2" s="4734"/>
      <c r="U2" s="4734"/>
      <c r="V2" s="4735"/>
      <c r="W2" s="1513"/>
    </row>
    <row r="3" spans="1:24" s="1764" customFormat="1" ht="14" x14ac:dyDescent="0.3">
      <c r="A3" s="1255">
        <v>2</v>
      </c>
      <c r="B3" s="1255" t="s">
        <v>2</v>
      </c>
      <c r="C3" s="1255"/>
      <c r="D3" s="4733" t="s">
        <v>1699</v>
      </c>
      <c r="E3" s="4734"/>
      <c r="F3" s="4734"/>
      <c r="G3" s="4734"/>
      <c r="H3" s="4734"/>
      <c r="I3" s="4734"/>
      <c r="J3" s="4734"/>
      <c r="K3" s="4734"/>
      <c r="L3" s="4734"/>
      <c r="M3" s="4734"/>
      <c r="N3" s="4734"/>
      <c r="O3" s="4734"/>
      <c r="P3" s="4734"/>
      <c r="Q3" s="4734"/>
      <c r="R3" s="4734"/>
      <c r="S3" s="4734"/>
      <c r="T3" s="4734"/>
      <c r="U3" s="4734"/>
      <c r="V3" s="4735"/>
      <c r="W3" s="1513"/>
    </row>
    <row r="4" spans="1:24" s="1764" customFormat="1" ht="14.25" customHeight="1" x14ac:dyDescent="0.3">
      <c r="A4" s="1255">
        <v>3</v>
      </c>
      <c r="B4" s="1255" t="s">
        <v>4</v>
      </c>
      <c r="C4" s="1255"/>
      <c r="D4" s="4733" t="s">
        <v>1893</v>
      </c>
      <c r="E4" s="4734"/>
      <c r="F4" s="4734"/>
      <c r="G4" s="4734"/>
      <c r="H4" s="4734"/>
      <c r="I4" s="4734"/>
      <c r="J4" s="4734"/>
      <c r="K4" s="4734"/>
      <c r="L4" s="4734"/>
      <c r="M4" s="4734"/>
      <c r="N4" s="4734"/>
      <c r="O4" s="4734"/>
      <c r="P4" s="4734"/>
      <c r="Q4" s="4734"/>
      <c r="R4" s="4734"/>
      <c r="S4" s="4734"/>
      <c r="T4" s="4734"/>
      <c r="U4" s="4734"/>
      <c r="V4" s="4735"/>
      <c r="W4" s="1513"/>
    </row>
    <row r="5" spans="1:24" s="1764" customFormat="1" ht="14.25" customHeight="1" x14ac:dyDescent="0.3">
      <c r="A5" s="1255"/>
      <c r="B5" s="1255"/>
      <c r="C5" s="1255"/>
      <c r="D5" s="1513"/>
      <c r="E5" s="1513"/>
      <c r="F5" s="1513"/>
      <c r="G5" s="1513"/>
      <c r="H5" s="1513"/>
      <c r="I5" s="1513"/>
      <c r="J5" s="1513"/>
      <c r="K5" s="1513"/>
      <c r="L5" s="1513"/>
      <c r="M5" s="1513"/>
      <c r="N5" s="4281"/>
      <c r="O5" s="1513"/>
      <c r="P5" s="1513"/>
      <c r="Q5" s="1513"/>
      <c r="R5" s="1513"/>
      <c r="S5" s="1513"/>
      <c r="T5" s="1513"/>
      <c r="U5" s="1513"/>
      <c r="V5" s="1513"/>
      <c r="W5" s="1513"/>
    </row>
    <row r="6" spans="1:24" ht="13" x14ac:dyDescent="0.25">
      <c r="A6" s="1255">
        <v>4</v>
      </c>
      <c r="B6" s="728" t="s">
        <v>6</v>
      </c>
      <c r="C6" s="1255"/>
      <c r="D6" s="1484" t="s">
        <v>7</v>
      </c>
      <c r="E6" s="785" t="s">
        <v>1894</v>
      </c>
      <c r="F6" s="3012"/>
      <c r="G6" s="3012"/>
      <c r="H6" s="3012"/>
      <c r="I6" s="3012"/>
      <c r="J6" s="3012"/>
      <c r="K6" s="3012"/>
      <c r="L6" s="3012"/>
      <c r="M6" s="3012"/>
      <c r="N6" s="3527"/>
      <c r="O6" s="3012"/>
    </row>
    <row r="7" spans="1:24" ht="27.65" customHeight="1" x14ac:dyDescent="0.25">
      <c r="C7" s="1255"/>
      <c r="D7" s="4282"/>
      <c r="E7" s="4283">
        <v>2006</v>
      </c>
      <c r="F7" s="4283">
        <v>2007</v>
      </c>
      <c r="G7" s="4283">
        <v>2008</v>
      </c>
      <c r="H7" s="4283">
        <v>2009</v>
      </c>
      <c r="I7" s="4283">
        <v>2010</v>
      </c>
      <c r="J7" s="4283">
        <v>2011</v>
      </c>
      <c r="K7" s="4283">
        <v>2012</v>
      </c>
      <c r="L7" s="4283">
        <v>2013</v>
      </c>
      <c r="M7" s="4283">
        <v>2014</v>
      </c>
      <c r="N7" s="4283">
        <v>2015</v>
      </c>
      <c r="O7" s="4283">
        <v>2016</v>
      </c>
      <c r="P7" s="4284">
        <v>2017</v>
      </c>
      <c r="Q7" s="4284">
        <v>2018</v>
      </c>
      <c r="R7" s="4284">
        <v>2019</v>
      </c>
      <c r="S7" s="4284">
        <v>2020</v>
      </c>
      <c r="T7" s="4285" t="s">
        <v>1895</v>
      </c>
      <c r="X7" s="4286"/>
    </row>
    <row r="8" spans="1:24" ht="13" x14ac:dyDescent="0.25">
      <c r="C8" s="1255"/>
      <c r="D8" s="2109" t="s">
        <v>50</v>
      </c>
      <c r="E8" s="2411">
        <v>21</v>
      </c>
      <c r="F8" s="2411">
        <v>25</v>
      </c>
      <c r="G8" s="4287">
        <v>24</v>
      </c>
      <c r="H8" s="4287">
        <v>20</v>
      </c>
      <c r="I8" s="4287">
        <v>23</v>
      </c>
      <c r="J8" s="4287">
        <v>21</v>
      </c>
      <c r="K8" s="4287">
        <v>18</v>
      </c>
      <c r="L8" s="4287">
        <v>12</v>
      </c>
      <c r="M8" s="4287">
        <v>6</v>
      </c>
      <c r="N8" s="4288">
        <v>18</v>
      </c>
      <c r="O8" s="4288">
        <v>18</v>
      </c>
      <c r="P8" s="4289">
        <v>23</v>
      </c>
      <c r="Q8" s="4289">
        <v>24</v>
      </c>
      <c r="R8" s="4289">
        <v>15</v>
      </c>
      <c r="S8" s="4289">
        <v>12</v>
      </c>
      <c r="T8" s="4290" t="s">
        <v>1179</v>
      </c>
      <c r="X8" s="4291"/>
    </row>
    <row r="9" spans="1:24" ht="13" x14ac:dyDescent="0.25">
      <c r="C9" s="1255"/>
      <c r="D9" s="2109" t="s">
        <v>303</v>
      </c>
      <c r="E9" s="2411">
        <v>16</v>
      </c>
      <c r="F9" s="2411">
        <v>17</v>
      </c>
      <c r="G9" s="4287">
        <v>17</v>
      </c>
      <c r="H9" s="4287">
        <v>22</v>
      </c>
      <c r="I9" s="4287">
        <v>24</v>
      </c>
      <c r="J9" s="4287">
        <v>17</v>
      </c>
      <c r="K9" s="4287">
        <v>24</v>
      </c>
      <c r="L9" s="4287">
        <v>21</v>
      </c>
      <c r="M9" s="4287">
        <v>22</v>
      </c>
      <c r="N9" s="4288">
        <v>17</v>
      </c>
      <c r="O9" s="4288">
        <v>16</v>
      </c>
      <c r="P9" s="4289">
        <v>12</v>
      </c>
      <c r="Q9" s="4289">
        <v>12</v>
      </c>
      <c r="R9" s="4289">
        <v>16</v>
      </c>
      <c r="S9" s="4289">
        <v>18</v>
      </c>
      <c r="T9" s="4290" t="s">
        <v>831</v>
      </c>
      <c r="X9" s="4292"/>
    </row>
    <row r="10" spans="1:24" ht="13" x14ac:dyDescent="0.25">
      <c r="C10" s="1255"/>
      <c r="D10" s="2109" t="s">
        <v>309</v>
      </c>
      <c r="E10" s="2411">
        <v>23</v>
      </c>
      <c r="F10" s="2411">
        <v>32</v>
      </c>
      <c r="G10" s="4287">
        <v>27</v>
      </c>
      <c r="H10" s="4287">
        <v>24</v>
      </c>
      <c r="I10" s="4287">
        <v>17</v>
      </c>
      <c r="J10" s="4287">
        <v>20</v>
      </c>
      <c r="K10" s="4287">
        <v>23</v>
      </c>
      <c r="L10" s="4287">
        <v>19</v>
      </c>
      <c r="M10" s="4287">
        <v>20</v>
      </c>
      <c r="N10" s="4288">
        <v>28</v>
      </c>
      <c r="O10" s="4288">
        <v>32</v>
      </c>
      <c r="P10" s="4289">
        <v>49</v>
      </c>
      <c r="Q10" s="4289">
        <v>25</v>
      </c>
      <c r="R10" s="4289">
        <v>20</v>
      </c>
      <c r="S10" s="4289">
        <v>13</v>
      </c>
      <c r="T10" s="4290" t="s">
        <v>1179</v>
      </c>
      <c r="X10" s="4292"/>
    </row>
    <row r="11" spans="1:24" ht="13" x14ac:dyDescent="0.25">
      <c r="C11" s="1255"/>
      <c r="D11" s="2109" t="s">
        <v>304</v>
      </c>
      <c r="E11" s="2411">
        <v>15</v>
      </c>
      <c r="F11" s="2411">
        <v>16</v>
      </c>
      <c r="G11" s="4287">
        <v>26</v>
      </c>
      <c r="H11" s="4287">
        <v>28</v>
      </c>
      <c r="I11" s="4287">
        <v>26</v>
      </c>
      <c r="J11" s="4287">
        <v>23</v>
      </c>
      <c r="K11" s="4287">
        <v>27</v>
      </c>
      <c r="L11" s="4287">
        <v>27</v>
      </c>
      <c r="M11" s="4287">
        <v>17</v>
      </c>
      <c r="N11" s="4288">
        <v>24</v>
      </c>
      <c r="O11" s="4288">
        <v>20</v>
      </c>
      <c r="P11" s="4289">
        <v>21</v>
      </c>
      <c r="Q11" s="4289">
        <v>16</v>
      </c>
      <c r="R11" s="4289">
        <v>14</v>
      </c>
      <c r="S11" s="4289">
        <v>11</v>
      </c>
      <c r="T11" s="4290" t="s">
        <v>1179</v>
      </c>
      <c r="X11" s="4292"/>
    </row>
    <row r="12" spans="1:24" ht="13" x14ac:dyDescent="0.25">
      <c r="C12" s="1255"/>
      <c r="D12" s="2109" t="s">
        <v>307</v>
      </c>
      <c r="E12" s="2411">
        <v>26</v>
      </c>
      <c r="F12" s="2411">
        <v>24</v>
      </c>
      <c r="G12" s="4287">
        <v>22</v>
      </c>
      <c r="H12" s="4287">
        <v>29</v>
      </c>
      <c r="I12" s="4287">
        <v>27</v>
      </c>
      <c r="J12" s="4287">
        <v>24</v>
      </c>
      <c r="K12" s="4287">
        <v>21</v>
      </c>
      <c r="L12" s="4287">
        <v>25</v>
      </c>
      <c r="M12" s="4287">
        <v>24</v>
      </c>
      <c r="N12" s="4288">
        <v>23</v>
      </c>
      <c r="O12" s="4288">
        <v>22</v>
      </c>
      <c r="P12" s="4289">
        <v>14</v>
      </c>
      <c r="Q12" s="4289">
        <v>19</v>
      </c>
      <c r="R12" s="4289">
        <v>19</v>
      </c>
      <c r="S12" s="4289">
        <v>19</v>
      </c>
      <c r="T12" s="4290" t="s">
        <v>1896</v>
      </c>
      <c r="X12" s="4291"/>
    </row>
    <row r="13" spans="1:24" ht="13" x14ac:dyDescent="0.25">
      <c r="C13" s="1255"/>
      <c r="D13" s="4293" t="s">
        <v>306</v>
      </c>
      <c r="E13" s="4294">
        <v>28</v>
      </c>
      <c r="F13" s="4294">
        <v>29</v>
      </c>
      <c r="G13" s="4295">
        <v>35</v>
      </c>
      <c r="H13" s="4295">
        <v>32</v>
      </c>
      <c r="I13" s="4295">
        <v>34</v>
      </c>
      <c r="J13" s="4295">
        <v>34</v>
      </c>
      <c r="K13" s="4295">
        <v>35</v>
      </c>
      <c r="L13" s="4295">
        <v>39</v>
      </c>
      <c r="M13" s="4295">
        <v>41</v>
      </c>
      <c r="N13" s="4296">
        <v>43</v>
      </c>
      <c r="O13" s="4296">
        <v>73</v>
      </c>
      <c r="P13" s="4296">
        <v>74</v>
      </c>
      <c r="Q13" s="4296">
        <v>82</v>
      </c>
      <c r="R13" s="4296">
        <v>82</v>
      </c>
      <c r="S13" s="4296">
        <v>84</v>
      </c>
      <c r="T13" s="4290" t="s">
        <v>1179</v>
      </c>
      <c r="X13" s="4291"/>
    </row>
    <row r="14" spans="1:24" ht="13" x14ac:dyDescent="0.25">
      <c r="C14" s="1255"/>
      <c r="D14" s="2109" t="s">
        <v>1897</v>
      </c>
      <c r="E14" s="2411">
        <v>37</v>
      </c>
      <c r="F14" s="2411">
        <v>36</v>
      </c>
      <c r="G14" s="4287">
        <v>32</v>
      </c>
      <c r="H14" s="4287">
        <v>36</v>
      </c>
      <c r="I14" s="4287">
        <v>42</v>
      </c>
      <c r="J14" s="4287">
        <v>41</v>
      </c>
      <c r="K14" s="4287">
        <v>48</v>
      </c>
      <c r="L14" s="4287">
        <v>46</v>
      </c>
      <c r="M14" s="4287">
        <v>49</v>
      </c>
      <c r="N14" s="4288">
        <v>37</v>
      </c>
      <c r="O14" s="4288">
        <v>29</v>
      </c>
      <c r="P14" s="4289">
        <v>33</v>
      </c>
      <c r="Q14" s="4289">
        <v>39</v>
      </c>
      <c r="R14" s="4289">
        <v>42</v>
      </c>
      <c r="S14" s="4289">
        <v>45</v>
      </c>
      <c r="T14" s="4290" t="s">
        <v>831</v>
      </c>
      <c r="X14" s="4291"/>
    </row>
    <row r="15" spans="1:24" ht="13" x14ac:dyDescent="0.25">
      <c r="C15" s="1255"/>
      <c r="D15" s="2109" t="s">
        <v>39</v>
      </c>
      <c r="E15" s="2411">
        <v>40</v>
      </c>
      <c r="F15" s="2411">
        <v>48</v>
      </c>
      <c r="G15" s="4287">
        <v>51</v>
      </c>
      <c r="H15" s="4287">
        <v>38</v>
      </c>
      <c r="I15" s="4287">
        <v>45</v>
      </c>
      <c r="J15" s="4287">
        <v>52</v>
      </c>
      <c r="K15" s="4287">
        <v>54</v>
      </c>
      <c r="L15" s="4287">
        <v>59</v>
      </c>
      <c r="M15" s="4287">
        <v>56</v>
      </c>
      <c r="N15" s="4288">
        <v>74</v>
      </c>
      <c r="O15" s="4288">
        <v>72</v>
      </c>
      <c r="P15" s="4289">
        <v>71</v>
      </c>
      <c r="Q15" s="4289">
        <v>81</v>
      </c>
      <c r="R15" s="4289">
        <v>86</v>
      </c>
      <c r="S15" s="4289">
        <v>87</v>
      </c>
      <c r="T15" s="4290" t="s">
        <v>831</v>
      </c>
      <c r="X15" s="4291"/>
    </row>
    <row r="16" spans="1:24" ht="13" x14ac:dyDescent="0.25">
      <c r="C16" s="1255"/>
      <c r="D16" s="2109" t="s">
        <v>42</v>
      </c>
      <c r="E16" s="2411">
        <v>25</v>
      </c>
      <c r="F16" s="2411">
        <v>28</v>
      </c>
      <c r="G16" s="4287">
        <v>33</v>
      </c>
      <c r="H16" s="4287">
        <v>40</v>
      </c>
      <c r="I16" s="4287">
        <v>49</v>
      </c>
      <c r="J16" s="4287">
        <v>43</v>
      </c>
      <c r="K16" s="4287">
        <v>39</v>
      </c>
      <c r="L16" s="4287">
        <v>37</v>
      </c>
      <c r="M16" s="4287">
        <v>34</v>
      </c>
      <c r="N16" s="4288">
        <v>41</v>
      </c>
      <c r="O16" s="4288">
        <v>48</v>
      </c>
      <c r="P16" s="4289">
        <v>57</v>
      </c>
      <c r="Q16" s="4289">
        <v>55</v>
      </c>
      <c r="R16" s="4289">
        <v>56</v>
      </c>
      <c r="S16" s="4289">
        <v>59</v>
      </c>
      <c r="T16" s="4290" t="s">
        <v>831</v>
      </c>
      <c r="X16" s="4292"/>
    </row>
    <row r="17" spans="3:24" ht="13" x14ac:dyDescent="0.25">
      <c r="C17" s="1255"/>
      <c r="D17" s="2109" t="s">
        <v>308</v>
      </c>
      <c r="E17" s="2411">
        <v>52</v>
      </c>
      <c r="F17" s="2411">
        <v>66</v>
      </c>
      <c r="G17" s="4287">
        <v>45</v>
      </c>
      <c r="H17" s="4287">
        <v>41</v>
      </c>
      <c r="I17" s="4287">
        <v>47</v>
      </c>
      <c r="J17" s="4287">
        <v>46</v>
      </c>
      <c r="K17" s="4287">
        <v>51</v>
      </c>
      <c r="L17" s="4287">
        <v>54</v>
      </c>
      <c r="M17" s="4287">
        <v>54</v>
      </c>
      <c r="N17" s="4288">
        <v>54</v>
      </c>
      <c r="O17" s="4288">
        <v>42</v>
      </c>
      <c r="P17" s="4289">
        <v>41</v>
      </c>
      <c r="Q17" s="4289">
        <v>48</v>
      </c>
      <c r="R17" s="4289">
        <v>53</v>
      </c>
      <c r="S17" s="4289">
        <v>52</v>
      </c>
      <c r="T17" s="4290" t="s">
        <v>1179</v>
      </c>
      <c r="X17" s="4292"/>
    </row>
    <row r="18" spans="3:24" ht="13" x14ac:dyDescent="0.25">
      <c r="C18" s="1255"/>
      <c r="D18" s="2109" t="s">
        <v>310</v>
      </c>
      <c r="E18" s="2411">
        <v>78</v>
      </c>
      <c r="F18" s="2411">
        <v>49</v>
      </c>
      <c r="G18" s="4287">
        <v>48</v>
      </c>
      <c r="H18" s="4287">
        <v>47</v>
      </c>
      <c r="I18" s="4287">
        <v>55</v>
      </c>
      <c r="J18" s="4287">
        <v>56</v>
      </c>
      <c r="K18" s="4287">
        <v>72</v>
      </c>
      <c r="L18" s="4287">
        <v>72</v>
      </c>
      <c r="M18" s="4287">
        <v>73</v>
      </c>
      <c r="N18" s="4288">
        <v>48</v>
      </c>
      <c r="O18" s="4288">
        <v>37</v>
      </c>
      <c r="P18" s="4289">
        <v>36</v>
      </c>
      <c r="Q18" s="4289">
        <v>45</v>
      </c>
      <c r="R18" s="4289">
        <v>52</v>
      </c>
      <c r="S18" s="4289">
        <v>55</v>
      </c>
      <c r="T18" s="4290" t="s">
        <v>831</v>
      </c>
      <c r="X18" s="4291"/>
    </row>
    <row r="19" spans="3:24" ht="13" x14ac:dyDescent="0.25">
      <c r="C19" s="1255"/>
      <c r="D19" s="2109" t="s">
        <v>51</v>
      </c>
      <c r="E19" s="2411">
        <v>73</v>
      </c>
      <c r="F19" s="2411">
        <v>43</v>
      </c>
      <c r="G19" s="4287">
        <v>44</v>
      </c>
      <c r="H19" s="4287">
        <v>56</v>
      </c>
      <c r="I19" s="4287">
        <v>51</v>
      </c>
      <c r="J19" s="4287">
        <v>35</v>
      </c>
      <c r="K19" s="4287">
        <v>53</v>
      </c>
      <c r="L19" s="4287">
        <v>48</v>
      </c>
      <c r="M19" s="4287">
        <v>53</v>
      </c>
      <c r="N19" s="4288">
        <v>39</v>
      </c>
      <c r="O19" s="4288">
        <v>38</v>
      </c>
      <c r="P19" s="4289">
        <v>47</v>
      </c>
      <c r="Q19" s="4289">
        <v>49</v>
      </c>
      <c r="R19" s="4289">
        <v>54</v>
      </c>
      <c r="S19" s="4289">
        <v>60</v>
      </c>
      <c r="T19" s="4290" t="s">
        <v>831</v>
      </c>
      <c r="X19" s="4291"/>
    </row>
    <row r="20" spans="3:24" ht="13" x14ac:dyDescent="0.25">
      <c r="C20" s="1255"/>
      <c r="D20" s="4297" t="s">
        <v>1898</v>
      </c>
      <c r="E20" s="3052">
        <v>51</v>
      </c>
      <c r="F20" s="3052">
        <v>55</v>
      </c>
      <c r="G20" s="4298">
        <v>49</v>
      </c>
      <c r="H20" s="4298">
        <v>57</v>
      </c>
      <c r="I20" s="4298">
        <v>65</v>
      </c>
      <c r="J20" s="4298">
        <v>57</v>
      </c>
      <c r="K20" s="4298">
        <v>49</v>
      </c>
      <c r="L20" s="4298">
        <v>47</v>
      </c>
      <c r="M20" s="4298">
        <v>47</v>
      </c>
      <c r="N20" s="4288">
        <v>66</v>
      </c>
      <c r="O20" s="4288">
        <v>70</v>
      </c>
      <c r="P20" s="4289">
        <v>66</v>
      </c>
      <c r="Q20" s="4289">
        <v>71</v>
      </c>
      <c r="R20" s="4289">
        <v>78</v>
      </c>
      <c r="S20" s="4289">
        <v>68</v>
      </c>
      <c r="T20" s="4290" t="s">
        <v>1179</v>
      </c>
      <c r="X20" s="4291"/>
    </row>
    <row r="21" spans="3:24" ht="13" x14ac:dyDescent="0.25">
      <c r="C21" s="1255"/>
      <c r="D21" s="4299" t="s">
        <v>1899</v>
      </c>
      <c r="E21" s="4300">
        <v>155</v>
      </c>
      <c r="F21" s="4300">
        <v>175</v>
      </c>
      <c r="G21" s="4300">
        <v>178</v>
      </c>
      <c r="H21" s="4300">
        <v>181</v>
      </c>
      <c r="I21" s="4300">
        <v>183</v>
      </c>
      <c r="J21" s="4300">
        <v>183</v>
      </c>
      <c r="K21" s="4300">
        <v>183</v>
      </c>
      <c r="L21" s="4300">
        <v>185</v>
      </c>
      <c r="M21" s="4300">
        <v>189</v>
      </c>
      <c r="N21" s="4300">
        <v>189</v>
      </c>
      <c r="O21" s="4300">
        <v>189</v>
      </c>
      <c r="P21" s="4301">
        <v>190</v>
      </c>
      <c r="Q21" s="4301">
        <v>190</v>
      </c>
      <c r="R21" s="4301">
        <v>190</v>
      </c>
      <c r="S21" s="4301">
        <v>190</v>
      </c>
      <c r="T21" s="4302" t="s">
        <v>1896</v>
      </c>
      <c r="X21" s="658"/>
    </row>
    <row r="22" spans="3:24" ht="13" x14ac:dyDescent="0.25">
      <c r="C22" s="1255"/>
      <c r="D22" s="2044"/>
      <c r="E22" s="1270"/>
      <c r="F22" s="1270"/>
      <c r="G22" s="1270"/>
      <c r="H22" s="1270"/>
      <c r="I22" s="1270"/>
      <c r="J22" s="1270"/>
      <c r="K22" s="1270"/>
      <c r="L22" s="1270"/>
      <c r="M22" s="1270"/>
      <c r="N22" s="3602"/>
      <c r="O22" s="1270"/>
      <c r="P22" s="1270"/>
      <c r="Q22" s="658"/>
      <c r="R22" s="658"/>
      <c r="S22" s="658"/>
      <c r="T22" s="658"/>
      <c r="U22" s="3012"/>
      <c r="V22" s="658"/>
      <c r="W22" s="2108"/>
      <c r="X22" s="658"/>
    </row>
    <row r="23" spans="3:24" ht="13" x14ac:dyDescent="0.25">
      <c r="C23" s="1255"/>
      <c r="D23" s="2044"/>
      <c r="E23" s="1270"/>
      <c r="F23" s="1270"/>
      <c r="G23" s="1270"/>
      <c r="H23" s="1270"/>
      <c r="I23" s="1270"/>
      <c r="J23" s="1270"/>
      <c r="K23" s="1270"/>
      <c r="L23" s="1270"/>
      <c r="M23" s="1270"/>
      <c r="N23" s="3602"/>
      <c r="O23" s="1270"/>
      <c r="P23" s="1270"/>
      <c r="Q23" s="658"/>
      <c r="R23" s="658"/>
      <c r="S23" s="658"/>
      <c r="T23" s="658"/>
      <c r="U23" s="3012"/>
      <c r="V23" s="658"/>
      <c r="W23" s="2108"/>
      <c r="X23" s="658"/>
    </row>
    <row r="24" spans="3:24" ht="13" x14ac:dyDescent="0.25">
      <c r="C24" s="1255"/>
      <c r="D24" s="2044"/>
      <c r="E24" s="1270"/>
      <c r="F24" s="1270"/>
      <c r="G24" s="1270"/>
      <c r="H24" s="1270"/>
      <c r="I24" s="1270"/>
      <c r="J24" s="1270"/>
      <c r="K24" s="1270"/>
      <c r="L24" s="1270"/>
      <c r="M24" s="1270"/>
      <c r="N24" s="3602"/>
      <c r="O24" s="1270"/>
      <c r="P24" s="1270"/>
      <c r="Q24" s="658"/>
      <c r="R24" s="658"/>
      <c r="S24" s="658"/>
      <c r="T24" s="658"/>
      <c r="U24" s="3012"/>
      <c r="V24" s="658"/>
      <c r="W24" s="2108"/>
      <c r="X24" s="658"/>
    </row>
    <row r="25" spans="3:24" ht="13" x14ac:dyDescent="0.25">
      <c r="C25" s="1255"/>
      <c r="D25" s="2044"/>
      <c r="E25" s="1270"/>
      <c r="F25" s="1270"/>
      <c r="G25" s="1270"/>
      <c r="H25" s="1270"/>
      <c r="I25" s="1270"/>
      <c r="J25" s="1270"/>
      <c r="K25" s="1270"/>
      <c r="L25" s="1270"/>
      <c r="M25" s="1270"/>
      <c r="N25" s="3602"/>
      <c r="O25" s="1270"/>
      <c r="P25" s="1270"/>
      <c r="Q25" s="658"/>
      <c r="R25" s="658"/>
      <c r="S25" s="658"/>
      <c r="T25" s="658"/>
      <c r="U25" s="3012"/>
      <c r="V25" s="658"/>
      <c r="W25" s="2108"/>
      <c r="X25" s="658"/>
    </row>
    <row r="26" spans="3:24" ht="13" x14ac:dyDescent="0.25">
      <c r="C26" s="1255"/>
      <c r="D26" s="2044"/>
      <c r="E26" s="1270"/>
      <c r="F26" s="1270"/>
      <c r="G26" s="1270"/>
      <c r="H26" s="1270"/>
      <c r="I26" s="1270"/>
      <c r="J26" s="1270"/>
      <c r="K26" s="1270"/>
      <c r="L26" s="1270"/>
      <c r="M26" s="1270"/>
      <c r="N26" s="3602"/>
      <c r="O26" s="1270"/>
      <c r="P26" s="1270"/>
      <c r="Q26" s="658"/>
      <c r="R26" s="658"/>
      <c r="S26" s="658"/>
      <c r="T26" s="658"/>
      <c r="U26" s="3012"/>
      <c r="V26" s="658"/>
      <c r="W26" s="2108"/>
      <c r="X26" s="658"/>
    </row>
    <row r="27" spans="3:24" ht="13" x14ac:dyDescent="0.25">
      <c r="C27" s="1255"/>
      <c r="D27" s="2044"/>
      <c r="E27" s="1270"/>
      <c r="F27" s="1270"/>
      <c r="G27" s="1270"/>
      <c r="H27" s="1270"/>
      <c r="I27" s="1270"/>
      <c r="J27" s="1270"/>
      <c r="K27" s="1270"/>
      <c r="L27" s="1270"/>
      <c r="M27" s="1270"/>
      <c r="N27" s="3602"/>
      <c r="O27" s="1270"/>
      <c r="P27" s="1270"/>
      <c r="Q27" s="658"/>
      <c r="R27" s="658"/>
      <c r="S27" s="658"/>
      <c r="T27" s="658"/>
      <c r="U27" s="3012"/>
      <c r="V27" s="658"/>
      <c r="W27" s="2108"/>
      <c r="X27" s="658"/>
    </row>
    <row r="28" spans="3:24" ht="13" x14ac:dyDescent="0.25">
      <c r="C28" s="1255"/>
      <c r="D28" s="2044"/>
      <c r="E28" s="1270"/>
      <c r="F28" s="1270"/>
      <c r="G28" s="1270"/>
      <c r="H28" s="1270"/>
      <c r="I28" s="1270"/>
      <c r="J28" s="1270"/>
      <c r="K28" s="1270"/>
      <c r="L28" s="1270"/>
      <c r="M28" s="1270"/>
      <c r="N28" s="3602"/>
      <c r="O28" s="1270"/>
      <c r="P28" s="1270"/>
      <c r="Q28" s="658"/>
      <c r="R28" s="658"/>
      <c r="S28" s="658"/>
      <c r="T28" s="658"/>
      <c r="U28" s="3012"/>
      <c r="V28" s="658"/>
      <c r="W28" s="2108"/>
      <c r="X28" s="658"/>
    </row>
    <row r="29" spans="3:24" ht="13" x14ac:dyDescent="0.25">
      <c r="C29" s="1255"/>
      <c r="D29" s="2044"/>
      <c r="E29" s="1270"/>
      <c r="F29" s="1270"/>
      <c r="G29" s="1270"/>
      <c r="H29" s="1270"/>
      <c r="I29" s="1270"/>
      <c r="J29" s="1270"/>
      <c r="K29" s="1270"/>
      <c r="L29" s="1270"/>
      <c r="M29" s="1270"/>
      <c r="N29" s="3602"/>
      <c r="O29" s="1270"/>
      <c r="P29" s="1270"/>
      <c r="Q29" s="658"/>
      <c r="R29" s="658"/>
      <c r="S29" s="658"/>
      <c r="T29" s="658"/>
      <c r="U29" s="3012"/>
      <c r="V29" s="658"/>
      <c r="W29" s="2108"/>
      <c r="X29" s="658"/>
    </row>
    <row r="30" spans="3:24" ht="13" x14ac:dyDescent="0.25">
      <c r="C30" s="1255"/>
      <c r="D30" s="2044"/>
      <c r="E30" s="1270"/>
      <c r="F30" s="1270"/>
      <c r="G30" s="1270"/>
      <c r="H30" s="1270"/>
      <c r="I30" s="1270"/>
      <c r="J30" s="1270"/>
      <c r="K30" s="1270"/>
      <c r="L30" s="1270"/>
      <c r="M30" s="1270"/>
      <c r="N30" s="3602"/>
      <c r="O30" s="1270"/>
      <c r="P30" s="1270"/>
      <c r="Q30" s="658"/>
      <c r="R30" s="658"/>
      <c r="S30" s="658"/>
      <c r="T30" s="658"/>
      <c r="U30" s="3012"/>
      <c r="V30" s="658"/>
      <c r="W30" s="2108"/>
      <c r="X30" s="658"/>
    </row>
    <row r="31" spans="3:24" ht="13" x14ac:dyDescent="0.25">
      <c r="C31" s="1255"/>
      <c r="D31" s="2044"/>
      <c r="E31" s="1270"/>
      <c r="F31" s="1270"/>
      <c r="G31" s="1270"/>
      <c r="H31" s="1270"/>
      <c r="I31" s="1270"/>
      <c r="J31" s="1270"/>
      <c r="K31" s="1270"/>
      <c r="L31" s="1270"/>
      <c r="M31" s="1270"/>
      <c r="N31" s="3602"/>
      <c r="O31" s="1270"/>
      <c r="P31" s="1270"/>
      <c r="Q31" s="658"/>
      <c r="R31" s="658"/>
      <c r="S31" s="658"/>
      <c r="T31" s="658"/>
      <c r="U31" s="3012"/>
      <c r="V31" s="658"/>
      <c r="W31" s="2108"/>
      <c r="X31" s="658"/>
    </row>
    <row r="32" spans="3:24" ht="13" x14ac:dyDescent="0.25">
      <c r="C32" s="1255"/>
      <c r="D32" s="2044"/>
      <c r="E32" s="1270"/>
      <c r="F32" s="1270"/>
      <c r="G32" s="1270"/>
      <c r="H32" s="1270"/>
      <c r="I32" s="1270"/>
      <c r="J32" s="1270"/>
      <c r="K32" s="1270"/>
      <c r="L32" s="1270"/>
      <c r="M32" s="1270"/>
      <c r="N32" s="3602"/>
      <c r="O32" s="1270"/>
      <c r="P32" s="1270"/>
      <c r="Q32" s="658"/>
      <c r="R32" s="658"/>
      <c r="S32" s="658"/>
      <c r="T32" s="658"/>
      <c r="U32" s="3012"/>
      <c r="V32" s="658"/>
      <c r="W32" s="2108"/>
      <c r="X32" s="658"/>
    </row>
    <row r="33" spans="1:25" ht="13" x14ac:dyDescent="0.25">
      <c r="C33" s="1255"/>
      <c r="D33" s="2044"/>
      <c r="E33" s="1270"/>
      <c r="F33" s="1270"/>
      <c r="G33" s="1270"/>
      <c r="H33" s="1270"/>
      <c r="I33" s="1270"/>
      <c r="J33" s="1270"/>
      <c r="K33" s="1270"/>
      <c r="L33" s="1270"/>
      <c r="M33" s="1270"/>
      <c r="N33" s="3602"/>
      <c r="O33" s="1270"/>
      <c r="P33" s="1270"/>
      <c r="Q33" s="658"/>
      <c r="R33" s="658"/>
      <c r="S33" s="658"/>
      <c r="T33" s="658"/>
      <c r="U33" s="3012"/>
      <c r="V33" s="658"/>
      <c r="W33" s="2108"/>
      <c r="X33" s="658"/>
    </row>
    <row r="34" spans="1:25" ht="13" x14ac:dyDescent="0.25">
      <c r="C34" s="1255"/>
      <c r="D34" s="2044"/>
      <c r="E34" s="1270"/>
      <c r="F34" s="1270"/>
      <c r="G34" s="1270"/>
      <c r="H34" s="1270"/>
      <c r="I34" s="1270"/>
      <c r="J34" s="1270"/>
      <c r="K34" s="1270"/>
      <c r="L34" s="1270"/>
      <c r="M34" s="1270"/>
      <c r="N34" s="3602"/>
      <c r="O34" s="1270"/>
      <c r="P34" s="1270"/>
      <c r="Q34" s="658"/>
      <c r="R34" s="658"/>
      <c r="S34" s="658"/>
      <c r="T34" s="658"/>
      <c r="U34" s="3012"/>
      <c r="V34" s="658"/>
      <c r="W34" s="2108"/>
      <c r="X34" s="658"/>
    </row>
    <row r="35" spans="1:25" ht="13" x14ac:dyDescent="0.25">
      <c r="C35" s="1255"/>
      <c r="D35" s="2044"/>
      <c r="E35" s="1270"/>
      <c r="F35" s="1270"/>
      <c r="G35" s="1270"/>
      <c r="H35" s="1270"/>
      <c r="I35" s="1270"/>
      <c r="J35" s="1270"/>
      <c r="K35" s="1270"/>
      <c r="L35" s="1270"/>
      <c r="M35" s="1270"/>
      <c r="N35" s="3602"/>
      <c r="O35" s="1270"/>
      <c r="P35" s="1270"/>
      <c r="Q35" s="658"/>
      <c r="R35" s="658"/>
      <c r="S35" s="658"/>
      <c r="T35" s="658"/>
      <c r="U35" s="3012"/>
      <c r="V35" s="658"/>
      <c r="W35" s="2108"/>
      <c r="X35" s="658"/>
    </row>
    <row r="36" spans="1:25" ht="13" x14ac:dyDescent="0.25">
      <c r="C36" s="1255"/>
      <c r="D36" s="2044"/>
      <c r="E36" s="1270"/>
      <c r="F36" s="1270"/>
      <c r="G36" s="1270"/>
      <c r="H36" s="1270"/>
      <c r="I36" s="1270"/>
      <c r="J36" s="1270"/>
      <c r="K36" s="1270"/>
      <c r="L36" s="1270"/>
      <c r="M36" s="1270"/>
      <c r="N36" s="3602"/>
      <c r="O36" s="1270"/>
      <c r="P36" s="1270"/>
      <c r="Q36" s="658"/>
      <c r="R36" s="658"/>
      <c r="S36" s="658"/>
      <c r="T36" s="658"/>
      <c r="U36" s="3012"/>
      <c r="V36" s="658"/>
      <c r="W36" s="2108"/>
      <c r="X36" s="658"/>
    </row>
    <row r="37" spans="1:25" ht="13" x14ac:dyDescent="0.25">
      <c r="C37" s="1255"/>
      <c r="D37" s="2044"/>
      <c r="E37" s="1270"/>
      <c r="F37" s="1270"/>
      <c r="G37" s="1270"/>
      <c r="H37" s="1270"/>
      <c r="I37" s="1270"/>
      <c r="J37" s="1270"/>
      <c r="K37" s="1270"/>
      <c r="L37" s="1270"/>
      <c r="M37" s="1270"/>
      <c r="N37" s="3602"/>
      <c r="O37" s="1270"/>
      <c r="P37" s="1270"/>
      <c r="Q37" s="658"/>
      <c r="R37" s="658"/>
      <c r="S37" s="658"/>
      <c r="T37" s="658"/>
      <c r="U37" s="3012"/>
      <c r="V37" s="658"/>
      <c r="W37" s="2108"/>
      <c r="X37" s="658"/>
    </row>
    <row r="38" spans="1:25" ht="13" x14ac:dyDescent="0.25">
      <c r="C38" s="1255"/>
      <c r="D38" s="2044"/>
      <c r="E38" s="1270"/>
      <c r="F38" s="1270"/>
      <c r="G38" s="1270"/>
      <c r="H38" s="1270"/>
      <c r="I38" s="1270"/>
      <c r="J38" s="1270"/>
      <c r="K38" s="1270"/>
      <c r="L38" s="1270"/>
      <c r="M38" s="1270"/>
      <c r="N38" s="3602"/>
      <c r="O38" s="1270"/>
      <c r="P38" s="1270"/>
      <c r="Q38" s="658"/>
      <c r="R38" s="658"/>
      <c r="S38" s="658"/>
      <c r="T38" s="658"/>
      <c r="U38" s="3012"/>
      <c r="V38" s="658"/>
      <c r="W38" s="2108"/>
      <c r="X38" s="658"/>
    </row>
    <row r="39" spans="1:25" ht="13" x14ac:dyDescent="0.25">
      <c r="C39" s="1255"/>
      <c r="D39" s="2044"/>
      <c r="E39" s="1270"/>
      <c r="F39" s="1270"/>
      <c r="G39" s="1270"/>
      <c r="H39" s="1270"/>
      <c r="I39" s="1270"/>
      <c r="J39" s="1270"/>
      <c r="K39" s="1270"/>
      <c r="L39" s="1270"/>
      <c r="M39" s="1270"/>
      <c r="N39" s="3602"/>
      <c r="O39" s="1270"/>
      <c r="P39" s="1270"/>
      <c r="Q39" s="658"/>
      <c r="R39" s="658"/>
      <c r="S39" s="658"/>
      <c r="T39" s="658"/>
      <c r="U39" s="3012"/>
      <c r="V39" s="658"/>
      <c r="W39" s="2108"/>
      <c r="X39" s="658"/>
    </row>
    <row r="40" spans="1:25" x14ac:dyDescent="0.25">
      <c r="D40" s="1629" t="s">
        <v>35</v>
      </c>
      <c r="E40" s="785" t="s">
        <v>1900</v>
      </c>
      <c r="F40" s="3012"/>
      <c r="G40" s="3012"/>
      <c r="H40" s="3012"/>
      <c r="I40" s="3012"/>
      <c r="J40" s="3012"/>
      <c r="K40" s="3012"/>
      <c r="L40" s="3012"/>
      <c r="M40" s="3012"/>
    </row>
    <row r="41" spans="1:25" ht="23.15" customHeight="1" x14ac:dyDescent="0.25">
      <c r="A41" s="1255"/>
      <c r="B41" s="1255"/>
      <c r="D41" s="4304" t="s">
        <v>1901</v>
      </c>
      <c r="E41" s="4305"/>
      <c r="F41" s="4283">
        <v>2006</v>
      </c>
      <c r="G41" s="4283">
        <v>2007</v>
      </c>
      <c r="H41" s="4283">
        <v>2008</v>
      </c>
      <c r="I41" s="4283">
        <v>2009</v>
      </c>
      <c r="J41" s="4283">
        <v>2010</v>
      </c>
      <c r="K41" s="4283">
        <v>2011</v>
      </c>
      <c r="L41" s="4283">
        <v>2012</v>
      </c>
      <c r="M41" s="4283">
        <v>2013</v>
      </c>
      <c r="N41" s="4283">
        <v>2014</v>
      </c>
      <c r="O41" s="4283">
        <v>2015</v>
      </c>
      <c r="P41" s="4306">
        <v>2016</v>
      </c>
      <c r="Q41" s="4284">
        <v>2017</v>
      </c>
      <c r="R41" s="4284">
        <v>2018</v>
      </c>
      <c r="S41" s="4284">
        <v>2019</v>
      </c>
      <c r="T41" s="4284">
        <v>2020</v>
      </c>
      <c r="U41" s="4285" t="s">
        <v>1902</v>
      </c>
      <c r="Y41" s="4286"/>
    </row>
    <row r="42" spans="1:25" ht="13" x14ac:dyDescent="0.25">
      <c r="B42" s="4307"/>
      <c r="C42" s="768"/>
      <c r="D42" s="4308" t="s">
        <v>1903</v>
      </c>
      <c r="E42" s="4309"/>
      <c r="F42" s="4310"/>
      <c r="G42" s="4310">
        <v>33</v>
      </c>
      <c r="H42" s="4310">
        <v>26</v>
      </c>
      <c r="I42" s="4310">
        <v>2</v>
      </c>
      <c r="J42" s="4310">
        <v>2</v>
      </c>
      <c r="K42" s="4310">
        <v>2</v>
      </c>
      <c r="L42" s="4310">
        <v>1</v>
      </c>
      <c r="M42" s="4310">
        <v>1</v>
      </c>
      <c r="N42" s="4310">
        <v>28</v>
      </c>
      <c r="O42" s="4310">
        <v>52</v>
      </c>
      <c r="P42" s="4310">
        <v>59</v>
      </c>
      <c r="Q42" s="4311">
        <v>62</v>
      </c>
      <c r="R42" s="4311">
        <v>68</v>
      </c>
      <c r="S42" s="4311">
        <v>73</v>
      </c>
      <c r="T42" s="4311">
        <v>80</v>
      </c>
      <c r="U42" s="4290" t="s">
        <v>831</v>
      </c>
      <c r="Y42" s="4291"/>
    </row>
    <row r="43" spans="1:25" ht="13" x14ac:dyDescent="0.25">
      <c r="B43" s="4307"/>
      <c r="C43" s="768"/>
      <c r="D43" s="4308" t="s">
        <v>1904</v>
      </c>
      <c r="E43" s="4309"/>
      <c r="F43" s="4310"/>
      <c r="G43" s="4310">
        <v>9</v>
      </c>
      <c r="H43" s="4310">
        <v>9</v>
      </c>
      <c r="I43" s="4310">
        <v>9</v>
      </c>
      <c r="J43" s="4310">
        <v>10</v>
      </c>
      <c r="K43" s="4310">
        <v>10</v>
      </c>
      <c r="L43" s="4310">
        <v>10</v>
      </c>
      <c r="M43" s="4310">
        <v>10</v>
      </c>
      <c r="N43" s="4310">
        <v>10</v>
      </c>
      <c r="O43" s="4310">
        <v>17</v>
      </c>
      <c r="P43" s="4310">
        <v>14</v>
      </c>
      <c r="Q43" s="4311">
        <v>22</v>
      </c>
      <c r="R43" s="4311">
        <v>24</v>
      </c>
      <c r="S43" s="4311">
        <v>23</v>
      </c>
      <c r="T43" s="4311">
        <v>13</v>
      </c>
      <c r="U43" s="4290" t="s">
        <v>1179</v>
      </c>
      <c r="Y43" s="4291"/>
    </row>
    <row r="44" spans="1:25" ht="13" x14ac:dyDescent="0.25">
      <c r="B44" s="4307"/>
      <c r="C44" s="768"/>
      <c r="D44" s="4308" t="s">
        <v>1905</v>
      </c>
      <c r="E44" s="4309"/>
      <c r="F44" s="4310"/>
      <c r="G44" s="4310">
        <v>74</v>
      </c>
      <c r="H44" s="4310">
        <v>61</v>
      </c>
      <c r="I44" s="4310">
        <v>23</v>
      </c>
      <c r="J44" s="4310">
        <v>23</v>
      </c>
      <c r="K44" s="4310">
        <v>24</v>
      </c>
      <c r="L44" s="4310">
        <v>44</v>
      </c>
      <c r="M44" s="4310">
        <v>32</v>
      </c>
      <c r="N44" s="4310">
        <v>24</v>
      </c>
      <c r="O44" s="4310">
        <v>19</v>
      </c>
      <c r="P44" s="4310">
        <v>20</v>
      </c>
      <c r="Q44" s="4311">
        <v>51</v>
      </c>
      <c r="R44" s="4311">
        <v>46</v>
      </c>
      <c r="S44" s="4311">
        <v>46</v>
      </c>
      <c r="T44" s="4311">
        <v>54</v>
      </c>
      <c r="U44" s="4290" t="s">
        <v>831</v>
      </c>
      <c r="Y44" s="4291"/>
    </row>
    <row r="45" spans="1:25" x14ac:dyDescent="0.25">
      <c r="D45" s="4308" t="s">
        <v>1892</v>
      </c>
      <c r="E45" s="4312"/>
      <c r="F45" s="4313">
        <v>28</v>
      </c>
      <c r="G45" s="4313">
        <v>29</v>
      </c>
      <c r="H45" s="4313">
        <v>35</v>
      </c>
      <c r="I45" s="4310">
        <v>32</v>
      </c>
      <c r="J45" s="4313">
        <v>34</v>
      </c>
      <c r="K45" s="4313">
        <v>34</v>
      </c>
      <c r="L45" s="4313">
        <v>35</v>
      </c>
      <c r="M45" s="4313">
        <v>39</v>
      </c>
      <c r="N45" s="4313">
        <v>41</v>
      </c>
      <c r="O45" s="4310">
        <v>43</v>
      </c>
      <c r="P45" s="4313">
        <v>73</v>
      </c>
      <c r="Q45" s="4311">
        <v>74</v>
      </c>
      <c r="R45" s="4311">
        <v>82</v>
      </c>
      <c r="S45" s="4311">
        <v>82</v>
      </c>
      <c r="T45" s="4311">
        <v>84</v>
      </c>
      <c r="U45" s="4290" t="s">
        <v>831</v>
      </c>
      <c r="Y45" s="4291"/>
    </row>
    <row r="46" spans="1:25" ht="13" x14ac:dyDescent="0.25">
      <c r="B46" s="4307"/>
      <c r="C46" s="768"/>
      <c r="D46" s="4314" t="s">
        <v>1906</v>
      </c>
      <c r="E46" s="4315"/>
      <c r="F46" s="4311"/>
      <c r="G46" s="4311">
        <v>57</v>
      </c>
      <c r="H46" s="4316">
        <v>53</v>
      </c>
      <c r="I46" s="4310">
        <v>47</v>
      </c>
      <c r="J46" s="4316">
        <v>67</v>
      </c>
      <c r="K46" s="4316">
        <v>75</v>
      </c>
      <c r="L46" s="4316">
        <v>44</v>
      </c>
      <c r="M46" s="4316">
        <v>53</v>
      </c>
      <c r="N46" s="4316">
        <v>64</v>
      </c>
      <c r="O46" s="4310">
        <v>61</v>
      </c>
      <c r="P46" s="4316">
        <v>120</v>
      </c>
      <c r="Q46" s="4311">
        <v>131</v>
      </c>
      <c r="R46" s="4311">
        <v>136</v>
      </c>
      <c r="S46" s="4311">
        <v>134</v>
      </c>
      <c r="T46" s="4311">
        <v>139</v>
      </c>
      <c r="U46" s="4290" t="s">
        <v>831</v>
      </c>
      <c r="Y46" s="4291"/>
    </row>
    <row r="47" spans="1:25" x14ac:dyDescent="0.25">
      <c r="D47" s="4308" t="s">
        <v>1907</v>
      </c>
      <c r="E47" s="4309"/>
      <c r="F47" s="4310"/>
      <c r="G47" s="4310"/>
      <c r="H47" s="4310"/>
      <c r="I47" s="4310"/>
      <c r="J47" s="4310"/>
      <c r="K47" s="4310"/>
      <c r="L47" s="4310">
        <v>124</v>
      </c>
      <c r="M47" s="4310">
        <v>150</v>
      </c>
      <c r="N47" s="4310">
        <v>150</v>
      </c>
      <c r="O47" s="4310">
        <v>158</v>
      </c>
      <c r="P47" s="4310">
        <v>168</v>
      </c>
      <c r="Q47" s="4311">
        <v>111</v>
      </c>
      <c r="R47" s="4311">
        <v>112</v>
      </c>
      <c r="S47" s="4311">
        <v>109</v>
      </c>
      <c r="T47" s="4311">
        <v>114</v>
      </c>
      <c r="U47" s="4290" t="s">
        <v>831</v>
      </c>
      <c r="Y47" s="4291"/>
    </row>
    <row r="48" spans="1:25" x14ac:dyDescent="0.25">
      <c r="D48" s="4308" t="s">
        <v>1908</v>
      </c>
      <c r="E48" s="4309"/>
      <c r="F48" s="4310"/>
      <c r="G48" s="4310">
        <v>43</v>
      </c>
      <c r="H48" s="4310">
        <v>85</v>
      </c>
      <c r="I48" s="4310">
        <v>82</v>
      </c>
      <c r="J48" s="4310">
        <v>85</v>
      </c>
      <c r="K48" s="4310">
        <v>85</v>
      </c>
      <c r="L48" s="4310">
        <v>81</v>
      </c>
      <c r="M48" s="4310">
        <v>82</v>
      </c>
      <c r="N48" s="4310">
        <v>80</v>
      </c>
      <c r="O48" s="4310">
        <v>46</v>
      </c>
      <c r="P48" s="4310">
        <v>119</v>
      </c>
      <c r="Q48" s="4311">
        <v>113</v>
      </c>
      <c r="R48" s="4311">
        <v>115</v>
      </c>
      <c r="S48" s="4311">
        <v>115</v>
      </c>
      <c r="T48" s="4311">
        <v>102</v>
      </c>
      <c r="U48" s="4290" t="s">
        <v>1179</v>
      </c>
      <c r="Y48" s="4291"/>
    </row>
    <row r="49" spans="1:25" ht="13" x14ac:dyDescent="0.25">
      <c r="B49" s="4307"/>
      <c r="C49" s="770"/>
      <c r="D49" s="4308" t="s">
        <v>1909</v>
      </c>
      <c r="E49" s="4309"/>
      <c r="F49" s="4310"/>
      <c r="G49" s="4310">
        <v>69</v>
      </c>
      <c r="H49" s="4310">
        <v>76</v>
      </c>
      <c r="I49" s="4310">
        <v>87</v>
      </c>
      <c r="J49" s="4310">
        <v>90</v>
      </c>
      <c r="K49" s="4310">
        <v>91</v>
      </c>
      <c r="L49" s="4310">
        <v>76</v>
      </c>
      <c r="M49" s="4310">
        <v>79</v>
      </c>
      <c r="N49" s="4310">
        <v>99</v>
      </c>
      <c r="O49" s="4310">
        <v>97</v>
      </c>
      <c r="P49" s="4310">
        <v>101</v>
      </c>
      <c r="Q49" s="4311">
        <v>105</v>
      </c>
      <c r="R49" s="4311">
        <v>107</v>
      </c>
      <c r="S49" s="4311">
        <v>106</v>
      </c>
      <c r="T49" s="4311">
        <v>108</v>
      </c>
      <c r="U49" s="4290" t="s">
        <v>831</v>
      </c>
      <c r="Y49" s="4291"/>
    </row>
    <row r="50" spans="1:25" x14ac:dyDescent="0.25">
      <c r="B50" s="3006"/>
      <c r="C50" s="3006"/>
      <c r="D50" s="4317" t="s">
        <v>1910</v>
      </c>
      <c r="E50" s="4318"/>
      <c r="F50" s="4319"/>
      <c r="G50" s="4319">
        <v>67</v>
      </c>
      <c r="H50" s="4319">
        <v>134</v>
      </c>
      <c r="I50" s="4319">
        <v>147</v>
      </c>
      <c r="J50" s="4319">
        <v>147</v>
      </c>
      <c r="K50" s="4319">
        <v>149</v>
      </c>
      <c r="L50" s="4319">
        <v>144</v>
      </c>
      <c r="M50" s="4319">
        <v>115</v>
      </c>
      <c r="N50" s="4319">
        <v>106</v>
      </c>
      <c r="O50" s="4319">
        <v>100</v>
      </c>
      <c r="P50" s="4319">
        <v>130</v>
      </c>
      <c r="Q50" s="4320">
        <v>139</v>
      </c>
      <c r="R50" s="4320">
        <v>147</v>
      </c>
      <c r="S50" s="4320">
        <v>143</v>
      </c>
      <c r="T50" s="4320">
        <v>145</v>
      </c>
      <c r="U50" s="4321" t="s">
        <v>831</v>
      </c>
      <c r="Y50" s="4291"/>
    </row>
    <row r="51" spans="1:25" x14ac:dyDescent="0.25">
      <c r="U51" s="3012"/>
    </row>
    <row r="52" spans="1:25" s="1764" customFormat="1" ht="14.25" customHeight="1" x14ac:dyDescent="0.3">
      <c r="A52" s="1255">
        <v>5</v>
      </c>
      <c r="B52" s="1255" t="s">
        <v>58</v>
      </c>
      <c r="C52" s="1255"/>
      <c r="D52" s="4733" t="s">
        <v>321</v>
      </c>
      <c r="E52" s="4734"/>
      <c r="F52" s="4734"/>
      <c r="G52" s="4734"/>
      <c r="H52" s="4734"/>
      <c r="I52" s="4734"/>
      <c r="J52" s="4734"/>
      <c r="K52" s="4734"/>
      <c r="L52" s="4734"/>
      <c r="M52" s="4734"/>
      <c r="N52" s="4734"/>
      <c r="O52" s="4734"/>
      <c r="P52" s="4734"/>
      <c r="Q52" s="4734"/>
      <c r="R52" s="4734"/>
      <c r="S52" s="4734"/>
      <c r="T52" s="4734"/>
      <c r="U52" s="4734"/>
      <c r="V52" s="4735"/>
      <c r="W52" s="1513"/>
    </row>
    <row r="53" spans="1:25" s="1764" customFormat="1" ht="18" customHeight="1" x14ac:dyDescent="0.3">
      <c r="A53" s="1306">
        <v>6</v>
      </c>
      <c r="B53" s="1306" t="s">
        <v>60</v>
      </c>
      <c r="C53" s="1306"/>
      <c r="D53" s="4733" t="s">
        <v>1911</v>
      </c>
      <c r="E53" s="4734"/>
      <c r="F53" s="4734"/>
      <c r="G53" s="4734"/>
      <c r="H53" s="4734"/>
      <c r="I53" s="4734"/>
      <c r="J53" s="4734"/>
      <c r="K53" s="4734"/>
      <c r="L53" s="4734"/>
      <c r="M53" s="4734"/>
      <c r="N53" s="4734"/>
      <c r="O53" s="4734"/>
      <c r="P53" s="4734"/>
      <c r="Q53" s="4734"/>
      <c r="R53" s="4734"/>
      <c r="S53" s="4734"/>
      <c r="T53" s="4734"/>
      <c r="U53" s="4734"/>
      <c r="V53" s="4735"/>
      <c r="W53" s="1513"/>
    </row>
    <row r="54" spans="1:25" s="1764" customFormat="1" ht="89.5" customHeight="1" x14ac:dyDescent="0.3">
      <c r="A54" s="1255">
        <v>7</v>
      </c>
      <c r="B54" s="1255" t="s">
        <v>278</v>
      </c>
      <c r="C54" s="1255"/>
      <c r="D54" s="4733" t="s">
        <v>1912</v>
      </c>
      <c r="E54" s="4734"/>
      <c r="F54" s="4734"/>
      <c r="G54" s="4734"/>
      <c r="H54" s="4734"/>
      <c r="I54" s="4734"/>
      <c r="J54" s="4734"/>
      <c r="K54" s="4734"/>
      <c r="L54" s="4734"/>
      <c r="M54" s="4734"/>
      <c r="N54" s="4734"/>
      <c r="O54" s="4734"/>
      <c r="P54" s="4734"/>
      <c r="Q54" s="4734"/>
      <c r="R54" s="4734"/>
      <c r="S54" s="4734"/>
      <c r="T54" s="4734"/>
      <c r="U54" s="4734"/>
      <c r="V54" s="4735"/>
      <c r="W54" s="1513"/>
    </row>
    <row r="55" spans="1:25" s="1764" customFormat="1" ht="14.25" customHeight="1" x14ac:dyDescent="0.3">
      <c r="A55" s="1255">
        <v>8</v>
      </c>
      <c r="B55" s="1255" t="s">
        <v>62</v>
      </c>
      <c r="C55" s="1255"/>
      <c r="D55" s="4733" t="s">
        <v>1913</v>
      </c>
      <c r="E55" s="4734"/>
      <c r="F55" s="4734"/>
      <c r="G55" s="4734"/>
      <c r="H55" s="4734"/>
      <c r="I55" s="4734"/>
      <c r="J55" s="4734"/>
      <c r="K55" s="4734"/>
      <c r="L55" s="4734"/>
      <c r="M55" s="4734"/>
      <c r="N55" s="4734"/>
      <c r="O55" s="4734"/>
      <c r="P55" s="4734"/>
      <c r="Q55" s="4734"/>
      <c r="R55" s="4734"/>
      <c r="S55" s="4734"/>
      <c r="T55" s="4734"/>
      <c r="U55" s="4734"/>
      <c r="V55" s="4735"/>
      <c r="W55" s="1513"/>
    </row>
    <row r="56" spans="1:25" x14ac:dyDescent="0.25">
      <c r="B56" s="4322"/>
      <c r="C56" s="4322"/>
      <c r="P56" s="3012"/>
      <c r="Q56" s="3012"/>
      <c r="R56" s="3012"/>
      <c r="S56" s="3012"/>
      <c r="T56" s="3012"/>
    </row>
    <row r="65" spans="4:21" x14ac:dyDescent="0.25">
      <c r="D65" s="4282"/>
      <c r="E65" s="4283">
        <v>2006</v>
      </c>
      <c r="F65" s="4283">
        <v>2007</v>
      </c>
      <c r="G65" s="4283">
        <v>2008</v>
      </c>
      <c r="H65" s="4283">
        <v>2009</v>
      </c>
      <c r="I65" s="4283">
        <v>2010</v>
      </c>
      <c r="J65" s="4283">
        <v>2011</v>
      </c>
      <c r="K65" s="4283">
        <v>2012</v>
      </c>
      <c r="L65" s="4283">
        <v>2013</v>
      </c>
      <c r="M65" s="4323">
        <v>2014</v>
      </c>
      <c r="N65" s="4283">
        <v>2015</v>
      </c>
      <c r="O65" s="4284">
        <v>2016</v>
      </c>
      <c r="P65" s="4284">
        <v>2017</v>
      </c>
      <c r="Q65" s="4284">
        <v>2018</v>
      </c>
      <c r="R65" s="4284">
        <v>2019</v>
      </c>
      <c r="S65" s="4284">
        <v>2020</v>
      </c>
    </row>
    <row r="66" spans="4:21" x14ac:dyDescent="0.25">
      <c r="D66" s="4293" t="s">
        <v>306</v>
      </c>
      <c r="E66" s="4294">
        <v>28</v>
      </c>
      <c r="F66" s="4294">
        <v>27</v>
      </c>
      <c r="G66" s="4295">
        <v>35</v>
      </c>
      <c r="H66" s="4295">
        <v>32</v>
      </c>
      <c r="I66" s="4295">
        <v>34</v>
      </c>
      <c r="J66" s="4295">
        <v>34</v>
      </c>
      <c r="K66" s="4295">
        <v>35</v>
      </c>
      <c r="L66" s="4295">
        <v>39</v>
      </c>
      <c r="M66" s="4295">
        <v>41</v>
      </c>
      <c r="N66" s="4296">
        <v>43</v>
      </c>
      <c r="O66" s="4296">
        <v>73</v>
      </c>
      <c r="P66" s="4296">
        <v>74</v>
      </c>
      <c r="Q66" s="4296">
        <v>82</v>
      </c>
      <c r="R66" s="4296">
        <v>82</v>
      </c>
      <c r="S66" s="4296">
        <v>84</v>
      </c>
      <c r="U66" s="3012"/>
    </row>
    <row r="67" spans="4:21" x14ac:dyDescent="0.25">
      <c r="D67" s="4299" t="s">
        <v>1899</v>
      </c>
      <c r="E67" s="4300">
        <v>155</v>
      </c>
      <c r="F67" s="4300">
        <v>175</v>
      </c>
      <c r="G67" s="4300">
        <v>178</v>
      </c>
      <c r="H67" s="4300">
        <v>181</v>
      </c>
      <c r="I67" s="4300">
        <v>183</v>
      </c>
      <c r="J67" s="4300">
        <v>183</v>
      </c>
      <c r="K67" s="4300">
        <v>183</v>
      </c>
      <c r="L67" s="4300">
        <v>185</v>
      </c>
      <c r="M67" s="4300">
        <v>189</v>
      </c>
      <c r="N67" s="4300">
        <v>189</v>
      </c>
      <c r="O67" s="4300">
        <v>189</v>
      </c>
      <c r="P67" s="4301">
        <v>190</v>
      </c>
      <c r="Q67" s="4301">
        <v>190</v>
      </c>
      <c r="R67" s="4301">
        <v>190</v>
      </c>
      <c r="S67" s="4301">
        <v>190</v>
      </c>
      <c r="U67" s="3012"/>
    </row>
  </sheetData>
  <mergeCells count="7">
    <mergeCell ref="D55:V55"/>
    <mergeCell ref="D2:V2"/>
    <mergeCell ref="D3:V3"/>
    <mergeCell ref="D4:V4"/>
    <mergeCell ref="D52:V52"/>
    <mergeCell ref="D53:V53"/>
    <mergeCell ref="D54:V54"/>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50"/>
    <pageSetUpPr fitToPage="1"/>
  </sheetPr>
  <dimension ref="A1:V45"/>
  <sheetViews>
    <sheetView showGridLines="0" view="pageBreakPreview" topLeftCell="C1" zoomScaleSheetLayoutView="100" workbookViewId="0">
      <selection activeCell="E10" sqref="E10"/>
    </sheetView>
  </sheetViews>
  <sheetFormatPr defaultColWidth="9.1796875" defaultRowHeight="11.5" x14ac:dyDescent="0.25"/>
  <cols>
    <col min="1" max="1" width="3.7265625" style="3000" customWidth="1"/>
    <col min="2" max="2" width="14.453125" style="3001" customWidth="1"/>
    <col min="3" max="3" width="3.7265625" style="3001" customWidth="1"/>
    <col min="4" max="4" width="22.54296875" style="767" customWidth="1"/>
    <col min="5" max="5" width="10.453125" style="767" customWidth="1"/>
    <col min="6" max="16" width="10.54296875" style="767" customWidth="1"/>
    <col min="17" max="17" width="12.54296875" style="767" customWidth="1"/>
    <col min="18" max="18" width="5.81640625" style="767" customWidth="1"/>
    <col min="19" max="19" width="6.54296875" style="767" customWidth="1"/>
    <col min="20" max="16384" width="9.1796875" style="767"/>
  </cols>
  <sheetData>
    <row r="1" spans="1:22" s="1764" customFormat="1" ht="14" x14ac:dyDescent="0.3">
      <c r="A1" s="2070"/>
      <c r="B1" s="1768"/>
      <c r="C1" s="1768"/>
    </row>
    <row r="2" spans="1:22" s="1764" customFormat="1" ht="14.25" customHeight="1" x14ac:dyDescent="0.3">
      <c r="A2" s="1255">
        <v>1</v>
      </c>
      <c r="B2" s="1255" t="s">
        <v>0</v>
      </c>
      <c r="C2" s="1255">
        <v>84</v>
      </c>
      <c r="D2" s="4733" t="s">
        <v>1914</v>
      </c>
      <c r="E2" s="4734"/>
      <c r="F2" s="4734"/>
      <c r="G2" s="4734"/>
      <c r="H2" s="4734"/>
      <c r="I2" s="4734"/>
      <c r="J2" s="4734"/>
      <c r="K2" s="4734"/>
      <c r="L2" s="4734"/>
      <c r="M2" s="4734"/>
      <c r="N2" s="4734"/>
      <c r="O2" s="4734"/>
      <c r="P2" s="4734"/>
      <c r="Q2" s="4734"/>
      <c r="R2" s="4734"/>
      <c r="S2" s="4734"/>
      <c r="T2" s="4734"/>
      <c r="U2" s="4735"/>
    </row>
    <row r="3" spans="1:22" s="1764" customFormat="1" ht="14.25" customHeight="1" x14ac:dyDescent="0.3">
      <c r="A3" s="1255">
        <v>2</v>
      </c>
      <c r="B3" s="1255" t="s">
        <v>2</v>
      </c>
      <c r="C3" s="1255"/>
      <c r="D3" s="4733" t="s">
        <v>1915</v>
      </c>
      <c r="E3" s="4734"/>
      <c r="F3" s="4734"/>
      <c r="G3" s="4734"/>
      <c r="H3" s="4734"/>
      <c r="I3" s="4734"/>
      <c r="J3" s="4734"/>
      <c r="K3" s="4734"/>
      <c r="L3" s="4734"/>
      <c r="M3" s="4734"/>
      <c r="N3" s="4734"/>
      <c r="O3" s="4734"/>
      <c r="P3" s="4734"/>
      <c r="Q3" s="4734"/>
      <c r="R3" s="4734"/>
      <c r="S3" s="4734"/>
      <c r="T3" s="4734"/>
      <c r="U3" s="4735"/>
    </row>
    <row r="4" spans="1:22" s="1764" customFormat="1" ht="23.15" customHeight="1" x14ac:dyDescent="0.3">
      <c r="A4" s="1255">
        <v>3</v>
      </c>
      <c r="B4" s="1255" t="s">
        <v>4</v>
      </c>
      <c r="C4" s="1255"/>
      <c r="D4" s="4733" t="s">
        <v>1916</v>
      </c>
      <c r="E4" s="4734"/>
      <c r="F4" s="4734"/>
      <c r="G4" s="4734"/>
      <c r="H4" s="4734"/>
      <c r="I4" s="4734"/>
      <c r="J4" s="4734"/>
      <c r="K4" s="4734"/>
      <c r="L4" s="4734"/>
      <c r="M4" s="4734"/>
      <c r="N4" s="4734"/>
      <c r="O4" s="4734"/>
      <c r="P4" s="4734"/>
      <c r="Q4" s="4734"/>
      <c r="R4" s="4734"/>
      <c r="S4" s="4734"/>
      <c r="T4" s="4734"/>
      <c r="U4" s="4735"/>
    </row>
    <row r="5" spans="1:22" ht="13" x14ac:dyDescent="0.25">
      <c r="C5" s="728"/>
    </row>
    <row r="6" spans="1:22" s="1265" customFormat="1" ht="13" x14ac:dyDescent="0.25">
      <c r="A6" s="1255">
        <v>4</v>
      </c>
      <c r="B6" s="728" t="s">
        <v>6</v>
      </c>
      <c r="C6" s="1522"/>
      <c r="D6" s="1770" t="s">
        <v>74</v>
      </c>
      <c r="E6" s="1770"/>
      <c r="F6" s="1770" t="s">
        <v>1917</v>
      </c>
      <c r="G6" s="1770"/>
      <c r="H6" s="1770"/>
      <c r="I6" s="1770"/>
      <c r="J6" s="1770"/>
      <c r="K6" s="1770"/>
      <c r="L6" s="1770"/>
      <c r="M6" s="1770"/>
      <c r="N6" s="1770"/>
      <c r="O6" s="1770"/>
      <c r="P6" s="1770"/>
    </row>
    <row r="7" spans="1:22" s="1265" customFormat="1" ht="10.5" x14ac:dyDescent="0.2">
      <c r="A7" s="1259"/>
      <c r="B7" s="1260"/>
      <c r="C7" s="1522"/>
      <c r="D7" s="2964" t="s">
        <v>1918</v>
      </c>
      <c r="E7" s="4324"/>
      <c r="F7" s="4325">
        <v>2000</v>
      </c>
      <c r="G7" s="4325">
        <v>2001</v>
      </c>
      <c r="H7" s="4325">
        <v>2002</v>
      </c>
      <c r="I7" s="4325">
        <v>2003</v>
      </c>
      <c r="J7" s="4325">
        <v>2004</v>
      </c>
      <c r="K7" s="4325">
        <v>2005</v>
      </c>
      <c r="L7" s="4325">
        <v>2006</v>
      </c>
      <c r="M7" s="4325">
        <v>2007</v>
      </c>
      <c r="N7" s="4325">
        <v>2008</v>
      </c>
      <c r="O7" s="4325">
        <v>2009</v>
      </c>
      <c r="P7" s="4326">
        <v>2010</v>
      </c>
      <c r="Q7" s="4325">
        <v>2011</v>
      </c>
      <c r="R7" s="4326">
        <v>2012</v>
      </c>
      <c r="S7" s="4325">
        <v>2013</v>
      </c>
      <c r="T7" s="4326">
        <v>2014</v>
      </c>
      <c r="U7" s="4325">
        <v>2015</v>
      </c>
      <c r="V7" s="4325">
        <v>2016</v>
      </c>
    </row>
    <row r="8" spans="1:22" s="1265" customFormat="1" ht="10.5" x14ac:dyDescent="0.2">
      <c r="A8" s="1259"/>
      <c r="B8" s="1260"/>
      <c r="C8" s="4327"/>
      <c r="D8" s="5107" t="s">
        <v>1919</v>
      </c>
      <c r="E8" s="5107"/>
      <c r="F8" s="4328">
        <v>431</v>
      </c>
      <c r="G8" s="4328">
        <v>442</v>
      </c>
      <c r="H8" s="4328">
        <v>453</v>
      </c>
      <c r="I8" s="4328">
        <v>464</v>
      </c>
      <c r="J8" s="4328">
        <v>475</v>
      </c>
      <c r="K8" s="4328">
        <v>486</v>
      </c>
      <c r="L8" s="4328">
        <v>497</v>
      </c>
      <c r="M8" s="4328">
        <v>508</v>
      </c>
      <c r="N8" s="4328">
        <v>519</v>
      </c>
      <c r="O8" s="4328">
        <v>530</v>
      </c>
      <c r="P8" s="4328">
        <v>547</v>
      </c>
      <c r="Q8" s="4328">
        <v>550</v>
      </c>
      <c r="R8" s="4328">
        <v>553</v>
      </c>
      <c r="S8" s="4328">
        <v>556</v>
      </c>
      <c r="T8" s="4328">
        <v>559</v>
      </c>
      <c r="U8" s="4328">
        <v>562</v>
      </c>
      <c r="V8" s="4328"/>
    </row>
    <row r="9" spans="1:22" s="1265" customFormat="1" ht="10.5" x14ac:dyDescent="0.2">
      <c r="A9" s="1259"/>
      <c r="B9" s="1260"/>
      <c r="C9" s="4327"/>
      <c r="D9" s="5108" t="s">
        <v>1920</v>
      </c>
      <c r="E9" s="5108"/>
      <c r="F9" s="4328">
        <v>398</v>
      </c>
      <c r="G9" s="4328">
        <v>398</v>
      </c>
      <c r="H9" s="4328">
        <v>398</v>
      </c>
      <c r="I9" s="4328">
        <v>398</v>
      </c>
      <c r="J9" s="4328">
        <v>398</v>
      </c>
      <c r="K9" s="4328">
        <v>398</v>
      </c>
      <c r="L9" s="4328">
        <v>398</v>
      </c>
      <c r="M9" s="4328">
        <v>398</v>
      </c>
      <c r="N9" s="4328">
        <v>398</v>
      </c>
      <c r="O9" s="4328">
        <v>398</v>
      </c>
      <c r="P9" s="4328">
        <v>398</v>
      </c>
      <c r="Q9" s="4328">
        <v>398</v>
      </c>
      <c r="R9" s="4328">
        <v>398</v>
      </c>
      <c r="S9" s="4328">
        <v>398</v>
      </c>
      <c r="T9" s="4328">
        <v>398</v>
      </c>
      <c r="U9" s="4328">
        <v>398</v>
      </c>
      <c r="V9" s="4328"/>
    </row>
    <row r="10" spans="1:22" s="1265" customFormat="1" ht="10.5" x14ac:dyDescent="0.2">
      <c r="A10" s="1259"/>
      <c r="B10" s="1260"/>
      <c r="C10" s="4327"/>
      <c r="D10" s="1804" t="s">
        <v>1921</v>
      </c>
      <c r="E10" s="1804"/>
      <c r="F10" s="4328">
        <v>426</v>
      </c>
      <c r="G10" s="4328">
        <v>423</v>
      </c>
      <c r="H10" s="4328">
        <v>436</v>
      </c>
      <c r="I10" s="4328">
        <v>460</v>
      </c>
      <c r="J10" s="4328">
        <v>479</v>
      </c>
      <c r="K10" s="4328">
        <v>477</v>
      </c>
      <c r="L10" s="4328">
        <v>485</v>
      </c>
      <c r="M10" s="4328">
        <v>514</v>
      </c>
      <c r="N10" s="4328">
        <v>508</v>
      </c>
      <c r="O10" s="4328">
        <v>510</v>
      </c>
      <c r="P10" s="4328">
        <v>524</v>
      </c>
      <c r="Q10" s="4328">
        <v>511</v>
      </c>
      <c r="R10" s="4328">
        <v>514</v>
      </c>
      <c r="S10" s="4328">
        <v>527</v>
      </c>
      <c r="T10" s="4328">
        <v>518</v>
      </c>
      <c r="U10" s="4328">
        <v>512</v>
      </c>
      <c r="V10" s="4328"/>
    </row>
    <row r="11" spans="1:22" s="1265" customFormat="1" ht="20.25" customHeight="1" x14ac:dyDescent="0.2">
      <c r="A11" s="1259"/>
      <c r="B11" s="1260"/>
      <c r="C11" s="1260"/>
      <c r="D11" s="1804"/>
      <c r="E11" s="1804"/>
      <c r="F11" s="2189"/>
      <c r="G11" s="2189"/>
      <c r="H11" s="2189"/>
      <c r="I11" s="4329"/>
      <c r="J11" s="1270"/>
      <c r="K11" s="1270"/>
      <c r="L11" s="1270"/>
      <c r="M11" s="1270"/>
      <c r="N11" s="1270"/>
      <c r="O11" s="1270"/>
      <c r="P11" s="1270"/>
    </row>
    <row r="12" spans="1:22" ht="13" x14ac:dyDescent="0.25">
      <c r="A12" s="1255">
        <v>5</v>
      </c>
      <c r="B12" s="1255" t="s">
        <v>56</v>
      </c>
      <c r="D12" s="1632"/>
      <c r="E12" s="1632"/>
      <c r="F12" s="1639"/>
      <c r="G12" s="1639"/>
      <c r="H12" s="1639"/>
      <c r="I12" s="1639"/>
      <c r="J12" s="1632"/>
      <c r="K12" s="1632"/>
      <c r="L12" s="1632"/>
      <c r="M12" s="1632"/>
      <c r="N12" s="1632"/>
      <c r="O12" s="1632"/>
      <c r="P12" s="1632"/>
    </row>
    <row r="18" s="767" customFormat="1" x14ac:dyDescent="0.25"/>
    <row r="19" s="767" customFormat="1" x14ac:dyDescent="0.25"/>
    <row r="20" s="767" customFormat="1" x14ac:dyDescent="0.25"/>
    <row r="21" s="767" customFormat="1" x14ac:dyDescent="0.25"/>
    <row r="22" s="767" customFormat="1" x14ac:dyDescent="0.25"/>
    <row r="23" s="767" customFormat="1" x14ac:dyDescent="0.25"/>
    <row r="24" s="767" customFormat="1" x14ac:dyDescent="0.25"/>
    <row r="25" s="767" customFormat="1" x14ac:dyDescent="0.25"/>
    <row r="26" s="767" customFormat="1" x14ac:dyDescent="0.25"/>
    <row r="27" s="767" customFormat="1" x14ac:dyDescent="0.25"/>
    <row r="28" s="767" customFormat="1" x14ac:dyDescent="0.25"/>
    <row r="29" s="767" customFormat="1" x14ac:dyDescent="0.25"/>
    <row r="43" spans="1:21" s="1764" customFormat="1" ht="14.25" customHeight="1" x14ac:dyDescent="0.3">
      <c r="A43" s="1255">
        <v>6</v>
      </c>
      <c r="B43" s="1255" t="s">
        <v>58</v>
      </c>
      <c r="C43" s="1255"/>
      <c r="D43" s="4733" t="s">
        <v>1922</v>
      </c>
      <c r="E43" s="4734"/>
      <c r="F43" s="4734"/>
      <c r="G43" s="4734"/>
      <c r="H43" s="4734"/>
      <c r="I43" s="4734"/>
      <c r="J43" s="4734"/>
      <c r="K43" s="4734"/>
      <c r="L43" s="4734"/>
      <c r="M43" s="4734"/>
      <c r="N43" s="4734"/>
      <c r="O43" s="4734"/>
      <c r="P43" s="4734"/>
      <c r="Q43" s="4734"/>
      <c r="R43" s="4734"/>
      <c r="S43" s="4734"/>
      <c r="T43" s="4734"/>
      <c r="U43" s="4735"/>
    </row>
    <row r="44" spans="1:21" s="1764" customFormat="1" ht="29.25" customHeight="1" x14ac:dyDescent="0.3">
      <c r="A44" s="1306">
        <v>7</v>
      </c>
      <c r="B44" s="1306" t="s">
        <v>60</v>
      </c>
      <c r="C44" s="1306"/>
      <c r="D44" s="4733" t="s">
        <v>1923</v>
      </c>
      <c r="E44" s="4734"/>
      <c r="F44" s="4734"/>
      <c r="G44" s="4734"/>
      <c r="H44" s="4734"/>
      <c r="I44" s="4734"/>
      <c r="J44" s="4734"/>
      <c r="K44" s="4734"/>
      <c r="L44" s="4734"/>
      <c r="M44" s="4734"/>
      <c r="N44" s="4734"/>
      <c r="O44" s="4734"/>
      <c r="P44" s="4734"/>
      <c r="Q44" s="4734"/>
      <c r="R44" s="4734"/>
      <c r="S44" s="4734"/>
      <c r="T44" s="4734"/>
      <c r="U44" s="4735"/>
    </row>
    <row r="45" spans="1:21" s="1764" customFormat="1" ht="22" customHeight="1" x14ac:dyDescent="0.3">
      <c r="A45" s="1255">
        <v>8</v>
      </c>
      <c r="B45" s="1255" t="s">
        <v>62</v>
      </c>
      <c r="C45" s="1255"/>
      <c r="D45" s="4733" t="s">
        <v>1924</v>
      </c>
      <c r="E45" s="4734"/>
      <c r="F45" s="4734"/>
      <c r="G45" s="4734"/>
      <c r="H45" s="4734"/>
      <c r="I45" s="4734"/>
      <c r="J45" s="4734"/>
      <c r="K45" s="4734"/>
      <c r="L45" s="4734"/>
      <c r="M45" s="4734"/>
      <c r="N45" s="4734"/>
      <c r="O45" s="4734"/>
      <c r="P45" s="4734"/>
      <c r="Q45" s="4734"/>
      <c r="R45" s="4734"/>
      <c r="S45" s="4734"/>
      <c r="T45" s="4734"/>
      <c r="U45" s="4735"/>
    </row>
  </sheetData>
  <mergeCells count="8">
    <mergeCell ref="D44:U44"/>
    <mergeCell ref="D45:U45"/>
    <mergeCell ref="D2:U2"/>
    <mergeCell ref="D3:U3"/>
    <mergeCell ref="D4:U4"/>
    <mergeCell ref="D8:E8"/>
    <mergeCell ref="D9:E9"/>
    <mergeCell ref="D43:U43"/>
  </mergeCells>
  <pageMargins left="0.74803149606299213" right="0.74803149606299213" top="0.98425196850393704" bottom="0.98425196850393704" header="0.51181102362204722" footer="0.51181102362204722"/>
  <pageSetup paperSize="9" scale="56" orientation="landscape" r:id="rId1"/>
  <headerFooter alignWithMargins="0">
    <oddFooter>&amp;LDRAFT&amp;CPage &amp;P of &amp;N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50"/>
    <pageSetUpPr fitToPage="1"/>
  </sheetPr>
  <dimension ref="A1:S47"/>
  <sheetViews>
    <sheetView showGridLines="0" view="pageBreakPreview" zoomScaleSheetLayoutView="100" workbookViewId="0">
      <selection activeCell="O11" sqref="O11"/>
    </sheetView>
  </sheetViews>
  <sheetFormatPr defaultColWidth="9.1796875" defaultRowHeight="11.5" x14ac:dyDescent="0.25"/>
  <cols>
    <col min="1" max="1" width="3.7265625" style="3000" customWidth="1"/>
    <col min="2" max="2" width="14.453125" style="3001" customWidth="1"/>
    <col min="3" max="3" width="3.7265625" style="3001" customWidth="1"/>
    <col min="4" max="4" width="36.54296875" style="767" bestFit="1" customWidth="1"/>
    <col min="5" max="18" width="7.54296875" style="767" customWidth="1"/>
    <col min="19" max="16384" width="9.1796875" style="767"/>
  </cols>
  <sheetData>
    <row r="1" spans="1:19" s="1764" customFormat="1" ht="14" x14ac:dyDescent="0.3">
      <c r="A1" s="2070"/>
      <c r="B1" s="1768"/>
      <c r="C1" s="1768"/>
    </row>
    <row r="2" spans="1:19" s="1764" customFormat="1" ht="14.25" customHeight="1" x14ac:dyDescent="0.3">
      <c r="A2" s="1255">
        <v>1</v>
      </c>
      <c r="B2" s="1255" t="s">
        <v>0</v>
      </c>
      <c r="C2" s="1255">
        <v>85</v>
      </c>
      <c r="D2" s="4733" t="s">
        <v>1925</v>
      </c>
      <c r="E2" s="4734"/>
      <c r="F2" s="4734"/>
      <c r="G2" s="4734"/>
      <c r="H2" s="4734"/>
      <c r="I2" s="4734"/>
      <c r="J2" s="4734"/>
      <c r="K2" s="4734"/>
      <c r="L2" s="4734"/>
      <c r="M2" s="4734"/>
      <c r="N2" s="4734"/>
      <c r="O2" s="4734"/>
      <c r="P2" s="4734"/>
      <c r="Q2" s="4734"/>
      <c r="R2" s="4735"/>
    </row>
    <row r="3" spans="1:19" s="1764" customFormat="1" ht="14.25" customHeight="1" x14ac:dyDescent="0.3">
      <c r="A3" s="1255">
        <v>2</v>
      </c>
      <c r="B3" s="1255" t="s">
        <v>2</v>
      </c>
      <c r="C3" s="1255"/>
      <c r="D3" s="4733" t="s">
        <v>1926</v>
      </c>
      <c r="E3" s="4734"/>
      <c r="F3" s="4734"/>
      <c r="G3" s="4734"/>
      <c r="H3" s="4734"/>
      <c r="I3" s="4734"/>
      <c r="J3" s="4734"/>
      <c r="K3" s="4734"/>
      <c r="L3" s="4734"/>
      <c r="M3" s="4734"/>
      <c r="N3" s="4734"/>
      <c r="O3" s="4734"/>
      <c r="P3" s="4734"/>
      <c r="Q3" s="4734"/>
      <c r="R3" s="4735"/>
    </row>
    <row r="4" spans="1:19" s="1764" customFormat="1" ht="14.25" customHeight="1" x14ac:dyDescent="0.3">
      <c r="A4" s="1255">
        <v>3</v>
      </c>
      <c r="B4" s="1255" t="s">
        <v>4</v>
      </c>
      <c r="C4" s="1255"/>
      <c r="D4" s="4733" t="s">
        <v>1927</v>
      </c>
      <c r="E4" s="4734"/>
      <c r="F4" s="4734"/>
      <c r="G4" s="4734"/>
      <c r="H4" s="4734"/>
      <c r="I4" s="4734"/>
      <c r="J4" s="4734"/>
      <c r="K4" s="4734"/>
      <c r="L4" s="4734"/>
      <c r="M4" s="4734"/>
      <c r="N4" s="4734"/>
      <c r="O4" s="4734"/>
      <c r="P4" s="4734"/>
      <c r="Q4" s="4734"/>
      <c r="R4" s="4735"/>
    </row>
    <row r="5" spans="1:19" ht="13" x14ac:dyDescent="0.25">
      <c r="C5" s="728"/>
    </row>
    <row r="6" spans="1:19" s="1265" customFormat="1" ht="13" x14ac:dyDescent="0.25">
      <c r="A6" s="1255">
        <v>4</v>
      </c>
      <c r="B6" s="728" t="s">
        <v>6</v>
      </c>
      <c r="C6" s="1260"/>
      <c r="D6" s="1770" t="s">
        <v>74</v>
      </c>
      <c r="E6" s="1770" t="s">
        <v>1928</v>
      </c>
      <c r="F6" s="1770"/>
      <c r="G6" s="1770"/>
      <c r="H6" s="1770"/>
      <c r="I6" s="1770"/>
      <c r="J6" s="1770"/>
      <c r="K6" s="1770"/>
      <c r="L6" s="1629"/>
      <c r="M6" s="1629"/>
    </row>
    <row r="7" spans="1:19" s="1265" customFormat="1" ht="10.5" x14ac:dyDescent="0.2">
      <c r="A7" s="1259"/>
      <c r="B7" s="1260"/>
      <c r="C7" s="1522"/>
      <c r="D7" s="4330" t="s">
        <v>1929</v>
      </c>
      <c r="E7" s="4325">
        <v>2004</v>
      </c>
      <c r="F7" s="4325">
        <v>2005</v>
      </c>
      <c r="G7" s="4325">
        <v>2006</v>
      </c>
      <c r="H7" s="4325">
        <v>2007</v>
      </c>
      <c r="I7" s="4325">
        <v>2008</v>
      </c>
      <c r="J7" s="4325">
        <v>2009</v>
      </c>
      <c r="K7" s="4325">
        <v>2010</v>
      </c>
      <c r="L7" s="4325">
        <v>2011</v>
      </c>
      <c r="M7" s="4326">
        <v>2012</v>
      </c>
      <c r="N7" s="4326">
        <v>2013</v>
      </c>
      <c r="O7" s="4326">
        <v>2014</v>
      </c>
      <c r="P7" s="4326">
        <v>2015</v>
      </c>
      <c r="Q7" s="4326">
        <v>2016</v>
      </c>
      <c r="R7" s="4326">
        <v>2017</v>
      </c>
      <c r="S7" s="4326">
        <v>2018</v>
      </c>
    </row>
    <row r="8" spans="1:19" s="1265" customFormat="1" ht="11.25" customHeight="1" x14ac:dyDescent="0.2">
      <c r="A8" s="1259"/>
      <c r="B8" s="1260"/>
      <c r="C8" s="4327"/>
      <c r="D8" s="4331" t="s">
        <v>1930</v>
      </c>
      <c r="E8" s="4332">
        <v>0.81743181818181809</v>
      </c>
      <c r="F8" s="4332">
        <v>0.88807692307692299</v>
      </c>
      <c r="G8" s="4332">
        <v>0.84668750000000004</v>
      </c>
      <c r="H8" s="4332">
        <v>1.1520499999999998</v>
      </c>
      <c r="I8" s="4332">
        <v>1.1875192307692306</v>
      </c>
      <c r="J8" s="4332">
        <v>1.2734032258064516</v>
      </c>
      <c r="K8" s="4332">
        <v>1.2222105263157896</v>
      </c>
      <c r="L8" s="4332">
        <v>1.0280750000000001</v>
      </c>
      <c r="M8" s="4332">
        <v>1.0788124999999997</v>
      </c>
      <c r="N8" s="4332">
        <v>1.05315</v>
      </c>
      <c r="O8" s="4332">
        <v>0.97507978723404243</v>
      </c>
      <c r="P8" s="4332">
        <v>1.0399112903225807</v>
      </c>
      <c r="Q8" s="4332">
        <v>1.0354827586206894</v>
      </c>
      <c r="R8" s="4332">
        <v>0.97449807805253263</v>
      </c>
      <c r="S8" s="4332">
        <v>0.99</v>
      </c>
    </row>
    <row r="9" spans="1:19" s="1265" customFormat="1" ht="22" customHeight="1" x14ac:dyDescent="0.2">
      <c r="A9" s="1259"/>
      <c r="B9" s="1260"/>
      <c r="C9" s="4327"/>
      <c r="D9" s="4331" t="s">
        <v>1931</v>
      </c>
      <c r="E9" s="4332"/>
      <c r="F9" s="4332"/>
      <c r="G9" s="4332"/>
      <c r="H9" s="4332">
        <v>1.6928333333333332</v>
      </c>
      <c r="I9" s="4332">
        <v>1.5369166666666667</v>
      </c>
      <c r="J9" s="4332">
        <v>1.4857500000000001</v>
      </c>
      <c r="K9" s="4332">
        <v>1.5254999999999999</v>
      </c>
      <c r="L9" s="4332">
        <v>1.5098750000000001</v>
      </c>
      <c r="M9" s="4332">
        <v>1.5597083333333335</v>
      </c>
      <c r="N9" s="4332">
        <v>1.5077500000000001</v>
      </c>
      <c r="O9" s="4332">
        <v>1.2769999999999999</v>
      </c>
      <c r="P9" s="4332">
        <v>1.3297500000000002</v>
      </c>
      <c r="Q9" s="4332">
        <v>1.5543333333333336</v>
      </c>
      <c r="R9" s="4332">
        <v>1.1005568675024389</v>
      </c>
      <c r="S9" s="4332">
        <v>1.17</v>
      </c>
    </row>
    <row r="10" spans="1:19" s="1265" customFormat="1" ht="23.15" customHeight="1" x14ac:dyDescent="0.2">
      <c r="A10" s="1259"/>
      <c r="B10" s="1260"/>
      <c r="C10" s="4327"/>
      <c r="D10" s="1804" t="s">
        <v>1932</v>
      </c>
      <c r="E10" s="4332"/>
      <c r="F10" s="4332"/>
      <c r="G10" s="4332"/>
      <c r="H10" s="4332"/>
      <c r="I10" s="4332">
        <v>1.4949999999999999</v>
      </c>
      <c r="J10" s="4332">
        <v>1.2416</v>
      </c>
      <c r="K10" s="4332">
        <v>1.3975</v>
      </c>
      <c r="L10" s="4332">
        <v>1.5413999999999999</v>
      </c>
      <c r="M10" s="4332">
        <v>1.28905</v>
      </c>
      <c r="N10" s="4332">
        <v>1.2816500000000002</v>
      </c>
      <c r="O10" s="4332">
        <v>0.82814999999999994</v>
      </c>
      <c r="P10" s="4332">
        <v>1.2053749999999999</v>
      </c>
      <c r="Q10" s="4332">
        <v>1.05965</v>
      </c>
      <c r="R10" s="4332">
        <v>1.476912412330778</v>
      </c>
      <c r="S10" s="4332">
        <v>1.171</v>
      </c>
    </row>
    <row r="11" spans="1:19" s="1265" customFormat="1" ht="10.5" x14ac:dyDescent="0.2">
      <c r="A11" s="1259"/>
      <c r="B11" s="1260"/>
      <c r="C11" s="1522"/>
      <c r="D11" s="4333" t="s">
        <v>1933</v>
      </c>
      <c r="E11" s="4334">
        <v>1</v>
      </c>
      <c r="F11" s="4334">
        <v>1</v>
      </c>
      <c r="G11" s="4334">
        <v>1</v>
      </c>
      <c r="H11" s="4334">
        <v>1</v>
      </c>
      <c r="I11" s="4334">
        <v>1</v>
      </c>
      <c r="J11" s="4334">
        <v>1</v>
      </c>
      <c r="K11" s="4334">
        <v>1</v>
      </c>
      <c r="L11" s="4334">
        <v>1</v>
      </c>
      <c r="M11" s="4334">
        <v>1</v>
      </c>
      <c r="N11" s="4334">
        <v>1</v>
      </c>
      <c r="O11" s="4334">
        <v>1</v>
      </c>
      <c r="P11" s="4334">
        <v>1</v>
      </c>
      <c r="Q11" s="4334">
        <v>1</v>
      </c>
      <c r="R11" s="4334">
        <v>1</v>
      </c>
      <c r="S11" s="4334">
        <v>1</v>
      </c>
    </row>
    <row r="12" spans="1:19" s="1265" customFormat="1" ht="20.25" customHeight="1" x14ac:dyDescent="0.2">
      <c r="A12" s="1259"/>
      <c r="B12" s="1260"/>
      <c r="C12" s="1260"/>
      <c r="D12" s="1804"/>
      <c r="E12" s="2189"/>
      <c r="F12" s="4329"/>
      <c r="G12" s="1270"/>
      <c r="H12" s="1270"/>
      <c r="I12" s="1270"/>
      <c r="J12" s="1270"/>
      <c r="K12" s="1270"/>
      <c r="L12" s="1270"/>
      <c r="M12" s="1270"/>
    </row>
    <row r="13" spans="1:19" ht="13" x14ac:dyDescent="0.25">
      <c r="A13" s="1255">
        <v>5</v>
      </c>
      <c r="B13" s="1255" t="s">
        <v>56</v>
      </c>
      <c r="D13" s="1632"/>
      <c r="E13" s="1639"/>
      <c r="F13" s="1639"/>
      <c r="G13" s="1632"/>
      <c r="H13" s="1632"/>
      <c r="I13" s="1632"/>
      <c r="J13" s="1632"/>
      <c r="K13" s="1632"/>
      <c r="L13" s="1632"/>
      <c r="M13" s="1632"/>
    </row>
    <row r="19" s="767" customFormat="1" x14ac:dyDescent="0.25"/>
    <row r="20" s="767" customFormat="1" x14ac:dyDescent="0.25"/>
    <row r="21" s="767" customFormat="1" x14ac:dyDescent="0.25"/>
    <row r="22" s="767" customFormat="1" x14ac:dyDescent="0.25"/>
    <row r="23" s="767" customFormat="1" x14ac:dyDescent="0.25"/>
    <row r="24" s="767" customFormat="1" x14ac:dyDescent="0.25"/>
    <row r="25" s="767" customFormat="1" x14ac:dyDescent="0.25"/>
    <row r="26" s="767" customFormat="1" x14ac:dyDescent="0.25"/>
    <row r="27" s="767" customFormat="1" x14ac:dyDescent="0.25"/>
    <row r="28" s="767" customFormat="1" x14ac:dyDescent="0.25"/>
    <row r="29" s="767" customFormat="1" x14ac:dyDescent="0.25"/>
    <row r="30" s="767" customFormat="1" x14ac:dyDescent="0.25"/>
    <row r="44" spans="1:18" s="1764" customFormat="1" ht="14.25" customHeight="1" x14ac:dyDescent="0.3">
      <c r="A44" s="1255">
        <v>6</v>
      </c>
      <c r="B44" s="1255" t="s">
        <v>58</v>
      </c>
      <c r="C44" s="1255"/>
      <c r="D44" s="4733" t="s">
        <v>1934</v>
      </c>
      <c r="E44" s="4734"/>
      <c r="F44" s="4734"/>
      <c r="G44" s="4734"/>
      <c r="H44" s="4734"/>
      <c r="I44" s="4734"/>
      <c r="J44" s="4734"/>
      <c r="K44" s="4734"/>
      <c r="L44" s="4734"/>
      <c r="M44" s="4734"/>
      <c r="N44" s="4734"/>
      <c r="O44" s="4734"/>
      <c r="P44" s="4734"/>
      <c r="Q44" s="4734"/>
      <c r="R44" s="4735"/>
    </row>
    <row r="45" spans="1:18" s="1764" customFormat="1" ht="54" customHeight="1" x14ac:dyDescent="0.3">
      <c r="A45" s="1306">
        <v>7</v>
      </c>
      <c r="B45" s="1306" t="s">
        <v>60</v>
      </c>
      <c r="C45" s="1306"/>
      <c r="D45" s="4733" t="s">
        <v>1935</v>
      </c>
      <c r="E45" s="4734"/>
      <c r="F45" s="4734"/>
      <c r="G45" s="4734"/>
      <c r="H45" s="4734"/>
      <c r="I45" s="4734"/>
      <c r="J45" s="4734"/>
      <c r="K45" s="4734"/>
      <c r="L45" s="4734"/>
      <c r="M45" s="4734"/>
      <c r="N45" s="4734"/>
      <c r="O45" s="4734"/>
      <c r="P45" s="4734"/>
      <c r="Q45" s="4734"/>
      <c r="R45" s="4735"/>
    </row>
    <row r="46" spans="1:18" s="1764" customFormat="1" ht="55" customHeight="1" x14ac:dyDescent="0.3">
      <c r="A46" s="1255">
        <v>8</v>
      </c>
      <c r="B46" s="1255" t="s">
        <v>278</v>
      </c>
      <c r="C46" s="1306"/>
      <c r="D46" s="4764" t="s">
        <v>1936</v>
      </c>
      <c r="E46" s="4765"/>
      <c r="F46" s="4765"/>
      <c r="G46" s="4765"/>
      <c r="H46" s="4765"/>
      <c r="I46" s="4765"/>
      <c r="J46" s="4765"/>
      <c r="K46" s="4765"/>
      <c r="L46" s="4765"/>
      <c r="M46" s="4765"/>
      <c r="N46" s="4765"/>
      <c r="O46" s="4765"/>
      <c r="P46" s="4765"/>
      <c r="Q46" s="4765"/>
      <c r="R46" s="4766"/>
    </row>
    <row r="47" spans="1:18" s="1764" customFormat="1" ht="42" customHeight="1" x14ac:dyDescent="0.3">
      <c r="A47" s="1255">
        <v>9</v>
      </c>
      <c r="B47" s="1255" t="s">
        <v>62</v>
      </c>
      <c r="C47" s="1255"/>
      <c r="D47" s="4764" t="s">
        <v>1937</v>
      </c>
      <c r="E47" s="4765"/>
      <c r="F47" s="4765"/>
      <c r="G47" s="4765"/>
      <c r="H47" s="4765"/>
      <c r="I47" s="4765"/>
      <c r="J47" s="4765"/>
      <c r="K47" s="4765"/>
      <c r="L47" s="4765"/>
      <c r="M47" s="4765"/>
      <c r="N47" s="4765"/>
      <c r="O47" s="4765"/>
      <c r="P47" s="4765"/>
      <c r="Q47" s="4765"/>
      <c r="R47" s="4766"/>
    </row>
  </sheetData>
  <mergeCells count="7">
    <mergeCell ref="D47:R47"/>
    <mergeCell ref="D2:R2"/>
    <mergeCell ref="D3:R3"/>
    <mergeCell ref="D4:R4"/>
    <mergeCell ref="D44:R44"/>
    <mergeCell ref="D45:R45"/>
    <mergeCell ref="D46:R46"/>
  </mergeCells>
  <pageMargins left="0.74803149606299213" right="0.74803149606299213" top="0.98425196850393704" bottom="0.98425196850393704" header="0.51181102362204722" footer="0.51181102362204722"/>
  <pageSetup paperSize="9" scale="63" orientation="landscape" r:id="rId1"/>
  <headerFooter alignWithMargins="0">
    <oddFooter>&amp;LDRAFT&amp;CPage &amp;P of &amp;N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50"/>
    <pageSetUpPr fitToPage="1"/>
  </sheetPr>
  <dimension ref="A1:M48"/>
  <sheetViews>
    <sheetView showGridLines="0" view="pageBreakPreview" zoomScaleSheetLayoutView="100" workbookViewId="0">
      <selection activeCell="V23" sqref="V23"/>
    </sheetView>
  </sheetViews>
  <sheetFormatPr defaultColWidth="9.1796875" defaultRowHeight="11.5" x14ac:dyDescent="0.25"/>
  <cols>
    <col min="1" max="1" width="3.7265625" style="3000" customWidth="1"/>
    <col min="2" max="2" width="14.453125" style="3001" customWidth="1"/>
    <col min="3" max="3" width="3.7265625" style="3001" customWidth="1"/>
    <col min="4" max="4" width="36.54296875" style="767" bestFit="1" customWidth="1"/>
    <col min="5" max="12" width="7.54296875" style="767" customWidth="1"/>
    <col min="13" max="13" width="7.453125" style="767" customWidth="1"/>
    <col min="14" max="16384" width="9.1796875" style="767"/>
  </cols>
  <sheetData>
    <row r="1" spans="1:13" s="1764" customFormat="1" ht="14" x14ac:dyDescent="0.3">
      <c r="A1" s="2070"/>
      <c r="B1" s="1768"/>
      <c r="C1" s="1768"/>
      <c r="K1" s="1265"/>
    </row>
    <row r="2" spans="1:13" s="1764" customFormat="1" ht="14.25" customHeight="1" x14ac:dyDescent="0.3">
      <c r="A2" s="1255">
        <v>1</v>
      </c>
      <c r="B2" s="1255" t="s">
        <v>0</v>
      </c>
      <c r="C2" s="1255">
        <v>86</v>
      </c>
      <c r="D2" s="4733" t="s">
        <v>1938</v>
      </c>
      <c r="E2" s="4734"/>
      <c r="F2" s="4734"/>
      <c r="G2" s="4734"/>
      <c r="H2" s="4734"/>
      <c r="I2" s="4734"/>
      <c r="J2" s="4734"/>
      <c r="K2" s="4734"/>
      <c r="L2" s="4735"/>
    </row>
    <row r="3" spans="1:13" s="1764" customFormat="1" ht="14.25" customHeight="1" x14ac:dyDescent="0.3">
      <c r="A3" s="1255">
        <v>2</v>
      </c>
      <c r="B3" s="1255" t="s">
        <v>2</v>
      </c>
      <c r="C3" s="1255"/>
      <c r="D3" s="4733" t="s">
        <v>1939</v>
      </c>
      <c r="E3" s="4734"/>
      <c r="F3" s="4734"/>
      <c r="G3" s="4734"/>
      <c r="H3" s="4734"/>
      <c r="I3" s="4734"/>
      <c r="J3" s="4734"/>
      <c r="K3" s="4734"/>
      <c r="L3" s="4735"/>
    </row>
    <row r="4" spans="1:13" s="1764" customFormat="1" ht="15" customHeight="1" x14ac:dyDescent="0.3">
      <c r="A4" s="1255">
        <v>3</v>
      </c>
      <c r="B4" s="1255" t="s">
        <v>4</v>
      </c>
      <c r="C4" s="1255"/>
      <c r="D4" s="4733" t="s">
        <v>1940</v>
      </c>
      <c r="E4" s="4734"/>
      <c r="F4" s="4734"/>
      <c r="G4" s="4734"/>
      <c r="H4" s="4734"/>
      <c r="I4" s="4734"/>
      <c r="J4" s="4734"/>
      <c r="K4" s="4734"/>
      <c r="L4" s="4735"/>
    </row>
    <row r="5" spans="1:13" s="1764" customFormat="1" ht="145.5" customHeight="1" x14ac:dyDescent="0.3">
      <c r="A5" s="1255">
        <v>4</v>
      </c>
      <c r="B5" s="1255"/>
      <c r="C5" s="1255"/>
      <c r="D5" s="4733" t="s">
        <v>1941</v>
      </c>
      <c r="E5" s="4734"/>
      <c r="F5" s="4734"/>
      <c r="G5" s="4734"/>
      <c r="H5" s="4734"/>
      <c r="I5" s="4734"/>
      <c r="J5" s="4734"/>
      <c r="K5" s="4734"/>
      <c r="L5" s="4735"/>
    </row>
    <row r="6" spans="1:13" ht="13.5" customHeight="1" x14ac:dyDescent="0.25">
      <c r="C6" s="728"/>
      <c r="K6" s="1265"/>
    </row>
    <row r="7" spans="1:13" s="1265" customFormat="1" ht="13.5" customHeight="1" x14ac:dyDescent="0.25">
      <c r="A7" s="1255">
        <v>4</v>
      </c>
      <c r="B7" s="728" t="s">
        <v>6</v>
      </c>
      <c r="C7" s="1260"/>
      <c r="D7" s="1770" t="s">
        <v>74</v>
      </c>
      <c r="E7" s="1770"/>
      <c r="F7" s="1770"/>
      <c r="G7" s="1770"/>
      <c r="H7" s="1770"/>
      <c r="I7" s="1629"/>
      <c r="J7" s="1629"/>
    </row>
    <row r="8" spans="1:13" s="1265" customFormat="1" ht="12" customHeight="1" x14ac:dyDescent="0.25">
      <c r="A8" s="1259"/>
      <c r="B8" s="1260"/>
      <c r="C8" s="1260"/>
      <c r="D8" s="4330" t="s">
        <v>1942</v>
      </c>
      <c r="E8" s="4325">
        <v>1990</v>
      </c>
      <c r="F8" s="4325">
        <v>2000</v>
      </c>
      <c r="G8" s="4325">
        <v>2010</v>
      </c>
      <c r="H8" s="4325">
        <v>2014</v>
      </c>
      <c r="I8" s="4325">
        <v>2015</v>
      </c>
      <c r="J8" s="4325">
        <v>2016</v>
      </c>
      <c r="K8" s="2081">
        <v>2017</v>
      </c>
      <c r="L8" s="4335">
        <v>2018</v>
      </c>
      <c r="M8" s="4335">
        <v>2018</v>
      </c>
    </row>
    <row r="9" spans="1:13" s="1265" customFormat="1" ht="11.25" customHeight="1" x14ac:dyDescent="0.2">
      <c r="A9" s="1259"/>
      <c r="B9" s="1260"/>
      <c r="C9" s="4336"/>
      <c r="D9" s="4337" t="s">
        <v>1943</v>
      </c>
      <c r="E9" s="4338">
        <v>6.3622984627997592E-2</v>
      </c>
      <c r="F9" s="4338">
        <v>7.4378023529411794E-2</v>
      </c>
      <c r="G9" s="4338">
        <v>7.9301051281000248E-2</v>
      </c>
      <c r="H9" s="4338">
        <v>8.253568157409312E-2</v>
      </c>
      <c r="I9" s="4338">
        <v>8.3312734084853499E-2</v>
      </c>
      <c r="J9" s="4338">
        <v>8.6220954211928699E-2</v>
      </c>
      <c r="K9" s="4338">
        <v>8.7091203771264641E-2</v>
      </c>
      <c r="L9" s="4339">
        <v>8.8169373806107856E-2</v>
      </c>
      <c r="M9" s="4339">
        <v>8.8999999999999996E-2</v>
      </c>
    </row>
    <row r="10" spans="1:13" s="1265" customFormat="1" ht="11.25" customHeight="1" x14ac:dyDescent="0.2">
      <c r="A10" s="1259"/>
      <c r="B10" s="1260"/>
      <c r="C10" s="4336"/>
      <c r="D10" s="4337" t="s">
        <v>1944</v>
      </c>
      <c r="E10" s="4338"/>
      <c r="F10" s="4338">
        <v>7.4378023529411794E-2</v>
      </c>
      <c r="G10" s="4338">
        <v>0.10470537956656348</v>
      </c>
      <c r="H10" s="4338">
        <v>0.11683632198142416</v>
      </c>
      <c r="I10" s="4338">
        <v>0.11986905758513933</v>
      </c>
      <c r="J10" s="4338">
        <v>0.1229017931888545</v>
      </c>
      <c r="K10" s="4338">
        <v>0.12593452879256967</v>
      </c>
      <c r="L10" s="4339">
        <v>0.12896726439628484</v>
      </c>
      <c r="M10" s="4339">
        <v>0.13200000000000001</v>
      </c>
    </row>
    <row r="11" spans="1:13" s="1265" customFormat="1" ht="12" customHeight="1" x14ac:dyDescent="0.2">
      <c r="A11" s="1259"/>
      <c r="B11" s="1260"/>
      <c r="C11" s="4336"/>
      <c r="D11" s="3208" t="s">
        <v>1938</v>
      </c>
      <c r="E11" s="4338">
        <v>4.3588355845870043E-2</v>
      </c>
      <c r="F11" s="4338">
        <v>5.1805606584955879E-2</v>
      </c>
      <c r="G11" s="4338">
        <v>5.5521218098790653E-2</v>
      </c>
      <c r="H11" s="4338">
        <v>5.8412215847509684E-2</v>
      </c>
      <c r="I11" s="4338">
        <v>5.90596816396802E-2</v>
      </c>
      <c r="J11" s="4338">
        <v>6.1624342954703759E-2</v>
      </c>
      <c r="K11" s="4338">
        <v>6.233518017544571E-2</v>
      </c>
      <c r="L11" s="4339">
        <v>6.3282701694609478E-2</v>
      </c>
      <c r="M11" s="4339">
        <v>6.3E-2</v>
      </c>
    </row>
    <row r="12" spans="1:13" s="1265" customFormat="1" ht="12" customHeight="1" x14ac:dyDescent="0.2">
      <c r="A12" s="1259"/>
      <c r="B12" s="1260"/>
      <c r="C12" s="1260"/>
      <c r="D12" s="1617" t="s">
        <v>1945</v>
      </c>
      <c r="E12" s="4340"/>
      <c r="F12" s="4340"/>
      <c r="G12" s="4340">
        <v>7.9301051281000248E-2</v>
      </c>
      <c r="H12" s="4340">
        <v>0.11558063076860016</v>
      </c>
      <c r="I12" s="4340">
        <v>0.12465052564050014</v>
      </c>
      <c r="J12" s="4340">
        <v>0.13372042051240013</v>
      </c>
      <c r="K12" s="4340">
        <v>0.14279031538430009</v>
      </c>
      <c r="L12" s="4341">
        <v>0.15186021025620006</v>
      </c>
      <c r="M12" s="4341">
        <v>0.161</v>
      </c>
    </row>
    <row r="13" spans="1:13" s="1265" customFormat="1" ht="20.25" customHeight="1" x14ac:dyDescent="0.2">
      <c r="A13" s="1259"/>
      <c r="B13" s="1260"/>
      <c r="C13" s="1260"/>
      <c r="D13" s="1804"/>
      <c r="E13" s="1270"/>
      <c r="F13" s="1270"/>
      <c r="G13" s="1270"/>
      <c r="H13" s="1270"/>
      <c r="I13" s="1270"/>
      <c r="J13" s="1270"/>
    </row>
    <row r="14" spans="1:13" ht="13.5" customHeight="1" x14ac:dyDescent="0.25">
      <c r="A14" s="1255">
        <v>5</v>
      </c>
      <c r="B14" s="1255" t="s">
        <v>56</v>
      </c>
      <c r="D14" s="1632"/>
      <c r="E14" s="1632"/>
      <c r="F14" s="1632"/>
      <c r="G14" s="1632"/>
      <c r="H14" s="1632"/>
      <c r="I14" s="1632"/>
      <c r="J14" s="1632"/>
    </row>
    <row r="20" spans="1:3" ht="12.75" customHeight="1" x14ac:dyDescent="0.25">
      <c r="A20" s="767"/>
      <c r="B20" s="767"/>
      <c r="C20" s="767"/>
    </row>
    <row r="21" spans="1:3" ht="12.75" customHeight="1" x14ac:dyDescent="0.25">
      <c r="A21" s="767"/>
      <c r="B21" s="767"/>
      <c r="C21" s="767"/>
    </row>
    <row r="22" spans="1:3" x14ac:dyDescent="0.25">
      <c r="A22" s="767"/>
      <c r="B22" s="767"/>
      <c r="C22" s="767"/>
    </row>
    <row r="23" spans="1:3" x14ac:dyDescent="0.25">
      <c r="A23" s="767"/>
      <c r="B23" s="767"/>
      <c r="C23" s="767"/>
    </row>
    <row r="24" spans="1:3" x14ac:dyDescent="0.25">
      <c r="A24" s="767"/>
      <c r="B24" s="767"/>
      <c r="C24" s="767"/>
    </row>
    <row r="25" spans="1:3" x14ac:dyDescent="0.25">
      <c r="A25" s="767"/>
      <c r="B25" s="767"/>
      <c r="C25" s="767"/>
    </row>
    <row r="26" spans="1:3" x14ac:dyDescent="0.25">
      <c r="A26" s="767"/>
      <c r="B26" s="767"/>
      <c r="C26" s="767"/>
    </row>
    <row r="27" spans="1:3" x14ac:dyDescent="0.25">
      <c r="A27" s="767"/>
      <c r="B27" s="767"/>
      <c r="C27" s="767"/>
    </row>
    <row r="28" spans="1:3" x14ac:dyDescent="0.25">
      <c r="A28" s="767"/>
      <c r="B28" s="767"/>
      <c r="C28" s="767"/>
    </row>
    <row r="29" spans="1:3" x14ac:dyDescent="0.25">
      <c r="A29" s="767"/>
      <c r="B29" s="767"/>
      <c r="C29" s="767"/>
    </row>
    <row r="30" spans="1:3" x14ac:dyDescent="0.25">
      <c r="A30" s="767"/>
      <c r="B30" s="767"/>
      <c r="C30" s="767"/>
    </row>
    <row r="31" spans="1:3" x14ac:dyDescent="0.25">
      <c r="A31" s="767"/>
      <c r="B31" s="767"/>
      <c r="C31" s="767"/>
    </row>
    <row r="45" spans="1:12" s="1764" customFormat="1" ht="14.25" customHeight="1" x14ac:dyDescent="0.3">
      <c r="A45" s="1255">
        <v>6</v>
      </c>
      <c r="B45" s="1255" t="s">
        <v>58</v>
      </c>
      <c r="C45" s="1255"/>
      <c r="D45" s="4733" t="s">
        <v>363</v>
      </c>
      <c r="E45" s="4734"/>
      <c r="F45" s="4734"/>
      <c r="G45" s="4734"/>
      <c r="H45" s="4734"/>
      <c r="I45" s="4734"/>
      <c r="J45" s="4734"/>
      <c r="K45" s="4734"/>
      <c r="L45" s="4735"/>
    </row>
    <row r="46" spans="1:12" s="1764" customFormat="1" ht="29.25" customHeight="1" x14ac:dyDescent="0.3">
      <c r="A46" s="1306">
        <v>7</v>
      </c>
      <c r="B46" s="1306" t="s">
        <v>60</v>
      </c>
      <c r="C46" s="1306"/>
      <c r="D46" s="4733" t="s">
        <v>1946</v>
      </c>
      <c r="E46" s="4734"/>
      <c r="F46" s="4734"/>
      <c r="G46" s="4734"/>
      <c r="H46" s="4734"/>
      <c r="I46" s="4734"/>
      <c r="J46" s="4734"/>
      <c r="K46" s="4734"/>
      <c r="L46" s="4735"/>
    </row>
    <row r="47" spans="1:12" s="1764" customFormat="1" ht="168.65" customHeight="1" x14ac:dyDescent="0.3">
      <c r="A47" s="1255">
        <v>8</v>
      </c>
      <c r="B47" s="1255" t="s">
        <v>278</v>
      </c>
      <c r="C47" s="1306"/>
      <c r="D47" s="4733" t="s">
        <v>1947</v>
      </c>
      <c r="E47" s="4734"/>
      <c r="F47" s="4734"/>
      <c r="G47" s="4734"/>
      <c r="H47" s="4734"/>
      <c r="I47" s="4734"/>
      <c r="J47" s="4734"/>
      <c r="K47" s="4734"/>
      <c r="L47" s="4735"/>
    </row>
    <row r="48" spans="1:12" s="1764" customFormat="1" ht="41.5" customHeight="1" x14ac:dyDescent="0.3">
      <c r="A48" s="1255">
        <v>9</v>
      </c>
      <c r="B48" s="1255" t="s">
        <v>62</v>
      </c>
      <c r="C48" s="1255"/>
      <c r="D48" s="4733" t="s">
        <v>1948</v>
      </c>
      <c r="E48" s="4734"/>
      <c r="F48" s="4734"/>
      <c r="G48" s="4734"/>
      <c r="H48" s="4734"/>
      <c r="I48" s="4734"/>
      <c r="J48" s="4734"/>
      <c r="K48" s="4734"/>
      <c r="L48" s="4735"/>
    </row>
  </sheetData>
  <mergeCells count="8">
    <mergeCell ref="D47:L47"/>
    <mergeCell ref="D48:L48"/>
    <mergeCell ref="D2:L2"/>
    <mergeCell ref="D3:L3"/>
    <mergeCell ref="D4:L4"/>
    <mergeCell ref="D5:L5"/>
    <mergeCell ref="D45:L45"/>
    <mergeCell ref="D46:L46"/>
  </mergeCells>
  <pageMargins left="0.74803149606299213" right="0.74803149606299213" top="0.98425196850393704" bottom="0.98425196850393704" header="0.51181102362204722" footer="0.51181102362204722"/>
  <pageSetup paperSize="9" scale="48" orientation="landscape" r:id="rId1"/>
  <headerFooter alignWithMargins="0">
    <oddFooter>&amp;LDRAFT&amp;CPage &amp;P of &amp;N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50"/>
    <pageSetUpPr fitToPage="1"/>
  </sheetPr>
  <dimension ref="A1:U60"/>
  <sheetViews>
    <sheetView showGridLines="0" view="pageBreakPreview" topLeftCell="A2" zoomScaleSheetLayoutView="100" workbookViewId="0">
      <selection activeCell="D4" sqref="D4:L4"/>
    </sheetView>
  </sheetViews>
  <sheetFormatPr defaultColWidth="9.1796875" defaultRowHeight="11.5" x14ac:dyDescent="0.25"/>
  <cols>
    <col min="1" max="1" width="3.7265625" style="3000" customWidth="1"/>
    <col min="2" max="2" width="14.453125" style="3001" customWidth="1"/>
    <col min="3" max="3" width="3.7265625" style="3001" customWidth="1"/>
    <col min="4" max="4" width="36.54296875" style="767" bestFit="1" customWidth="1"/>
    <col min="5" max="12" width="10.54296875" style="767" customWidth="1"/>
    <col min="13" max="13" width="8.453125" style="767" customWidth="1"/>
    <col min="14" max="14" width="10" style="767" customWidth="1"/>
    <col min="15" max="15" width="8.81640625" style="767" customWidth="1"/>
    <col min="16" max="16384" width="9.1796875" style="767"/>
  </cols>
  <sheetData>
    <row r="1" spans="1:16" s="1764" customFormat="1" ht="14" x14ac:dyDescent="0.3">
      <c r="A1" s="2070"/>
      <c r="B1" s="1768"/>
      <c r="C1" s="1768"/>
      <c r="M1" s="1265"/>
    </row>
    <row r="2" spans="1:16" s="1764" customFormat="1" ht="14.25" customHeight="1" x14ac:dyDescent="0.3">
      <c r="A2" s="1255">
        <v>1</v>
      </c>
      <c r="B2" s="1255" t="s">
        <v>0</v>
      </c>
      <c r="C2" s="1255">
        <v>87</v>
      </c>
      <c r="D2" s="4733" t="s">
        <v>1949</v>
      </c>
      <c r="E2" s="4734"/>
      <c r="F2" s="4734"/>
      <c r="G2" s="4734"/>
      <c r="H2" s="4734"/>
      <c r="I2" s="4734"/>
      <c r="J2" s="4734"/>
      <c r="K2" s="4734"/>
      <c r="L2" s="4735"/>
    </row>
    <row r="3" spans="1:16" s="1764" customFormat="1" ht="14.25" customHeight="1" x14ac:dyDescent="0.3">
      <c r="A3" s="1255">
        <v>2</v>
      </c>
      <c r="B3" s="1255" t="s">
        <v>2</v>
      </c>
      <c r="C3" s="1255"/>
      <c r="D3" s="4733" t="s">
        <v>1939</v>
      </c>
      <c r="E3" s="4734"/>
      <c r="F3" s="4734"/>
      <c r="G3" s="4734"/>
      <c r="H3" s="4734"/>
      <c r="I3" s="4734"/>
      <c r="J3" s="4734"/>
      <c r="K3" s="4734"/>
      <c r="L3" s="4735"/>
    </row>
    <row r="4" spans="1:16" s="1764" customFormat="1" ht="15.5" customHeight="1" x14ac:dyDescent="0.3">
      <c r="A4" s="1255">
        <v>3</v>
      </c>
      <c r="B4" s="1255" t="s">
        <v>4</v>
      </c>
      <c r="C4" s="1255"/>
      <c r="D4" s="4733" t="s">
        <v>1950</v>
      </c>
      <c r="E4" s="4734"/>
      <c r="F4" s="4734"/>
      <c r="G4" s="4734"/>
      <c r="H4" s="4734"/>
      <c r="I4" s="4734"/>
      <c r="J4" s="4734"/>
      <c r="K4" s="4734"/>
      <c r="L4" s="4735"/>
    </row>
    <row r="5" spans="1:16" ht="13" x14ac:dyDescent="0.25">
      <c r="C5" s="728"/>
    </row>
    <row r="6" spans="1:16" s="1265" customFormat="1" ht="13" x14ac:dyDescent="0.25">
      <c r="A6" s="1255">
        <v>4</v>
      </c>
      <c r="B6" s="728" t="s">
        <v>6</v>
      </c>
      <c r="C6" s="1260"/>
      <c r="D6" s="1770" t="s">
        <v>74</v>
      </c>
      <c r="E6" s="1770" t="s">
        <v>1951</v>
      </c>
      <c r="F6" s="1770"/>
      <c r="G6" s="1770"/>
      <c r="H6" s="1770"/>
      <c r="I6" s="1770"/>
      <c r="J6" s="1770"/>
      <c r="K6" s="1770"/>
      <c r="L6" s="1629"/>
    </row>
    <row r="7" spans="1:16" s="1265" customFormat="1" ht="10.5" x14ac:dyDescent="0.25">
      <c r="A7" s="1259"/>
      <c r="B7" s="1260"/>
      <c r="C7" s="1522"/>
      <c r="D7" s="4342"/>
      <c r="E7" s="4325">
        <v>1990</v>
      </c>
      <c r="F7" s="4325">
        <v>2000</v>
      </c>
      <c r="G7" s="4325">
        <v>2010</v>
      </c>
      <c r="H7" s="4325">
        <v>2015</v>
      </c>
      <c r="I7" s="4325">
        <v>2016</v>
      </c>
      <c r="J7" s="4325">
        <v>2017</v>
      </c>
      <c r="K7" s="4325">
        <v>2018</v>
      </c>
      <c r="L7" s="4326">
        <v>2019</v>
      </c>
      <c r="M7" s="4326">
        <v>2020</v>
      </c>
      <c r="N7" s="785"/>
    </row>
    <row r="8" spans="1:16" s="1265" customFormat="1" ht="11.25" customHeight="1" x14ac:dyDescent="0.2">
      <c r="A8" s="1259"/>
      <c r="B8" s="1260"/>
      <c r="C8" s="4327"/>
      <c r="D8" s="4343" t="s">
        <v>1952</v>
      </c>
      <c r="E8" s="4344">
        <v>0</v>
      </c>
      <c r="F8" s="4345">
        <v>2E-3</v>
      </c>
      <c r="G8" s="4345">
        <v>4.4000000000000003E-3</v>
      </c>
      <c r="H8" s="4345">
        <v>4.5999999999999999E-3</v>
      </c>
      <c r="I8" s="4345">
        <v>4.6138695117436219E-3</v>
      </c>
      <c r="J8" s="4345">
        <v>4.6140885833889367E-3</v>
      </c>
      <c r="K8" s="4345">
        <v>4.6143962094089925E-3</v>
      </c>
      <c r="L8" s="4346">
        <v>5.3699999999999998E-2</v>
      </c>
      <c r="M8" s="4346"/>
    </row>
    <row r="9" spans="1:16" s="1265" customFormat="1" ht="20.5" customHeight="1" x14ac:dyDescent="0.2">
      <c r="A9" s="1259"/>
      <c r="B9" s="1260"/>
      <c r="C9" s="4327"/>
      <c r="D9" s="4343" t="s">
        <v>1953</v>
      </c>
      <c r="E9" s="4345">
        <v>4.079413245217085E-5</v>
      </c>
      <c r="F9" s="4345">
        <v>1.451082553212261E-3</v>
      </c>
      <c r="G9" s="4345">
        <v>3.2859231407263226E-3</v>
      </c>
      <c r="H9" s="4345">
        <v>3.4881459016867437E-3</v>
      </c>
      <c r="I9" s="4345">
        <v>3.4881459016867437E-3</v>
      </c>
      <c r="J9" s="4345">
        <v>3.4882453159784657E-3</v>
      </c>
      <c r="K9" s="4345">
        <v>3.4884447191288843E-3</v>
      </c>
      <c r="L9" s="4346">
        <v>4.1099999999999998E-2</v>
      </c>
      <c r="M9" s="4346"/>
    </row>
    <row r="10" spans="1:16" s="1265" customFormat="1" ht="11.25" customHeight="1" x14ac:dyDescent="0.2">
      <c r="A10" s="1259"/>
      <c r="B10" s="1260"/>
      <c r="C10" s="4327"/>
      <c r="D10" s="4343" t="s">
        <v>1954</v>
      </c>
      <c r="E10" s="4345"/>
      <c r="F10" s="4345"/>
      <c r="G10" s="4345">
        <v>4.3860445009339796E-3</v>
      </c>
      <c r="H10" s="4345">
        <v>2.0394766687850244E-2</v>
      </c>
      <c r="I10" s="4345">
        <v>2.3596511125233498E-2</v>
      </c>
      <c r="J10" s="4345">
        <v>2.6798255562616752E-2</v>
      </c>
      <c r="K10" s="4345">
        <v>3.0000000000000006E-2</v>
      </c>
      <c r="L10" s="4346">
        <v>3.32E-2</v>
      </c>
      <c r="M10" s="4346"/>
      <c r="P10" s="1265" t="s">
        <v>1955</v>
      </c>
    </row>
    <row r="11" spans="1:16" s="1265" customFormat="1" ht="10.5" x14ac:dyDescent="0.2">
      <c r="A11" s="1259"/>
      <c r="B11" s="1260"/>
      <c r="C11" s="1522"/>
      <c r="D11" s="1996" t="s">
        <v>1956</v>
      </c>
      <c r="E11" s="4340"/>
      <c r="F11" s="4340"/>
      <c r="G11" s="4340">
        <v>4.3860445009339796E-3</v>
      </c>
      <c r="H11" s="4340">
        <v>5.2193022250467E-2</v>
      </c>
      <c r="I11" s="4340">
        <v>6.1754417800373607E-2</v>
      </c>
      <c r="J11" s="4340">
        <v>7.1315813350280213E-2</v>
      </c>
      <c r="K11" s="4340">
        <v>8.087720890018682E-2</v>
      </c>
      <c r="L11" s="4347">
        <v>9.0399999999999994E-2</v>
      </c>
      <c r="M11" s="4347"/>
    </row>
    <row r="12" spans="1:16" s="1265" customFormat="1" ht="20.25" customHeight="1" x14ac:dyDescent="0.2">
      <c r="A12" s="1259"/>
      <c r="B12" s="1260"/>
      <c r="C12" s="1260"/>
      <c r="D12" s="1804"/>
      <c r="E12" s="2189"/>
      <c r="F12" s="4329"/>
      <c r="G12" s="1270"/>
      <c r="H12" s="1270"/>
      <c r="I12" s="1270"/>
      <c r="J12" s="1270"/>
      <c r="K12" s="1270"/>
      <c r="L12" s="1270"/>
    </row>
    <row r="13" spans="1:16" ht="13" x14ac:dyDescent="0.25">
      <c r="A13" s="1255">
        <v>5</v>
      </c>
      <c r="B13" s="1255" t="s">
        <v>56</v>
      </c>
      <c r="D13" s="1632"/>
      <c r="E13" s="1639"/>
      <c r="F13" s="1639"/>
      <c r="G13" s="1632"/>
      <c r="H13" s="1632"/>
      <c r="I13" s="1632"/>
      <c r="J13" s="1632"/>
      <c r="K13" s="1632"/>
      <c r="L13" s="1632"/>
    </row>
    <row r="19" s="767" customFormat="1" x14ac:dyDescent="0.25"/>
    <row r="20" s="767" customFormat="1" x14ac:dyDescent="0.25"/>
    <row r="21" s="767" customFormat="1" x14ac:dyDescent="0.25"/>
    <row r="22" s="767" customFormat="1" x14ac:dyDescent="0.25"/>
    <row r="23" s="767" customFormat="1" x14ac:dyDescent="0.25"/>
    <row r="24" s="767" customFormat="1" x14ac:dyDescent="0.25"/>
    <row r="25" s="767" customFormat="1" x14ac:dyDescent="0.25"/>
    <row r="26" s="767" customFormat="1" x14ac:dyDescent="0.25"/>
    <row r="27" s="767" customFormat="1" x14ac:dyDescent="0.25"/>
    <row r="28" s="767" customFormat="1" x14ac:dyDescent="0.25"/>
    <row r="29" s="767" customFormat="1" x14ac:dyDescent="0.25"/>
    <row r="30" s="767" customFormat="1" x14ac:dyDescent="0.25"/>
    <row r="44" spans="1:13" s="1764" customFormat="1" ht="14.25" customHeight="1" x14ac:dyDescent="0.3">
      <c r="A44" s="1255">
        <v>6</v>
      </c>
      <c r="B44" s="1255" t="s">
        <v>58</v>
      </c>
      <c r="C44" s="1255"/>
      <c r="D44" s="4733" t="s">
        <v>1957</v>
      </c>
      <c r="E44" s="4734"/>
      <c r="F44" s="4734"/>
      <c r="G44" s="4734"/>
      <c r="H44" s="4734"/>
      <c r="I44" s="4734"/>
      <c r="J44" s="4734"/>
      <c r="K44" s="4734"/>
      <c r="L44" s="4735"/>
      <c r="M44" s="767"/>
    </row>
    <row r="45" spans="1:13" s="1764" customFormat="1" ht="29.25" customHeight="1" x14ac:dyDescent="0.3">
      <c r="A45" s="1306">
        <v>7</v>
      </c>
      <c r="B45" s="1306" t="s">
        <v>60</v>
      </c>
      <c r="C45" s="1306"/>
      <c r="D45" s="4733" t="s">
        <v>1958</v>
      </c>
      <c r="E45" s="4734"/>
      <c r="F45" s="4734"/>
      <c r="G45" s="4734"/>
      <c r="H45" s="4734"/>
      <c r="I45" s="4734"/>
      <c r="J45" s="4734"/>
      <c r="K45" s="4734"/>
      <c r="L45" s="4735"/>
      <c r="M45" s="767"/>
    </row>
    <row r="46" spans="1:13" s="1764" customFormat="1" ht="142" customHeight="1" x14ac:dyDescent="0.3">
      <c r="A46" s="1255">
        <v>8</v>
      </c>
      <c r="B46" s="1255" t="s">
        <v>278</v>
      </c>
      <c r="C46" s="1306"/>
      <c r="D46" s="4733" t="s">
        <v>1959</v>
      </c>
      <c r="E46" s="4734"/>
      <c r="F46" s="4734"/>
      <c r="G46" s="4734"/>
      <c r="H46" s="4734"/>
      <c r="I46" s="4734"/>
      <c r="J46" s="4734"/>
      <c r="K46" s="4734"/>
      <c r="L46" s="4735"/>
      <c r="M46" s="767"/>
    </row>
    <row r="47" spans="1:13" s="1764" customFormat="1" ht="41.15" customHeight="1" x14ac:dyDescent="0.3">
      <c r="A47" s="1255">
        <v>9</v>
      </c>
      <c r="B47" s="1255" t="s">
        <v>62</v>
      </c>
      <c r="C47" s="1255"/>
      <c r="D47" s="4733" t="s">
        <v>1960</v>
      </c>
      <c r="E47" s="4734"/>
      <c r="F47" s="4734"/>
      <c r="G47" s="4734"/>
      <c r="H47" s="4734"/>
      <c r="I47" s="4734"/>
      <c r="J47" s="4734"/>
      <c r="K47" s="4734"/>
      <c r="L47" s="4735"/>
      <c r="M47" s="767"/>
    </row>
    <row r="50" spans="4:21" x14ac:dyDescent="0.25">
      <c r="D50" s="4348"/>
      <c r="E50" s="4348"/>
      <c r="F50" s="4348"/>
      <c r="G50" s="4348"/>
      <c r="H50" s="4348"/>
      <c r="I50" s="4348"/>
      <c r="J50" s="4348"/>
      <c r="K50" s="4348"/>
      <c r="L50" s="4348"/>
      <c r="M50" s="4348"/>
      <c r="U50" s="4348"/>
    </row>
    <row r="51" spans="4:21" x14ac:dyDescent="0.25">
      <c r="D51" s="4349"/>
      <c r="E51" s="4349"/>
      <c r="F51" s="4349"/>
      <c r="G51" s="4349"/>
      <c r="H51" s="4349"/>
      <c r="I51" s="4349"/>
      <c r="J51" s="4349"/>
      <c r="K51" s="4349"/>
      <c r="L51" s="4349"/>
      <c r="M51" s="4349"/>
      <c r="N51" s="4349"/>
      <c r="O51" s="4349"/>
      <c r="P51" s="4349"/>
      <c r="Q51" s="4349"/>
      <c r="R51" s="4349"/>
      <c r="S51" s="4349"/>
      <c r="T51" s="4349"/>
      <c r="U51" s="4349"/>
    </row>
    <row r="52" spans="4:21" x14ac:dyDescent="0.25">
      <c r="D52" s="4349"/>
      <c r="E52" s="4349"/>
      <c r="F52" s="4349"/>
      <c r="G52" s="4349"/>
      <c r="H52" s="4349"/>
      <c r="I52" s="4349"/>
      <c r="J52" s="4349"/>
      <c r="K52" s="4349"/>
      <c r="L52" s="4349"/>
      <c r="M52" s="4349"/>
      <c r="N52" s="4349"/>
      <c r="O52" s="4349"/>
      <c r="P52" s="4349"/>
      <c r="Q52" s="4349"/>
      <c r="R52" s="4349"/>
      <c r="S52" s="4349"/>
      <c r="T52" s="4349"/>
      <c r="U52" s="4349"/>
    </row>
    <row r="53" spans="4:21" x14ac:dyDescent="0.25">
      <c r="D53" s="4349"/>
      <c r="E53" s="4349"/>
      <c r="F53" s="4349"/>
      <c r="G53" s="4349"/>
      <c r="H53" s="4349"/>
      <c r="I53" s="4349"/>
      <c r="J53" s="4349"/>
      <c r="K53" s="4349"/>
      <c r="L53" s="4349"/>
      <c r="M53" s="4349"/>
      <c r="N53" s="4349"/>
      <c r="O53" s="4349"/>
      <c r="P53" s="4349"/>
      <c r="Q53" s="4349"/>
      <c r="R53" s="4349"/>
      <c r="S53" s="4349"/>
      <c r="T53" s="4349"/>
      <c r="U53" s="4349"/>
    </row>
    <row r="54" spans="4:21" x14ac:dyDescent="0.25">
      <c r="D54" s="4348"/>
      <c r="E54" s="4348">
        <v>1990</v>
      </c>
      <c r="F54" s="4348">
        <v>2000</v>
      </c>
      <c r="G54" s="4348">
        <v>2010</v>
      </c>
      <c r="H54" s="4348">
        <v>2015</v>
      </c>
      <c r="I54" s="4348">
        <v>2016</v>
      </c>
      <c r="J54" s="4348">
        <v>2017</v>
      </c>
      <c r="K54" s="4348">
        <v>2018</v>
      </c>
      <c r="L54" s="4348">
        <v>2019</v>
      </c>
      <c r="M54" s="4349"/>
      <c r="N54" s="4349"/>
      <c r="O54" s="4349"/>
      <c r="P54" s="4349"/>
      <c r="Q54" s="4349"/>
      <c r="R54" s="4349"/>
      <c r="S54" s="4349"/>
      <c r="T54" s="4349"/>
      <c r="U54" s="4349"/>
    </row>
    <row r="55" spans="4:21" x14ac:dyDescent="0.25">
      <c r="D55" s="4348" t="s">
        <v>1952</v>
      </c>
      <c r="E55" s="4350">
        <v>0</v>
      </c>
      <c r="F55" s="4350">
        <v>2.0372856900803399E-3</v>
      </c>
      <c r="G55" s="4350">
        <v>4.3860445009339796E-3</v>
      </c>
      <c r="H55" s="4350">
        <v>4.6138695117436219E-3</v>
      </c>
      <c r="I55" s="4350">
        <v>4.6138695117436219E-3</v>
      </c>
      <c r="J55" s="4350">
        <v>4.6140885833889367E-3</v>
      </c>
      <c r="K55" s="4350">
        <v>4.6143962094089925E-3</v>
      </c>
      <c r="L55" s="4350">
        <v>5.3699999999999998E-2</v>
      </c>
      <c r="M55" s="4349"/>
      <c r="N55" s="4349"/>
      <c r="O55" s="4349"/>
      <c r="P55" s="4349"/>
      <c r="Q55" s="4349"/>
      <c r="R55" s="4349"/>
      <c r="S55" s="4349"/>
      <c r="T55" s="4349"/>
      <c r="U55" s="4349"/>
    </row>
    <row r="56" spans="4:21" ht="34.5" x14ac:dyDescent="0.25">
      <c r="D56" s="4351" t="s">
        <v>1953</v>
      </c>
      <c r="E56" s="4350">
        <v>4.079413245217085E-5</v>
      </c>
      <c r="F56" s="4350">
        <v>1.451082553212261E-3</v>
      </c>
      <c r="G56" s="4350">
        <v>3.2859231407263226E-3</v>
      </c>
      <c r="H56" s="4350">
        <v>3.4881459016867437E-3</v>
      </c>
      <c r="I56" s="4350">
        <v>3.4881459016867437E-3</v>
      </c>
      <c r="J56" s="4350">
        <v>3.4882453159784657E-3</v>
      </c>
      <c r="K56" s="4350">
        <v>3.4884447191288843E-3</v>
      </c>
      <c r="L56" s="4350">
        <v>4.1099999999999998E-2</v>
      </c>
      <c r="M56" s="4349"/>
      <c r="N56" s="4349"/>
      <c r="O56" s="4349"/>
      <c r="P56" s="4349"/>
      <c r="Q56" s="4349"/>
      <c r="R56" s="4349"/>
      <c r="S56" s="4349"/>
      <c r="T56" s="4349"/>
      <c r="U56" s="4349"/>
    </row>
    <row r="57" spans="4:21" x14ac:dyDescent="0.25">
      <c r="D57" s="4348" t="s">
        <v>1954</v>
      </c>
      <c r="E57" s="4350"/>
      <c r="F57" s="4350"/>
      <c r="G57" s="4350">
        <v>4.3860445009339796E-3</v>
      </c>
      <c r="H57" s="4350">
        <v>2.0394766687850244E-2</v>
      </c>
      <c r="I57" s="4350">
        <v>2.3596511125233498E-2</v>
      </c>
      <c r="J57" s="4350">
        <v>2.6798255562616752E-2</v>
      </c>
      <c r="K57" s="4350">
        <v>3.0000000000000006E-2</v>
      </c>
      <c r="L57" s="4350">
        <v>3.32E-2</v>
      </c>
      <c r="M57" s="4352"/>
      <c r="N57" s="4352"/>
      <c r="O57" s="4352"/>
      <c r="P57" s="4352"/>
      <c r="Q57" s="4352"/>
      <c r="R57" s="4352"/>
      <c r="S57" s="4352"/>
      <c r="T57" s="4352"/>
      <c r="U57" s="4352"/>
    </row>
    <row r="58" spans="4:21" x14ac:dyDescent="0.25">
      <c r="D58" s="4348" t="s">
        <v>1956</v>
      </c>
      <c r="E58" s="4350"/>
      <c r="F58" s="4350"/>
      <c r="G58" s="4350">
        <v>4.3860445009339796E-3</v>
      </c>
      <c r="H58" s="4350">
        <v>5.2193022250467E-2</v>
      </c>
      <c r="I58" s="4350">
        <v>6.1754417800373607E-2</v>
      </c>
      <c r="J58" s="4350">
        <v>7.1315813350280213E-2</v>
      </c>
      <c r="K58" s="4350">
        <v>8.087720890018682E-2</v>
      </c>
      <c r="L58" s="4350">
        <v>9.0399999999999994E-2</v>
      </c>
      <c r="M58" s="4352"/>
      <c r="N58" s="4352"/>
      <c r="O58" s="4352"/>
      <c r="P58" s="4352"/>
      <c r="Q58" s="4352"/>
      <c r="R58" s="4352"/>
      <c r="S58" s="4352"/>
      <c r="T58" s="4352"/>
      <c r="U58" s="4352"/>
    </row>
    <row r="59" spans="4:21" x14ac:dyDescent="0.25">
      <c r="D59" s="4352"/>
      <c r="E59" s="4352"/>
      <c r="F59" s="4352"/>
      <c r="G59" s="4352"/>
      <c r="H59" s="4352"/>
      <c r="I59" s="4352"/>
      <c r="J59" s="4352"/>
      <c r="K59" s="4352"/>
      <c r="L59" s="4352"/>
      <c r="M59" s="4352"/>
      <c r="N59" s="4352"/>
      <c r="O59" s="4352"/>
      <c r="P59" s="4352"/>
      <c r="Q59" s="4352"/>
      <c r="R59" s="4352"/>
      <c r="S59" s="4352"/>
      <c r="T59" s="4352"/>
      <c r="U59" s="4352"/>
    </row>
    <row r="60" spans="4:21" x14ac:dyDescent="0.25">
      <c r="F60" s="4353"/>
    </row>
  </sheetData>
  <mergeCells count="7">
    <mergeCell ref="D47:L47"/>
    <mergeCell ref="D2:L2"/>
    <mergeCell ref="D3:L3"/>
    <mergeCell ref="D4:L4"/>
    <mergeCell ref="D44:L44"/>
    <mergeCell ref="D45:L45"/>
    <mergeCell ref="D46:L46"/>
  </mergeCells>
  <pageMargins left="0.74803149606299213" right="0.74803149606299213" top="0.98425196850393704" bottom="0.98425196850393704" header="0.51181102362204722" footer="0.51181102362204722"/>
  <pageSetup paperSize="9" scale="59" orientation="landscape" r:id="rId1"/>
  <headerFooter alignWithMargins="0">
    <oddFooter>&amp;LDRAFT&amp;CPage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BY105"/>
  <sheetViews>
    <sheetView showGridLines="0" view="pageBreakPreview" zoomScaleNormal="100" zoomScaleSheetLayoutView="100" workbookViewId="0">
      <selection activeCell="B19" sqref="B19"/>
    </sheetView>
  </sheetViews>
  <sheetFormatPr defaultColWidth="9.1796875" defaultRowHeight="14.5" x14ac:dyDescent="0.35"/>
  <cols>
    <col min="1" max="1" width="3.81640625" style="305" customWidth="1"/>
    <col min="2" max="2" width="12.81640625" style="306" customWidth="1"/>
    <col min="3" max="3" width="3.81640625" style="307" customWidth="1"/>
    <col min="4" max="4" width="14.453125" style="309" customWidth="1"/>
    <col min="5" max="20" width="8.1796875" style="309" customWidth="1"/>
    <col min="21" max="21" width="7.1796875" style="309" customWidth="1"/>
    <col min="22" max="22" width="6.1796875" style="309" customWidth="1"/>
    <col min="23" max="23" width="6.81640625" style="309" customWidth="1"/>
    <col min="24" max="24" width="4.81640625" style="309" customWidth="1"/>
    <col min="25" max="26" width="4.1796875" style="116" customWidth="1"/>
    <col min="27" max="27" width="4" style="116" customWidth="1"/>
    <col min="28" max="30" width="3.81640625" style="309" customWidth="1"/>
    <col min="31" max="33" width="4.1796875" style="309" customWidth="1"/>
    <col min="34" max="72" width="4.81640625" style="309" customWidth="1"/>
    <col min="73" max="16384" width="9.1796875" style="309"/>
  </cols>
  <sheetData>
    <row r="1" spans="1:58" x14ac:dyDescent="0.35">
      <c r="D1" s="308"/>
      <c r="E1" s="308"/>
      <c r="F1" s="308"/>
      <c r="G1" s="308"/>
      <c r="H1" s="308"/>
      <c r="I1" s="308"/>
      <c r="J1" s="308"/>
      <c r="K1" s="308"/>
      <c r="L1" s="308"/>
      <c r="M1" s="308"/>
      <c r="N1" s="308"/>
      <c r="O1" s="308"/>
      <c r="P1" s="308"/>
      <c r="Q1" s="308"/>
      <c r="R1" s="308"/>
      <c r="S1" s="308"/>
      <c r="T1" s="308"/>
    </row>
    <row r="2" spans="1:58" ht="15" customHeight="1" x14ac:dyDescent="0.35">
      <c r="A2" s="305">
        <v>1</v>
      </c>
      <c r="B2" s="310" t="s">
        <v>0</v>
      </c>
      <c r="C2" s="86">
        <f>'[3]Inflation '!C2+1</f>
        <v>9</v>
      </c>
      <c r="D2" s="4648" t="s">
        <v>162</v>
      </c>
      <c r="E2" s="4649"/>
      <c r="F2" s="4649"/>
      <c r="G2" s="4649"/>
      <c r="H2" s="4649"/>
      <c r="I2" s="4649"/>
      <c r="J2" s="4649"/>
      <c r="K2" s="4649"/>
      <c r="L2" s="4649"/>
      <c r="M2" s="4649"/>
      <c r="N2" s="4649"/>
      <c r="O2" s="4649"/>
      <c r="P2" s="4649"/>
      <c r="Q2" s="4649"/>
      <c r="R2" s="4649"/>
      <c r="S2" s="4649"/>
      <c r="T2" s="4649"/>
      <c r="U2" s="4649"/>
      <c r="V2" s="4649"/>
      <c r="W2" s="4649"/>
      <c r="X2" s="4649"/>
      <c r="Y2" s="4650"/>
      <c r="Z2" s="370"/>
      <c r="AA2" s="370"/>
      <c r="AB2" s="8"/>
      <c r="AC2" s="8"/>
      <c r="AD2" s="8"/>
      <c r="AE2" s="8"/>
      <c r="AF2" s="8"/>
      <c r="AG2" s="8"/>
      <c r="AH2" s="311"/>
    </row>
    <row r="3" spans="1:58" ht="15" customHeight="1" x14ac:dyDescent="0.35">
      <c r="A3" s="305">
        <v>2</v>
      </c>
      <c r="B3" s="310" t="s">
        <v>2</v>
      </c>
      <c r="C3" s="305"/>
      <c r="D3" s="4648" t="s">
        <v>98</v>
      </c>
      <c r="E3" s="4649"/>
      <c r="F3" s="4649"/>
      <c r="G3" s="4649"/>
      <c r="H3" s="4649"/>
      <c r="I3" s="4649"/>
      <c r="J3" s="4649"/>
      <c r="K3" s="4649"/>
      <c r="L3" s="4649"/>
      <c r="M3" s="4649"/>
      <c r="N3" s="4649"/>
      <c r="O3" s="4649"/>
      <c r="P3" s="4649"/>
      <c r="Q3" s="4649"/>
      <c r="R3" s="4649"/>
      <c r="S3" s="4649"/>
      <c r="T3" s="4649"/>
      <c r="U3" s="4649"/>
      <c r="V3" s="4649"/>
      <c r="W3" s="4649"/>
      <c r="X3" s="4649"/>
      <c r="Y3" s="4650"/>
      <c r="Z3" s="370"/>
      <c r="AA3" s="370"/>
      <c r="AB3" s="8"/>
      <c r="AC3" s="8"/>
      <c r="AD3" s="8"/>
      <c r="AE3" s="8"/>
      <c r="AF3" s="8"/>
      <c r="AG3" s="8"/>
      <c r="AH3" s="311"/>
    </row>
    <row r="4" spans="1:58" ht="15" customHeight="1" x14ac:dyDescent="0.35">
      <c r="A4" s="305">
        <v>3</v>
      </c>
      <c r="B4" s="310" t="s">
        <v>4</v>
      </c>
      <c r="C4" s="305"/>
      <c r="D4" s="4648" t="s">
        <v>163</v>
      </c>
      <c r="E4" s="4649"/>
      <c r="F4" s="4649"/>
      <c r="G4" s="4649"/>
      <c r="H4" s="4649"/>
      <c r="I4" s="4649"/>
      <c r="J4" s="4649"/>
      <c r="K4" s="4649"/>
      <c r="L4" s="4649"/>
      <c r="M4" s="4649"/>
      <c r="N4" s="4649"/>
      <c r="O4" s="4649"/>
      <c r="P4" s="4649"/>
      <c r="Q4" s="4649"/>
      <c r="R4" s="4649"/>
      <c r="S4" s="4649"/>
      <c r="T4" s="4649"/>
      <c r="U4" s="4649"/>
      <c r="V4" s="4649"/>
      <c r="W4" s="4649"/>
      <c r="X4" s="4649"/>
      <c r="Y4" s="4650"/>
      <c r="Z4" s="370"/>
      <c r="AA4" s="370"/>
      <c r="AB4" s="370"/>
      <c r="AC4" s="8"/>
      <c r="AD4" s="8"/>
      <c r="AE4" s="8"/>
      <c r="AF4" s="8"/>
      <c r="AG4" s="8"/>
      <c r="AH4" s="8"/>
    </row>
    <row r="5" spans="1:58" s="4" customFormat="1" ht="15" customHeight="1" x14ac:dyDescent="0.35">
      <c r="A5" s="86"/>
      <c r="B5" s="87"/>
      <c r="C5" s="86"/>
      <c r="D5" s="4648"/>
      <c r="E5" s="4649"/>
      <c r="F5" s="4649"/>
      <c r="G5" s="4649"/>
      <c r="H5" s="4649"/>
      <c r="I5" s="4649"/>
      <c r="J5" s="4649"/>
      <c r="K5" s="4649"/>
      <c r="L5" s="4649"/>
      <c r="M5" s="4649"/>
      <c r="N5" s="4649"/>
      <c r="O5" s="4649"/>
      <c r="P5" s="4649"/>
      <c r="Q5" s="4649"/>
      <c r="R5" s="4649"/>
      <c r="S5" s="4649"/>
      <c r="T5" s="4649"/>
      <c r="U5" s="4649"/>
      <c r="V5" s="4649"/>
      <c r="W5" s="4649"/>
      <c r="X5" s="4649"/>
      <c r="Y5" s="4650"/>
      <c r="Z5" s="945"/>
      <c r="AA5" s="945"/>
      <c r="AB5" s="945"/>
      <c r="AD5" s="153"/>
      <c r="AE5" s="153"/>
      <c r="AF5" s="153"/>
      <c r="AG5" s="153"/>
      <c r="AH5" s="153"/>
      <c r="AI5" s="153"/>
      <c r="AJ5" s="153"/>
      <c r="AK5" s="153"/>
      <c r="AL5" s="153"/>
      <c r="AM5" s="153"/>
      <c r="AN5" s="153"/>
      <c r="AO5" s="153"/>
      <c r="AP5" s="153"/>
      <c r="AQ5" s="153"/>
      <c r="AR5" s="153"/>
      <c r="AS5" s="153"/>
    </row>
    <row r="6" spans="1:58" s="4" customFormat="1" ht="12.75" customHeight="1" x14ac:dyDescent="0.35">
      <c r="A6" s="86"/>
      <c r="B6" s="87"/>
      <c r="C6" s="86"/>
      <c r="D6" s="4656"/>
      <c r="E6" s="4656"/>
      <c r="F6" s="4656"/>
      <c r="G6" s="4656"/>
      <c r="H6" s="4656"/>
      <c r="I6" s="4656"/>
      <c r="J6" s="4656"/>
      <c r="K6" s="4656"/>
      <c r="L6" s="4656"/>
      <c r="M6" s="4656"/>
      <c r="N6" s="4656"/>
      <c r="O6" s="4656"/>
      <c r="P6" s="4656"/>
      <c r="Q6" s="4656"/>
      <c r="R6" s="4656"/>
      <c r="S6" s="4656"/>
      <c r="T6" s="4656"/>
      <c r="U6" s="4656"/>
      <c r="V6" s="4656"/>
      <c r="W6" s="4656"/>
      <c r="X6" s="4679"/>
      <c r="Y6" s="4679"/>
      <c r="Z6" s="4679"/>
      <c r="AA6" s="4679"/>
      <c r="AB6" s="4679"/>
      <c r="AC6" s="8"/>
      <c r="AD6" s="8"/>
      <c r="AE6" s="8"/>
      <c r="AF6" s="8"/>
      <c r="AG6" s="8"/>
      <c r="AH6" s="8"/>
      <c r="AI6" s="8"/>
      <c r="AJ6" s="8"/>
      <c r="AK6" s="8"/>
      <c r="AL6" s="8"/>
      <c r="AM6" s="8"/>
      <c r="AN6" s="8"/>
      <c r="AO6" s="8"/>
      <c r="AP6" s="8"/>
      <c r="AQ6" s="8"/>
      <c r="AR6" s="8"/>
      <c r="AS6" s="8"/>
      <c r="AT6" s="12"/>
      <c r="AU6" s="12"/>
      <c r="AV6" s="12"/>
      <c r="AW6" s="12"/>
      <c r="AX6" s="12"/>
      <c r="AY6" s="12"/>
      <c r="AZ6" s="12"/>
      <c r="BA6" s="12"/>
      <c r="BB6" s="12"/>
      <c r="BC6" s="12"/>
      <c r="BD6" s="12"/>
      <c r="BE6" s="12"/>
      <c r="BF6" s="12"/>
    </row>
    <row r="7" spans="1:58" x14ac:dyDescent="0.35">
      <c r="A7" s="305">
        <v>5</v>
      </c>
      <c r="B7" s="310" t="s">
        <v>6</v>
      </c>
      <c r="D7" s="313" t="s">
        <v>85</v>
      </c>
      <c r="E7" s="313" t="s">
        <v>164</v>
      </c>
      <c r="F7" s="313"/>
      <c r="G7" s="313"/>
      <c r="H7" s="313"/>
      <c r="I7" s="313"/>
      <c r="J7" s="313"/>
      <c r="K7" s="313"/>
      <c r="L7" s="313"/>
      <c r="M7" s="313"/>
      <c r="N7" s="314"/>
      <c r="O7" s="314"/>
      <c r="P7" s="314"/>
      <c r="Q7" s="314"/>
      <c r="R7" s="314"/>
      <c r="S7" s="330"/>
      <c r="T7" s="330"/>
      <c r="U7" s="311"/>
      <c r="V7" s="371"/>
      <c r="W7" s="311"/>
      <c r="X7" s="45"/>
      <c r="Y7" s="45"/>
      <c r="Z7" s="45"/>
      <c r="AA7" s="45"/>
      <c r="AB7" s="45"/>
      <c r="AC7" s="311"/>
      <c r="AD7" s="311"/>
      <c r="AE7" s="311"/>
      <c r="AF7" s="311"/>
      <c r="AG7" s="311"/>
    </row>
    <row r="8" spans="1:58" x14ac:dyDescent="0.35">
      <c r="D8" s="372" t="s">
        <v>158</v>
      </c>
      <c r="E8" s="373">
        <v>36160</v>
      </c>
      <c r="F8" s="373">
        <v>36525</v>
      </c>
      <c r="G8" s="373">
        <v>36891</v>
      </c>
      <c r="H8" s="373">
        <v>37256</v>
      </c>
      <c r="I8" s="373">
        <v>37621</v>
      </c>
      <c r="J8" s="373">
        <v>37986</v>
      </c>
      <c r="K8" s="373">
        <v>38352</v>
      </c>
      <c r="L8" s="373">
        <v>38717</v>
      </c>
      <c r="M8" s="373">
        <v>39082</v>
      </c>
      <c r="N8" s="373">
        <v>39447</v>
      </c>
      <c r="O8" s="373">
        <v>39813</v>
      </c>
      <c r="P8" s="373">
        <v>40178</v>
      </c>
      <c r="Q8" s="373">
        <v>40543</v>
      </c>
      <c r="R8" s="373">
        <v>40908</v>
      </c>
      <c r="S8" s="373">
        <v>41274</v>
      </c>
      <c r="T8" s="373">
        <v>41275</v>
      </c>
      <c r="U8" s="373">
        <v>41641</v>
      </c>
      <c r="V8" s="373">
        <v>42007</v>
      </c>
      <c r="W8" s="373">
        <v>42371</v>
      </c>
      <c r="X8" s="374">
        <v>42738</v>
      </c>
      <c r="Y8" s="375" t="s">
        <v>32</v>
      </c>
      <c r="Z8" s="376" t="s">
        <v>33</v>
      </c>
    </row>
    <row r="9" spans="1:58" x14ac:dyDescent="0.35">
      <c r="D9" s="377" t="s">
        <v>165</v>
      </c>
      <c r="E9" s="378">
        <v>397</v>
      </c>
      <c r="F9" s="378">
        <v>422</v>
      </c>
      <c r="G9" s="378">
        <v>332</v>
      </c>
      <c r="H9" s="378">
        <v>311</v>
      </c>
      <c r="I9" s="378">
        <v>270</v>
      </c>
      <c r="J9" s="378">
        <v>175</v>
      </c>
      <c r="K9" s="378">
        <v>141</v>
      </c>
      <c r="L9" s="378">
        <v>95</v>
      </c>
      <c r="M9" s="378">
        <v>90</v>
      </c>
      <c r="N9" s="378">
        <v>100</v>
      </c>
      <c r="O9" s="378">
        <v>328</v>
      </c>
      <c r="P9" s="378">
        <v>299</v>
      </c>
      <c r="Q9" s="378">
        <v>167</v>
      </c>
      <c r="R9" s="378">
        <v>195</v>
      </c>
      <c r="S9" s="378">
        <v>206</v>
      </c>
      <c r="T9" s="378">
        <v>234</v>
      </c>
      <c r="U9" s="378">
        <v>231</v>
      </c>
      <c r="V9" s="378">
        <v>296</v>
      </c>
      <c r="W9" s="378">
        <v>343</v>
      </c>
      <c r="X9" s="379">
        <v>267</v>
      </c>
      <c r="Y9" s="379">
        <v>288</v>
      </c>
      <c r="Z9" s="380">
        <v>313</v>
      </c>
    </row>
    <row r="10" spans="1:58" x14ac:dyDescent="0.35">
      <c r="A10" s="309"/>
      <c r="D10" s="381"/>
      <c r="E10" s="327"/>
      <c r="F10" s="327"/>
      <c r="G10" s="327"/>
      <c r="H10" s="327"/>
      <c r="I10" s="327"/>
      <c r="J10" s="327"/>
      <c r="K10" s="327"/>
      <c r="L10" s="382"/>
      <c r="M10" s="383"/>
      <c r="N10" s="314"/>
      <c r="O10" s="314"/>
      <c r="P10" s="314"/>
      <c r="Q10" s="308"/>
      <c r="R10" s="330"/>
      <c r="S10" s="384"/>
      <c r="T10" s="384"/>
      <c r="V10" s="371"/>
    </row>
    <row r="11" spans="1:58" x14ac:dyDescent="0.35">
      <c r="A11" s="305">
        <v>6</v>
      </c>
      <c r="B11" s="310" t="s">
        <v>56</v>
      </c>
      <c r="D11" s="308"/>
      <c r="E11" s="330"/>
      <c r="F11" s="330"/>
      <c r="G11" s="330"/>
      <c r="H11" s="330"/>
      <c r="I11" s="330"/>
      <c r="J11" s="330"/>
      <c r="K11" s="330"/>
      <c r="L11" s="330"/>
      <c r="M11" s="330"/>
      <c r="N11" s="330"/>
      <c r="O11" s="330"/>
      <c r="P11" s="330"/>
      <c r="Q11" s="330"/>
      <c r="R11" s="330"/>
      <c r="S11" s="384"/>
      <c r="T11" s="384"/>
      <c r="V11" s="371"/>
    </row>
    <row r="12" spans="1:58" x14ac:dyDescent="0.35">
      <c r="C12" s="305"/>
      <c r="D12" s="308"/>
      <c r="E12" s="330"/>
      <c r="F12" s="330"/>
      <c r="G12" s="330"/>
      <c r="H12" s="330"/>
      <c r="I12" s="330"/>
      <c r="J12" s="330"/>
      <c r="K12" s="330"/>
      <c r="L12" s="330"/>
      <c r="M12" s="330"/>
      <c r="N12" s="330"/>
      <c r="O12" s="330"/>
      <c r="P12" s="330"/>
      <c r="Q12" s="330"/>
      <c r="R12" s="330"/>
      <c r="S12" s="384"/>
      <c r="T12" s="384"/>
      <c r="V12" s="371"/>
    </row>
    <row r="13" spans="1:58" x14ac:dyDescent="0.35">
      <c r="D13" s="308"/>
      <c r="E13" s="330"/>
      <c r="F13" s="330"/>
      <c r="G13" s="330"/>
      <c r="H13" s="330"/>
      <c r="I13" s="330"/>
      <c r="J13" s="330"/>
      <c r="K13" s="330"/>
      <c r="L13" s="330"/>
      <c r="M13" s="330"/>
      <c r="N13" s="330"/>
      <c r="O13" s="330"/>
      <c r="P13" s="330"/>
      <c r="Q13" s="330"/>
      <c r="R13" s="330"/>
      <c r="S13" s="384"/>
      <c r="T13" s="384"/>
      <c r="V13" s="371"/>
    </row>
    <row r="14" spans="1:58" x14ac:dyDescent="0.35">
      <c r="D14" s="308"/>
      <c r="E14" s="330"/>
      <c r="F14" s="330"/>
      <c r="G14" s="330"/>
      <c r="H14" s="330"/>
      <c r="I14" s="330"/>
      <c r="J14" s="330"/>
      <c r="K14" s="330"/>
      <c r="L14" s="330"/>
      <c r="M14" s="330"/>
      <c r="N14" s="330"/>
      <c r="O14" s="330"/>
      <c r="P14" s="330"/>
      <c r="Q14" s="330"/>
      <c r="R14" s="330"/>
      <c r="S14" s="384"/>
      <c r="T14" s="384"/>
      <c r="V14" s="371"/>
    </row>
    <row r="15" spans="1:58" x14ac:dyDescent="0.35">
      <c r="D15" s="308"/>
      <c r="E15" s="330"/>
      <c r="F15" s="330"/>
      <c r="G15" s="330"/>
      <c r="H15" s="330"/>
      <c r="I15" s="330"/>
      <c r="J15" s="330"/>
      <c r="K15" s="330"/>
      <c r="L15" s="330"/>
      <c r="M15" s="330"/>
      <c r="N15" s="330"/>
      <c r="O15" s="330"/>
      <c r="P15" s="330"/>
      <c r="Q15" s="330"/>
      <c r="R15" s="330"/>
      <c r="S15" s="384"/>
      <c r="T15" s="384"/>
      <c r="V15" s="371"/>
    </row>
    <row r="16" spans="1:58" x14ac:dyDescent="0.35">
      <c r="D16" s="308"/>
      <c r="E16" s="330"/>
      <c r="F16" s="330"/>
      <c r="G16" s="330"/>
      <c r="H16" s="330"/>
      <c r="I16" s="330"/>
      <c r="J16" s="330"/>
      <c r="K16" s="330"/>
      <c r="L16" s="330"/>
      <c r="M16" s="330"/>
      <c r="N16" s="330"/>
      <c r="O16" s="330"/>
      <c r="P16" s="330"/>
      <c r="Q16" s="330"/>
      <c r="R16" s="330"/>
      <c r="S16" s="330"/>
      <c r="T16" s="330"/>
      <c r="V16" s="371"/>
    </row>
    <row r="17" spans="1:53" x14ac:dyDescent="0.35">
      <c r="D17" s="308"/>
      <c r="E17" s="330"/>
      <c r="F17" s="330"/>
      <c r="G17" s="330"/>
      <c r="H17" s="330"/>
      <c r="I17" s="330"/>
      <c r="J17" s="330"/>
      <c r="K17" s="330"/>
      <c r="L17" s="330"/>
      <c r="M17" s="330"/>
      <c r="N17" s="330"/>
      <c r="O17" s="330"/>
      <c r="P17" s="330"/>
      <c r="Q17" s="330"/>
      <c r="R17" s="330"/>
      <c r="S17" s="330"/>
      <c r="T17" s="330"/>
      <c r="V17" s="371"/>
    </row>
    <row r="18" spans="1:53" x14ac:dyDescent="0.35">
      <c r="D18" s="308"/>
      <c r="E18" s="330"/>
      <c r="F18" s="330"/>
      <c r="G18" s="330"/>
      <c r="H18" s="330"/>
      <c r="I18" s="330"/>
      <c r="J18" s="330"/>
      <c r="K18" s="330"/>
      <c r="L18" s="330"/>
      <c r="M18" s="330"/>
      <c r="N18" s="330"/>
      <c r="O18" s="330"/>
      <c r="P18" s="330"/>
      <c r="Q18" s="330"/>
      <c r="R18" s="330"/>
      <c r="S18" s="330"/>
      <c r="T18" s="330"/>
      <c r="V18" s="371"/>
    </row>
    <row r="19" spans="1:53" x14ac:dyDescent="0.35">
      <c r="D19" s="308"/>
      <c r="E19" s="330"/>
      <c r="F19" s="330"/>
      <c r="G19" s="330"/>
      <c r="H19" s="330"/>
      <c r="I19" s="330"/>
      <c r="J19" s="330"/>
      <c r="K19" s="330"/>
      <c r="L19" s="330"/>
      <c r="M19" s="330"/>
      <c r="N19" s="330"/>
      <c r="O19" s="330"/>
      <c r="P19" s="330"/>
      <c r="Q19" s="330"/>
      <c r="R19" s="330"/>
      <c r="S19" s="330"/>
      <c r="T19" s="330"/>
      <c r="V19" s="371"/>
    </row>
    <row r="20" spans="1:53" x14ac:dyDescent="0.35">
      <c r="D20" s="308"/>
      <c r="E20" s="330"/>
      <c r="F20" s="330"/>
      <c r="G20" s="330"/>
      <c r="H20" s="330"/>
      <c r="I20" s="330"/>
      <c r="J20" s="330"/>
      <c r="K20" s="330"/>
      <c r="L20" s="330"/>
      <c r="M20" s="330"/>
      <c r="N20" s="330"/>
      <c r="O20" s="330"/>
      <c r="P20" s="330"/>
      <c r="Q20" s="330"/>
      <c r="R20" s="330"/>
      <c r="S20" s="330"/>
      <c r="T20" s="330"/>
      <c r="V20" s="371"/>
    </row>
    <row r="21" spans="1:53" x14ac:dyDescent="0.35">
      <c r="D21" s="308"/>
      <c r="E21" s="330"/>
      <c r="F21" s="330"/>
      <c r="G21" s="330"/>
      <c r="H21" s="330"/>
      <c r="I21" s="330"/>
      <c r="J21" s="330"/>
      <c r="K21" s="330"/>
      <c r="L21" s="330"/>
      <c r="M21" s="330"/>
      <c r="N21" s="330"/>
      <c r="O21" s="330"/>
      <c r="P21" s="330"/>
      <c r="Q21" s="330"/>
      <c r="R21" s="330"/>
      <c r="S21" s="330"/>
      <c r="T21" s="330"/>
      <c r="V21" s="371"/>
    </row>
    <row r="22" spans="1:53" x14ac:dyDescent="0.35">
      <c r="D22" s="308"/>
      <c r="E22" s="308"/>
      <c r="F22" s="308"/>
      <c r="G22" s="308"/>
      <c r="H22" s="308"/>
      <c r="I22" s="308"/>
      <c r="J22" s="308"/>
      <c r="K22" s="308"/>
      <c r="L22" s="308"/>
      <c r="M22" s="308"/>
      <c r="N22" s="308"/>
      <c r="O22" s="308"/>
      <c r="P22" s="308"/>
      <c r="Q22" s="308"/>
      <c r="R22" s="308"/>
      <c r="S22" s="308"/>
      <c r="T22" s="308"/>
      <c r="V22" s="371"/>
    </row>
    <row r="23" spans="1:53" x14ac:dyDescent="0.35">
      <c r="D23" s="308"/>
      <c r="E23" s="308"/>
      <c r="F23" s="308"/>
      <c r="G23" s="308"/>
      <c r="H23" s="308"/>
      <c r="I23" s="308"/>
      <c r="J23" s="308"/>
      <c r="K23" s="308"/>
      <c r="L23" s="308"/>
      <c r="M23" s="308"/>
      <c r="N23" s="308"/>
      <c r="O23" s="308"/>
      <c r="P23" s="308"/>
      <c r="Q23" s="308"/>
      <c r="R23" s="308"/>
      <c r="S23" s="308"/>
      <c r="T23" s="308"/>
      <c r="V23" s="371"/>
    </row>
    <row r="24" spans="1:53" x14ac:dyDescent="0.35">
      <c r="D24" s="308"/>
      <c r="E24" s="308"/>
      <c r="F24" s="308"/>
      <c r="G24" s="308"/>
      <c r="H24" s="308"/>
      <c r="I24" s="308"/>
      <c r="J24" s="308"/>
      <c r="K24" s="308"/>
      <c r="L24" s="308"/>
      <c r="M24" s="308"/>
      <c r="N24" s="308"/>
      <c r="O24" s="308"/>
      <c r="P24" s="308"/>
      <c r="Q24" s="308"/>
      <c r="R24" s="308"/>
      <c r="S24" s="308"/>
      <c r="T24" s="308"/>
      <c r="V24" s="371"/>
    </row>
    <row r="25" spans="1:53" x14ac:dyDescent="0.35">
      <c r="D25" s="308"/>
      <c r="E25" s="308"/>
      <c r="F25" s="308"/>
      <c r="G25" s="308"/>
      <c r="H25" s="308"/>
      <c r="I25" s="308"/>
      <c r="J25" s="308"/>
      <c r="K25" s="308"/>
      <c r="L25" s="308"/>
      <c r="M25" s="308"/>
      <c r="N25" s="308"/>
      <c r="O25" s="308"/>
      <c r="P25" s="308"/>
      <c r="Q25" s="308"/>
      <c r="R25" s="308"/>
      <c r="S25" s="308"/>
      <c r="T25" s="308"/>
      <c r="V25" s="385"/>
    </row>
    <row r="26" spans="1:53" x14ac:dyDescent="0.35">
      <c r="D26" s="308"/>
      <c r="E26" s="308"/>
      <c r="F26" s="308"/>
      <c r="G26" s="308"/>
      <c r="H26" s="308"/>
      <c r="I26" s="308"/>
      <c r="J26" s="308"/>
      <c r="K26" s="308"/>
      <c r="L26" s="308"/>
      <c r="M26" s="308"/>
      <c r="N26" s="308"/>
      <c r="O26" s="308"/>
      <c r="P26" s="308"/>
      <c r="Q26" s="308"/>
      <c r="R26" s="308"/>
      <c r="S26" s="308"/>
      <c r="T26" s="308"/>
    </row>
    <row r="27" spans="1:53" x14ac:dyDescent="0.35">
      <c r="D27" s="308"/>
      <c r="E27" s="308"/>
      <c r="F27" s="308"/>
      <c r="G27" s="308"/>
      <c r="H27" s="308"/>
      <c r="I27" s="308"/>
      <c r="J27" s="308"/>
      <c r="K27" s="308"/>
      <c r="L27" s="308"/>
      <c r="M27" s="308"/>
      <c r="N27" s="308"/>
      <c r="O27" s="308"/>
      <c r="P27" s="308"/>
      <c r="Q27" s="308"/>
      <c r="R27" s="308"/>
      <c r="S27" s="308"/>
      <c r="T27" s="308"/>
    </row>
    <row r="28" spans="1:53" x14ac:dyDescent="0.35">
      <c r="A28" s="305">
        <v>7</v>
      </c>
      <c r="B28" s="310" t="s">
        <v>58</v>
      </c>
      <c r="C28" s="305"/>
      <c r="D28" s="4648" t="s">
        <v>166</v>
      </c>
      <c r="E28" s="4649"/>
      <c r="F28" s="4649"/>
      <c r="G28" s="4649"/>
      <c r="H28" s="4649"/>
      <c r="I28" s="4649"/>
      <c r="J28" s="4649"/>
      <c r="K28" s="4649"/>
      <c r="L28" s="4649"/>
      <c r="M28" s="4649"/>
      <c r="N28" s="4649"/>
      <c r="O28" s="4649"/>
      <c r="P28" s="4649"/>
      <c r="Q28" s="4649"/>
      <c r="R28" s="4649"/>
      <c r="S28" s="4649"/>
      <c r="T28" s="4649"/>
      <c r="U28" s="4649"/>
      <c r="V28" s="4649"/>
      <c r="W28" s="4649"/>
      <c r="X28" s="4649"/>
      <c r="Y28" s="4650"/>
    </row>
    <row r="29" spans="1:53" ht="13.5" customHeight="1" x14ac:dyDescent="0.35">
      <c r="A29" s="333">
        <v>8</v>
      </c>
      <c r="B29" s="334" t="s">
        <v>60</v>
      </c>
      <c r="C29" s="333"/>
      <c r="D29" s="4648" t="s">
        <v>167</v>
      </c>
      <c r="E29" s="4649"/>
      <c r="F29" s="4649"/>
      <c r="G29" s="4649"/>
      <c r="H29" s="4649"/>
      <c r="I29" s="4649"/>
      <c r="J29" s="4649"/>
      <c r="K29" s="4649"/>
      <c r="L29" s="4649"/>
      <c r="M29" s="4649"/>
      <c r="N29" s="4649"/>
      <c r="O29" s="4649"/>
      <c r="P29" s="4649"/>
      <c r="Q29" s="4649"/>
      <c r="R29" s="4649"/>
      <c r="S29" s="4649"/>
      <c r="T29" s="4649"/>
      <c r="U29" s="4649"/>
      <c r="V29" s="4649"/>
      <c r="W29" s="4649"/>
      <c r="X29" s="4649"/>
      <c r="Y29" s="4650"/>
    </row>
    <row r="30" spans="1:53" ht="13.25" customHeight="1" x14ac:dyDescent="0.35">
      <c r="A30" s="305">
        <v>9</v>
      </c>
      <c r="B30" s="310" t="s">
        <v>62</v>
      </c>
      <c r="C30" s="305"/>
      <c r="D30" s="4648" t="s">
        <v>168</v>
      </c>
      <c r="E30" s="4649"/>
      <c r="F30" s="4649"/>
      <c r="G30" s="4649"/>
      <c r="H30" s="4649"/>
      <c r="I30" s="4649"/>
      <c r="J30" s="4649"/>
      <c r="K30" s="4649"/>
      <c r="L30" s="4649"/>
      <c r="M30" s="4649"/>
      <c r="N30" s="4649"/>
      <c r="O30" s="4649"/>
      <c r="P30" s="4649"/>
      <c r="Q30" s="4649"/>
      <c r="R30" s="4649"/>
      <c r="S30" s="4649"/>
      <c r="T30" s="4649"/>
      <c r="U30" s="4649"/>
      <c r="V30" s="4649"/>
      <c r="W30" s="4649"/>
      <c r="X30" s="4649"/>
      <c r="Y30" s="4650"/>
    </row>
    <row r="31" spans="1:53" s="4" customFormat="1" ht="27.5" customHeight="1" x14ac:dyDescent="0.35">
      <c r="A31" s="86">
        <v>10</v>
      </c>
      <c r="B31" s="87" t="s">
        <v>64</v>
      </c>
      <c r="C31" s="86"/>
      <c r="D31" s="4651" t="s">
        <v>169</v>
      </c>
      <c r="E31" s="4652"/>
      <c r="F31" s="4652"/>
      <c r="G31" s="4652"/>
      <c r="H31" s="4652"/>
      <c r="I31" s="4652"/>
      <c r="J31" s="4652"/>
      <c r="K31" s="4652"/>
      <c r="L31" s="4652"/>
      <c r="M31" s="4652"/>
      <c r="N31" s="4652"/>
      <c r="O31" s="4652"/>
      <c r="P31" s="4652"/>
      <c r="Q31" s="4652"/>
      <c r="R31" s="4652"/>
      <c r="S31" s="4652"/>
      <c r="T31" s="4652"/>
      <c r="U31" s="4652"/>
      <c r="V31" s="4652"/>
      <c r="W31" s="4652"/>
      <c r="X31" s="4652"/>
      <c r="Y31" s="4653"/>
      <c r="Z31" s="45"/>
      <c r="AA31" s="45"/>
      <c r="AB31" s="12"/>
      <c r="AC31" s="12"/>
      <c r="AD31" s="12"/>
      <c r="AE31" s="12"/>
      <c r="AF31" s="12"/>
      <c r="AG31" s="12"/>
      <c r="AH31" s="12"/>
      <c r="AI31" s="12"/>
      <c r="AJ31" s="12"/>
      <c r="AK31" s="12"/>
      <c r="AL31" s="12"/>
      <c r="AM31" s="12"/>
      <c r="AN31" s="12"/>
      <c r="AO31" s="12"/>
      <c r="AP31" s="12"/>
      <c r="AQ31" s="12"/>
      <c r="AR31" s="12"/>
      <c r="AS31" s="12"/>
      <c r="AT31" s="12"/>
      <c r="AU31" s="12"/>
      <c r="AV31" s="12"/>
      <c r="AW31" s="12"/>
      <c r="AZ31" s="12"/>
      <c r="BA31" s="12"/>
    </row>
    <row r="32" spans="1:53" x14ac:dyDescent="0.35">
      <c r="B32" s="335"/>
      <c r="C32" s="336"/>
      <c r="D32" s="386"/>
      <c r="E32" s="386"/>
      <c r="F32" s="386"/>
      <c r="G32" s="386"/>
      <c r="H32" s="386"/>
      <c r="I32" s="386"/>
      <c r="J32" s="386"/>
      <c r="K32" s="386"/>
      <c r="L32" s="386"/>
      <c r="M32" s="386"/>
      <c r="N32" s="386"/>
      <c r="O32" s="386"/>
      <c r="P32" s="386"/>
      <c r="Q32" s="386"/>
      <c r="R32" s="386"/>
      <c r="S32" s="386"/>
      <c r="T32" s="386"/>
      <c r="U32" s="386"/>
      <c r="V32" s="386"/>
      <c r="W32" s="386"/>
      <c r="X32" s="386"/>
      <c r="Y32" s="387"/>
      <c r="Z32" s="387"/>
      <c r="AA32" s="387"/>
      <c r="AB32" s="386"/>
      <c r="AC32" s="386"/>
      <c r="AD32" s="386"/>
      <c r="AE32" s="386"/>
      <c r="AF32" s="386"/>
      <c r="AG32" s="386"/>
      <c r="AH32" s="386"/>
      <c r="AI32" s="386"/>
      <c r="AJ32" s="386"/>
      <c r="AK32" s="386"/>
      <c r="AL32" s="386"/>
      <c r="AM32" s="386"/>
      <c r="AN32" s="386"/>
      <c r="AO32" s="386"/>
    </row>
    <row r="33" spans="1:77" x14ac:dyDescent="0.35">
      <c r="E33" s="388"/>
      <c r="M33" s="4"/>
      <c r="V33" s="389"/>
      <c r="W33" s="390"/>
    </row>
    <row r="35" spans="1:77" s="944" customFormat="1" x14ac:dyDescent="0.35">
      <c r="B35" s="364"/>
      <c r="C35" s="365"/>
      <c r="Y35" s="391"/>
      <c r="Z35" s="391"/>
      <c r="AA35" s="391"/>
      <c r="AL35" s="944" t="e">
        <f>+AVERAGE(#REF!)</f>
        <v>#REF!</v>
      </c>
      <c r="AP35" s="944" t="e">
        <f>+AVERAGE(#REF!)</f>
        <v>#REF!</v>
      </c>
      <c r="AT35" s="944" t="e">
        <f>+AVERAGE(#REF!)</f>
        <v>#REF!</v>
      </c>
      <c r="AX35" s="944" t="e">
        <f>+AVERAGE(#REF!)</f>
        <v>#REF!</v>
      </c>
    </row>
    <row r="36" spans="1:77" x14ac:dyDescent="0.35">
      <c r="A36" s="309"/>
      <c r="C36" s="365"/>
      <c r="D36" s="4680"/>
      <c r="E36" s="4680"/>
      <c r="F36" s="4680"/>
      <c r="G36" s="4680"/>
      <c r="H36" s="4680"/>
      <c r="I36" s="4680"/>
      <c r="J36" s="4680"/>
      <c r="K36" s="4680"/>
      <c r="L36" s="4680"/>
      <c r="M36" s="4680"/>
      <c r="N36" s="4680"/>
      <c r="O36" s="4680"/>
      <c r="P36" s="4680"/>
      <c r="Q36" s="4680"/>
      <c r="R36" s="4681"/>
      <c r="S36" s="4681"/>
      <c r="T36" s="4681"/>
      <c r="U36" s="4681"/>
      <c r="V36" s="4681"/>
      <c r="W36" s="4681"/>
      <c r="X36" s="4681"/>
      <c r="Y36" s="4681"/>
      <c r="Z36" s="4681"/>
      <c r="AA36" s="4681"/>
      <c r="AB36" s="4682"/>
      <c r="AC36" s="4681"/>
      <c r="AD36" s="4681"/>
      <c r="AE36" s="4681"/>
      <c r="AF36" s="4681"/>
      <c r="AG36" s="4681"/>
      <c r="AH36" s="4681"/>
      <c r="AI36" s="4683"/>
      <c r="AJ36" s="4683"/>
      <c r="AK36" s="4683"/>
      <c r="AL36" s="4683"/>
      <c r="AM36" s="4684"/>
      <c r="AN36" s="4684"/>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row>
    <row r="37" spans="1:77" x14ac:dyDescent="0.35">
      <c r="A37" s="309"/>
      <c r="C37" s="365"/>
      <c r="D37" s="349"/>
      <c r="E37" s="349"/>
      <c r="F37" s="392"/>
      <c r="G37" s="349"/>
      <c r="H37" s="349"/>
      <c r="I37" s="349"/>
      <c r="J37" s="349"/>
      <c r="K37" s="349"/>
      <c r="L37" s="392"/>
      <c r="M37" s="349"/>
      <c r="N37" s="349"/>
      <c r="O37" s="349"/>
      <c r="P37" s="392"/>
      <c r="Q37" s="349"/>
      <c r="R37" s="349"/>
      <c r="S37" s="349"/>
      <c r="T37" s="349"/>
      <c r="U37" s="392"/>
      <c r="V37" s="349"/>
      <c r="W37" s="349"/>
      <c r="X37" s="349"/>
      <c r="Y37" s="393"/>
      <c r="Z37" s="394"/>
      <c r="AA37" s="394"/>
      <c r="AB37" s="349"/>
      <c r="AC37" s="392"/>
      <c r="AD37" s="349"/>
      <c r="AE37" s="349"/>
      <c r="AF37" s="349"/>
      <c r="AG37" s="392"/>
      <c r="AH37" s="349"/>
      <c r="AI37" s="349"/>
      <c r="AJ37" s="349"/>
      <c r="AK37" s="392"/>
      <c r="AL37" s="395"/>
      <c r="AM37" s="396"/>
      <c r="AN37" s="944"/>
      <c r="AO37" s="944"/>
      <c r="AP37" s="944"/>
      <c r="AQ37" s="944"/>
      <c r="AR37" s="944"/>
      <c r="AS37" s="944"/>
      <c r="AT37" s="944"/>
      <c r="AU37" s="944"/>
      <c r="AV37" s="944"/>
      <c r="AW37" s="944"/>
      <c r="AX37" s="944"/>
      <c r="AY37" s="944"/>
      <c r="AZ37" s="944"/>
      <c r="BA37" s="944"/>
      <c r="BB37" s="944"/>
      <c r="BC37" s="944"/>
      <c r="BD37" s="944"/>
      <c r="BE37" s="944"/>
      <c r="BF37" s="944"/>
      <c r="BG37" s="944"/>
      <c r="BH37" s="944"/>
      <c r="BI37" s="944"/>
      <c r="BJ37" s="944"/>
      <c r="BK37" s="944"/>
      <c r="BL37" s="944"/>
      <c r="BM37" s="944"/>
      <c r="BN37" s="944"/>
      <c r="BO37" s="944"/>
      <c r="BP37" s="944"/>
      <c r="BQ37" s="944"/>
      <c r="BR37" s="944"/>
      <c r="BS37" s="944"/>
      <c r="BT37" s="944"/>
      <c r="BU37" s="944"/>
      <c r="BV37" s="944"/>
      <c r="BW37" s="944"/>
      <c r="BX37" s="944"/>
      <c r="BY37" s="944"/>
    </row>
    <row r="38" spans="1:77" x14ac:dyDescent="0.35">
      <c r="A38" s="309"/>
      <c r="B38" s="397"/>
      <c r="C38" s="398"/>
      <c r="D38" s="343"/>
      <c r="E38" s="4685">
        <v>1998</v>
      </c>
      <c r="F38" s="4686"/>
      <c r="G38" s="4686"/>
      <c r="H38" s="4686"/>
      <c r="I38" s="4685">
        <v>1999</v>
      </c>
      <c r="J38" s="4686"/>
      <c r="K38" s="4686"/>
      <c r="L38" s="4686"/>
      <c r="M38" s="4685">
        <v>2000</v>
      </c>
      <c r="N38" s="4686"/>
      <c r="O38" s="4686"/>
      <c r="P38" s="4686"/>
      <c r="Q38" s="4685">
        <v>2001</v>
      </c>
      <c r="R38" s="4686"/>
      <c r="S38" s="4686"/>
      <c r="T38" s="4686"/>
      <c r="U38" s="4685">
        <v>2002</v>
      </c>
      <c r="V38" s="4686"/>
      <c r="W38" s="4686"/>
      <c r="X38" s="4686"/>
      <c r="Y38" s="4685">
        <v>2003</v>
      </c>
      <c r="Z38" s="4686"/>
      <c r="AA38" s="4686"/>
      <c r="AB38" s="4686"/>
      <c r="AC38" s="4685">
        <v>2004</v>
      </c>
      <c r="AD38" s="4686"/>
      <c r="AE38" s="4686"/>
      <c r="AF38" s="4686"/>
      <c r="AG38" s="4685">
        <v>2005</v>
      </c>
      <c r="AH38" s="4686"/>
      <c r="AI38" s="4686"/>
      <c r="AJ38" s="4686"/>
      <c r="AK38" s="4685">
        <v>2006</v>
      </c>
      <c r="AL38" s="4686"/>
      <c r="AM38" s="4686"/>
      <c r="AN38" s="4686"/>
      <c r="AO38" s="4685">
        <v>2007</v>
      </c>
      <c r="AP38" s="4686"/>
      <c r="AQ38" s="4686"/>
      <c r="AR38" s="4686"/>
      <c r="AS38" s="4685">
        <v>2008</v>
      </c>
      <c r="AT38" s="4686"/>
      <c r="AU38" s="4686"/>
      <c r="AV38" s="4686"/>
      <c r="AW38" s="4685">
        <v>2009</v>
      </c>
      <c r="AX38" s="4686"/>
      <c r="AY38" s="4686"/>
      <c r="AZ38" s="4686"/>
      <c r="BA38" s="4685">
        <v>2010</v>
      </c>
      <c r="BB38" s="4686"/>
      <c r="BC38" s="4686"/>
      <c r="BD38" s="4686"/>
      <c r="BE38" s="4685">
        <v>2011</v>
      </c>
      <c r="BF38" s="4686"/>
      <c r="BG38" s="4686"/>
      <c r="BH38" s="4686"/>
      <c r="BI38" s="4685">
        <v>2012</v>
      </c>
      <c r="BJ38" s="4686"/>
      <c r="BK38" s="4686"/>
      <c r="BL38" s="4686"/>
      <c r="BM38" s="4685">
        <v>2013</v>
      </c>
      <c r="BN38" s="4686"/>
      <c r="BO38" s="4686"/>
      <c r="BP38" s="4686"/>
      <c r="BQ38" s="4685">
        <v>2014</v>
      </c>
      <c r="BR38" s="4686"/>
      <c r="BS38" s="4686"/>
      <c r="BT38" s="4686"/>
      <c r="BU38" s="4685">
        <v>2014</v>
      </c>
      <c r="BV38" s="4686"/>
      <c r="BW38" s="4686"/>
      <c r="BX38" s="4687"/>
      <c r="BY38" s="944"/>
    </row>
    <row r="39" spans="1:77" x14ac:dyDescent="0.35">
      <c r="A39" s="309"/>
      <c r="C39" s="365"/>
      <c r="D39" s="944"/>
      <c r="E39" s="348" t="s">
        <v>66</v>
      </c>
      <c r="F39" s="349" t="s">
        <v>67</v>
      </c>
      <c r="G39" s="349" t="s">
        <v>68</v>
      </c>
      <c r="H39" s="350" t="s">
        <v>69</v>
      </c>
      <c r="I39" s="348" t="s">
        <v>66</v>
      </c>
      <c r="J39" s="349" t="s">
        <v>67</v>
      </c>
      <c r="K39" s="349" t="s">
        <v>68</v>
      </c>
      <c r="L39" s="350" t="s">
        <v>69</v>
      </c>
      <c r="M39" s="348" t="s">
        <v>66</v>
      </c>
      <c r="N39" s="349" t="s">
        <v>67</v>
      </c>
      <c r="O39" s="349" t="s">
        <v>68</v>
      </c>
      <c r="P39" s="350" t="s">
        <v>69</v>
      </c>
      <c r="Q39" s="348" t="s">
        <v>66</v>
      </c>
      <c r="R39" s="349" t="s">
        <v>67</v>
      </c>
      <c r="S39" s="349" t="s">
        <v>68</v>
      </c>
      <c r="T39" s="350" t="s">
        <v>69</v>
      </c>
      <c r="U39" s="348" t="s">
        <v>66</v>
      </c>
      <c r="V39" s="349" t="s">
        <v>67</v>
      </c>
      <c r="W39" s="349" t="s">
        <v>68</v>
      </c>
      <c r="X39" s="350" t="s">
        <v>69</v>
      </c>
      <c r="Y39" s="399" t="s">
        <v>66</v>
      </c>
      <c r="Z39" s="394" t="s">
        <v>67</v>
      </c>
      <c r="AA39" s="394" t="s">
        <v>68</v>
      </c>
      <c r="AB39" s="350" t="s">
        <v>69</v>
      </c>
      <c r="AC39" s="348" t="s">
        <v>66</v>
      </c>
      <c r="AD39" s="349" t="s">
        <v>67</v>
      </c>
      <c r="AE39" s="349" t="s">
        <v>68</v>
      </c>
      <c r="AF39" s="350" t="s">
        <v>69</v>
      </c>
      <c r="AG39" s="348" t="s">
        <v>66</v>
      </c>
      <c r="AH39" s="349" t="s">
        <v>67</v>
      </c>
      <c r="AI39" s="349" t="s">
        <v>68</v>
      </c>
      <c r="AJ39" s="350" t="s">
        <v>69</v>
      </c>
      <c r="AK39" s="348" t="s">
        <v>66</v>
      </c>
      <c r="AL39" s="349" t="s">
        <v>67</v>
      </c>
      <c r="AM39" s="349" t="s">
        <v>68</v>
      </c>
      <c r="AN39" s="350" t="s">
        <v>69</v>
      </c>
      <c r="AO39" s="348" t="s">
        <v>66</v>
      </c>
      <c r="AP39" s="349" t="s">
        <v>67</v>
      </c>
      <c r="AQ39" s="349" t="s">
        <v>68</v>
      </c>
      <c r="AR39" s="350" t="s">
        <v>69</v>
      </c>
      <c r="AS39" s="348" t="s">
        <v>66</v>
      </c>
      <c r="AT39" s="349" t="s">
        <v>67</v>
      </c>
      <c r="AU39" s="349" t="s">
        <v>68</v>
      </c>
      <c r="AV39" s="350" t="s">
        <v>69</v>
      </c>
      <c r="AW39" s="348" t="s">
        <v>66</v>
      </c>
      <c r="AX39" s="349" t="s">
        <v>67</v>
      </c>
      <c r="AY39" s="349" t="s">
        <v>68</v>
      </c>
      <c r="AZ39" s="350" t="s">
        <v>69</v>
      </c>
      <c r="BA39" s="348" t="s">
        <v>66</v>
      </c>
      <c r="BB39" s="349" t="s">
        <v>67</v>
      </c>
      <c r="BC39" s="349" t="s">
        <v>68</v>
      </c>
      <c r="BD39" s="350" t="s">
        <v>69</v>
      </c>
      <c r="BE39" s="348" t="s">
        <v>66</v>
      </c>
      <c r="BF39" s="349" t="s">
        <v>67</v>
      </c>
      <c r="BG39" s="349" t="s">
        <v>68</v>
      </c>
      <c r="BH39" s="350" t="s">
        <v>69</v>
      </c>
      <c r="BI39" s="348" t="s">
        <v>66</v>
      </c>
      <c r="BJ39" s="349" t="s">
        <v>67</v>
      </c>
      <c r="BK39" s="349" t="s">
        <v>68</v>
      </c>
      <c r="BL39" s="350" t="s">
        <v>69</v>
      </c>
      <c r="BM39" s="348" t="s">
        <v>66</v>
      </c>
      <c r="BN39" s="349" t="s">
        <v>67</v>
      </c>
      <c r="BO39" s="349" t="s">
        <v>68</v>
      </c>
      <c r="BP39" s="350" t="s">
        <v>69</v>
      </c>
      <c r="BQ39" s="348" t="s">
        <v>66</v>
      </c>
      <c r="BR39" s="349" t="s">
        <v>67</v>
      </c>
      <c r="BS39" s="349" t="s">
        <v>68</v>
      </c>
      <c r="BT39" s="350" t="s">
        <v>69</v>
      </c>
      <c r="BU39" s="348" t="s">
        <v>66</v>
      </c>
      <c r="BV39" s="349" t="s">
        <v>67</v>
      </c>
      <c r="BW39" s="349" t="s">
        <v>68</v>
      </c>
      <c r="BX39" s="350" t="s">
        <v>69</v>
      </c>
      <c r="BY39" s="944"/>
    </row>
    <row r="40" spans="1:77" x14ac:dyDescent="0.35">
      <c r="A40" s="309"/>
      <c r="C40" s="365"/>
      <c r="D40" s="400" t="s">
        <v>170</v>
      </c>
      <c r="E40" s="401">
        <v>284</v>
      </c>
      <c r="F40" s="402">
        <v>269</v>
      </c>
      <c r="G40" s="402">
        <v>477</v>
      </c>
      <c r="H40" s="403">
        <v>618</v>
      </c>
      <c r="I40" s="401">
        <v>581</v>
      </c>
      <c r="J40" s="402">
        <v>419</v>
      </c>
      <c r="K40" s="402">
        <v>380</v>
      </c>
      <c r="L40" s="403">
        <v>319</v>
      </c>
      <c r="M40" s="401">
        <v>256</v>
      </c>
      <c r="N40" s="402">
        <v>359</v>
      </c>
      <c r="O40" s="402">
        <v>328</v>
      </c>
      <c r="P40" s="403">
        <v>389</v>
      </c>
      <c r="Q40" s="401">
        <v>348</v>
      </c>
      <c r="R40" s="402">
        <v>298</v>
      </c>
      <c r="S40" s="402">
        <v>285</v>
      </c>
      <c r="T40" s="403">
        <v>291</v>
      </c>
      <c r="U40" s="401">
        <v>273</v>
      </c>
      <c r="V40" s="402">
        <v>245</v>
      </c>
      <c r="W40" s="402">
        <v>282</v>
      </c>
      <c r="X40" s="403">
        <v>264</v>
      </c>
      <c r="Y40" s="404">
        <v>209</v>
      </c>
      <c r="Z40" s="405">
        <v>177</v>
      </c>
      <c r="AA40" s="405">
        <v>177</v>
      </c>
      <c r="AB40" s="403">
        <v>149</v>
      </c>
      <c r="AC40" s="401">
        <v>147</v>
      </c>
      <c r="AD40" s="402">
        <v>164</v>
      </c>
      <c r="AE40" s="402">
        <v>159</v>
      </c>
      <c r="AF40" s="403">
        <v>118</v>
      </c>
      <c r="AG40" s="401">
        <v>104</v>
      </c>
      <c r="AH40" s="401">
        <v>111</v>
      </c>
      <c r="AI40" s="401">
        <v>93</v>
      </c>
      <c r="AJ40" s="401">
        <v>89</v>
      </c>
      <c r="AK40" s="401">
        <v>76</v>
      </c>
      <c r="AL40" s="401">
        <v>97</v>
      </c>
      <c r="AM40" s="401">
        <v>103</v>
      </c>
      <c r="AN40" s="401">
        <v>93</v>
      </c>
      <c r="AO40" s="401">
        <v>78</v>
      </c>
      <c r="AP40" s="401">
        <v>71</v>
      </c>
      <c r="AQ40" s="401">
        <v>124</v>
      </c>
      <c r="AR40" s="401">
        <v>148</v>
      </c>
      <c r="AS40" s="401">
        <v>258</v>
      </c>
      <c r="AT40" s="401">
        <v>229</v>
      </c>
      <c r="AU40" s="401">
        <v>261</v>
      </c>
      <c r="AV40" s="401">
        <v>609</v>
      </c>
      <c r="AW40" s="401">
        <v>465</v>
      </c>
      <c r="AX40" s="401">
        <v>342</v>
      </c>
      <c r="AY40" s="401">
        <v>230</v>
      </c>
      <c r="AZ40" s="401">
        <v>198</v>
      </c>
      <c r="BA40" s="401">
        <v>193</v>
      </c>
      <c r="BB40" s="401">
        <v>197</v>
      </c>
      <c r="BC40" s="401">
        <v>188</v>
      </c>
      <c r="BD40" s="401">
        <v>166</v>
      </c>
      <c r="BE40" s="401">
        <v>186</v>
      </c>
      <c r="BF40" s="401">
        <v>153</v>
      </c>
      <c r="BG40" s="401">
        <v>195</v>
      </c>
      <c r="BH40" s="401">
        <v>241</v>
      </c>
      <c r="BI40" s="401">
        <v>234</v>
      </c>
      <c r="BJ40" s="401">
        <v>229</v>
      </c>
      <c r="BK40" s="401">
        <v>182</v>
      </c>
      <c r="BL40" s="401">
        <v>182</v>
      </c>
      <c r="BM40" s="401">
        <v>196</v>
      </c>
      <c r="BN40" s="401">
        <v>215</v>
      </c>
      <c r="BO40" s="401">
        <v>260</v>
      </c>
      <c r="BP40" s="401">
        <v>253</v>
      </c>
      <c r="BQ40" s="401">
        <v>248</v>
      </c>
      <c r="BR40" s="401">
        <v>206</v>
      </c>
      <c r="BS40" s="401">
        <v>212</v>
      </c>
      <c r="BT40" s="401">
        <v>227</v>
      </c>
      <c r="BU40" s="401"/>
      <c r="BV40" s="401"/>
      <c r="BW40" s="401"/>
      <c r="BX40" s="406"/>
      <c r="BY40" s="944"/>
    </row>
    <row r="41" spans="1:77" x14ac:dyDescent="0.35">
      <c r="C41" s="365"/>
      <c r="D41" s="944"/>
      <c r="E41" s="407"/>
      <c r="F41" s="944"/>
      <c r="G41" s="944"/>
      <c r="H41" s="944"/>
      <c r="I41" s="944"/>
      <c r="J41" s="944"/>
      <c r="K41" s="944"/>
      <c r="L41" s="944"/>
      <c r="M41" s="944"/>
      <c r="N41" s="944"/>
      <c r="O41" s="400">
        <f>AVERAGE(M40:P40)</f>
        <v>333</v>
      </c>
      <c r="P41" s="944"/>
      <c r="Q41" s="944"/>
      <c r="R41" s="944"/>
      <c r="S41" s="944"/>
      <c r="T41" s="944"/>
      <c r="U41" s="944"/>
      <c r="V41" s="944"/>
      <c r="W41" s="944"/>
      <c r="X41" s="944"/>
      <c r="Y41" s="391"/>
      <c r="Z41" s="391"/>
      <c r="AA41" s="391"/>
      <c r="AB41" s="944"/>
      <c r="AC41" s="944"/>
      <c r="AD41" s="944"/>
      <c r="AE41" s="944"/>
      <c r="AF41" s="944"/>
      <c r="AG41" s="944"/>
      <c r="AH41" s="944"/>
      <c r="AI41" s="944"/>
      <c r="AJ41" s="944"/>
      <c r="AK41" s="944"/>
      <c r="AL41" s="944"/>
      <c r="AM41" s="944"/>
      <c r="AN41" s="944"/>
      <c r="AO41" s="944"/>
      <c r="AP41" s="944"/>
      <c r="AQ41" s="944"/>
      <c r="AR41" s="944"/>
      <c r="AS41" s="944"/>
      <c r="AT41" s="944"/>
      <c r="AU41" s="944"/>
      <c r="AV41" s="944"/>
      <c r="AW41" s="944"/>
      <c r="AX41" s="944"/>
      <c r="AY41" s="944"/>
      <c r="AZ41" s="944"/>
      <c r="BA41" s="944"/>
      <c r="BB41" s="944"/>
      <c r="BC41" s="944"/>
      <c r="BD41" s="944"/>
      <c r="BE41" s="944"/>
      <c r="BF41" s="944"/>
      <c r="BG41" s="944"/>
      <c r="BH41" s="944"/>
      <c r="BI41" s="944"/>
      <c r="BJ41" s="944"/>
      <c r="BK41" s="944"/>
      <c r="BL41" s="944"/>
      <c r="BM41" s="944"/>
      <c r="BN41" s="944"/>
      <c r="BO41" s="944"/>
      <c r="BP41" s="944"/>
      <c r="BQ41" s="944"/>
      <c r="BR41" s="944"/>
      <c r="BS41" s="944"/>
      <c r="BT41" s="944"/>
      <c r="BU41" s="944"/>
      <c r="BV41" s="944"/>
      <c r="BW41" s="944"/>
      <c r="BX41" s="944"/>
      <c r="BY41" s="944"/>
    </row>
    <row r="42" spans="1:77" x14ac:dyDescent="0.35">
      <c r="E42" s="408"/>
    </row>
    <row r="43" spans="1:77" x14ac:dyDescent="0.35">
      <c r="E43" s="408"/>
    </row>
    <row r="44" spans="1:77" x14ac:dyDescent="0.35">
      <c r="E44" s="408"/>
    </row>
    <row r="45" spans="1:77" x14ac:dyDescent="0.35">
      <c r="E45" s="408"/>
    </row>
    <row r="46" spans="1:77" x14ac:dyDescent="0.35">
      <c r="E46" s="408"/>
    </row>
    <row r="47" spans="1:77" x14ac:dyDescent="0.35">
      <c r="E47" s="408"/>
    </row>
    <row r="48" spans="1:77" x14ac:dyDescent="0.35">
      <c r="E48" s="408"/>
    </row>
    <row r="49" spans="2:29" x14ac:dyDescent="0.35">
      <c r="E49" s="408"/>
    </row>
    <row r="50" spans="2:29" x14ac:dyDescent="0.35">
      <c r="E50" s="408"/>
    </row>
    <row r="51" spans="2:29" x14ac:dyDescent="0.35">
      <c r="E51" s="408"/>
    </row>
    <row r="52" spans="2:29" x14ac:dyDescent="0.35">
      <c r="E52" s="408"/>
    </row>
    <row r="53" spans="2:29" x14ac:dyDescent="0.35">
      <c r="E53" s="408"/>
    </row>
    <row r="54" spans="2:29" x14ac:dyDescent="0.35">
      <c r="E54" s="408"/>
    </row>
    <row r="55" spans="2:29" x14ac:dyDescent="0.35">
      <c r="E55" s="408"/>
    </row>
    <row r="56" spans="2:29" x14ac:dyDescent="0.35">
      <c r="E56" s="408"/>
    </row>
    <row r="57" spans="2:29" x14ac:dyDescent="0.35">
      <c r="E57" s="408"/>
    </row>
    <row r="58" spans="2:29" x14ac:dyDescent="0.35">
      <c r="E58" s="408"/>
    </row>
    <row r="59" spans="2:29" x14ac:dyDescent="0.35">
      <c r="E59" s="408"/>
    </row>
    <row r="60" spans="2:29" x14ac:dyDescent="0.35">
      <c r="E60" s="408"/>
    </row>
    <row r="61" spans="2:29" x14ac:dyDescent="0.35">
      <c r="E61" s="408"/>
    </row>
    <row r="62" spans="2:29" x14ac:dyDescent="0.35">
      <c r="E62" s="408"/>
      <c r="AC62" s="309" t="s">
        <v>67</v>
      </c>
    </row>
    <row r="63" spans="2:29" x14ac:dyDescent="0.35">
      <c r="B63" s="371"/>
      <c r="C63" s="371"/>
      <c r="D63" s="371"/>
      <c r="E63" s="408"/>
      <c r="F63" s="371"/>
      <c r="G63" s="371"/>
      <c r="H63" s="371"/>
      <c r="I63" s="371"/>
      <c r="J63" s="371"/>
      <c r="K63" s="371"/>
      <c r="L63" s="371"/>
      <c r="M63" s="371"/>
      <c r="N63" s="371"/>
      <c r="O63" s="371"/>
      <c r="P63" s="409"/>
      <c r="Q63" s="371"/>
    </row>
    <row r="64" spans="2:29" x14ac:dyDescent="0.35">
      <c r="E64" s="408"/>
    </row>
    <row r="65" spans="5:5" x14ac:dyDescent="0.35">
      <c r="E65" s="408"/>
    </row>
    <row r="66" spans="5:5" x14ac:dyDescent="0.35">
      <c r="E66" s="408"/>
    </row>
    <row r="67" spans="5:5" x14ac:dyDescent="0.35">
      <c r="E67" s="408"/>
    </row>
    <row r="68" spans="5:5" x14ac:dyDescent="0.35">
      <c r="E68" s="408"/>
    </row>
    <row r="69" spans="5:5" x14ac:dyDescent="0.35">
      <c r="E69" s="408"/>
    </row>
    <row r="70" spans="5:5" x14ac:dyDescent="0.35">
      <c r="E70" s="408"/>
    </row>
    <row r="71" spans="5:5" x14ac:dyDescent="0.35">
      <c r="E71" s="408"/>
    </row>
    <row r="72" spans="5:5" x14ac:dyDescent="0.35">
      <c r="E72" s="408"/>
    </row>
    <row r="73" spans="5:5" x14ac:dyDescent="0.35">
      <c r="E73" s="408"/>
    </row>
    <row r="74" spans="5:5" x14ac:dyDescent="0.35">
      <c r="E74" s="408"/>
    </row>
    <row r="75" spans="5:5" x14ac:dyDescent="0.35">
      <c r="E75" s="408"/>
    </row>
    <row r="76" spans="5:5" x14ac:dyDescent="0.35">
      <c r="E76" s="408"/>
    </row>
    <row r="77" spans="5:5" x14ac:dyDescent="0.35">
      <c r="E77" s="408"/>
    </row>
    <row r="78" spans="5:5" x14ac:dyDescent="0.35">
      <c r="E78" s="408"/>
    </row>
    <row r="79" spans="5:5" x14ac:dyDescent="0.35">
      <c r="E79" s="408"/>
    </row>
    <row r="80" spans="5:5" x14ac:dyDescent="0.35">
      <c r="E80" s="408"/>
    </row>
    <row r="81" spans="5:5" x14ac:dyDescent="0.35">
      <c r="E81" s="408"/>
    </row>
    <row r="82" spans="5:5" x14ac:dyDescent="0.35">
      <c r="E82" s="408"/>
    </row>
    <row r="83" spans="5:5" x14ac:dyDescent="0.35">
      <c r="E83" s="408"/>
    </row>
    <row r="84" spans="5:5" x14ac:dyDescent="0.35">
      <c r="E84" s="408"/>
    </row>
    <row r="85" spans="5:5" x14ac:dyDescent="0.35">
      <c r="E85" s="408"/>
    </row>
    <row r="86" spans="5:5" x14ac:dyDescent="0.35">
      <c r="E86" s="408"/>
    </row>
    <row r="87" spans="5:5" x14ac:dyDescent="0.35">
      <c r="E87" s="408"/>
    </row>
    <row r="88" spans="5:5" x14ac:dyDescent="0.35">
      <c r="E88" s="408"/>
    </row>
    <row r="89" spans="5:5" x14ac:dyDescent="0.35">
      <c r="E89" s="408"/>
    </row>
    <row r="90" spans="5:5" x14ac:dyDescent="0.35">
      <c r="E90" s="408"/>
    </row>
    <row r="91" spans="5:5" x14ac:dyDescent="0.35">
      <c r="E91" s="408"/>
    </row>
    <row r="92" spans="5:5" x14ac:dyDescent="0.35">
      <c r="E92" s="408"/>
    </row>
    <row r="93" spans="5:5" x14ac:dyDescent="0.35">
      <c r="E93" s="408"/>
    </row>
    <row r="94" spans="5:5" x14ac:dyDescent="0.35">
      <c r="E94" s="408"/>
    </row>
    <row r="95" spans="5:5" x14ac:dyDescent="0.35">
      <c r="E95" s="408"/>
    </row>
    <row r="96" spans="5:5" x14ac:dyDescent="0.35">
      <c r="E96" s="408"/>
    </row>
    <row r="97" spans="5:5" x14ac:dyDescent="0.35">
      <c r="E97" s="408"/>
    </row>
    <row r="98" spans="5:5" x14ac:dyDescent="0.35">
      <c r="E98" s="408"/>
    </row>
    <row r="99" spans="5:5" x14ac:dyDescent="0.35">
      <c r="E99" s="409"/>
    </row>
    <row r="100" spans="5:5" x14ac:dyDescent="0.35">
      <c r="E100" s="409"/>
    </row>
    <row r="101" spans="5:5" x14ac:dyDescent="0.35">
      <c r="E101" s="409"/>
    </row>
    <row r="102" spans="5:5" x14ac:dyDescent="0.35">
      <c r="E102" s="409"/>
    </row>
    <row r="103" spans="5:5" x14ac:dyDescent="0.35">
      <c r="E103" s="409"/>
    </row>
    <row r="104" spans="5:5" x14ac:dyDescent="0.35">
      <c r="E104" s="409"/>
    </row>
    <row r="105" spans="5:5" x14ac:dyDescent="0.35">
      <c r="E105" s="409"/>
    </row>
  </sheetData>
  <mergeCells count="37">
    <mergeCell ref="BU38:BX38"/>
    <mergeCell ref="AC38:AF38"/>
    <mergeCell ref="AG38:AJ38"/>
    <mergeCell ref="AK38:AN38"/>
    <mergeCell ref="AO38:AR38"/>
    <mergeCell ref="AS38:AV38"/>
    <mergeCell ref="AW38:AZ38"/>
    <mergeCell ref="BA38:BD38"/>
    <mergeCell ref="BE38:BH38"/>
    <mergeCell ref="BI38:BL38"/>
    <mergeCell ref="BM38:BP38"/>
    <mergeCell ref="BQ38:BT38"/>
    <mergeCell ref="AA36:AD36"/>
    <mergeCell ref="AE36:AH36"/>
    <mergeCell ref="AI36:AL36"/>
    <mergeCell ref="AM36:AN36"/>
    <mergeCell ref="E38:H38"/>
    <mergeCell ref="I38:L38"/>
    <mergeCell ref="M38:P38"/>
    <mergeCell ref="Q38:T38"/>
    <mergeCell ref="U38:X38"/>
    <mergeCell ref="Y38:AB38"/>
    <mergeCell ref="D28:Y28"/>
    <mergeCell ref="D29:Y29"/>
    <mergeCell ref="D30:Y30"/>
    <mergeCell ref="D31:Y31"/>
    <mergeCell ref="D36:F36"/>
    <mergeCell ref="G36:L36"/>
    <mergeCell ref="M36:Q36"/>
    <mergeCell ref="R36:V36"/>
    <mergeCell ref="W36:Z36"/>
    <mergeCell ref="D2:Y2"/>
    <mergeCell ref="D3:Y3"/>
    <mergeCell ref="D4:Y4"/>
    <mergeCell ref="D5:Y5"/>
    <mergeCell ref="D6:W6"/>
    <mergeCell ref="X6:AB6"/>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baa0e0f4-f263-427a-80da-7f3591d32fb2">ZKQJ7CNJYW2Z-92-92</_dlc_DocId>
    <Heading xmlns="e925e563-aa8d-4721-806a-eee397b052e4" xsi:nil="true"/>
    <Rank xmlns="e925e563-aa8d-4721-806a-eee397b052e4" xsi:nil="true"/>
    <_dlc_DocIdUrl xmlns="baa0e0f4-f263-427a-80da-7f3591d32fb2">
      <Url>https://www.dpme.gov.za/publications/_layouts/15/DocIdRedir.aspx?ID=ZKQJ7CNJYW2Z-92-92</Url>
      <Description>ZKQJ7CNJYW2Z-92-92</Description>
    </_dlc_DocIdUrl>
  </documentManagement>
</p:properties>
</file>

<file path=customXml/itemProps1.xml><?xml version="1.0" encoding="utf-8"?>
<ds:datastoreItem xmlns:ds="http://schemas.openxmlformats.org/officeDocument/2006/customXml" ds:itemID="{AB823C11-3C4E-4176-BEF4-44F40FB6CBD7}">
  <ds:schemaRefs>
    <ds:schemaRef ds:uri="http://schemas.microsoft.com/PowerBIAddIn"/>
  </ds:schemaRefs>
</ds:datastoreItem>
</file>

<file path=customXml/itemProps2.xml><?xml version="1.0" encoding="utf-8"?>
<ds:datastoreItem xmlns:ds="http://schemas.openxmlformats.org/officeDocument/2006/customXml" ds:itemID="{F61669D9-A7C9-4817-93EF-76AD90517D0D}"/>
</file>

<file path=customXml/itemProps3.xml><?xml version="1.0" encoding="utf-8"?>
<ds:datastoreItem xmlns:ds="http://schemas.openxmlformats.org/officeDocument/2006/customXml" ds:itemID="{6357AC7F-4CEE-4F2C-A474-F67CCDB3742C}"/>
</file>

<file path=customXml/itemProps4.xml><?xml version="1.0" encoding="utf-8"?>
<ds:datastoreItem xmlns:ds="http://schemas.openxmlformats.org/officeDocument/2006/customXml" ds:itemID="{358337F3-3A78-417C-B359-74D6EF60C793}"/>
</file>

<file path=customXml/itemProps5.xml><?xml version="1.0" encoding="utf-8"?>
<ds:datastoreItem xmlns:ds="http://schemas.openxmlformats.org/officeDocument/2006/customXml" ds:itemID="{8E7767FB-A7FB-478D-8893-A6F47D8E237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87</vt:i4>
      </vt:variant>
    </vt:vector>
  </HeadingPairs>
  <TitlesOfParts>
    <vt:vector size="174" baseType="lpstr">
      <vt:lpstr>GDP</vt:lpstr>
      <vt:lpstr>GDP per Capita  </vt:lpstr>
      <vt:lpstr>NFDI   </vt:lpstr>
      <vt:lpstr>GFCF  </vt:lpstr>
      <vt:lpstr>B balance  </vt:lpstr>
      <vt:lpstr>G debt  </vt:lpstr>
      <vt:lpstr>Interest   </vt:lpstr>
      <vt:lpstr>Inflation  </vt:lpstr>
      <vt:lpstr>Bond Points Spread </vt:lpstr>
      <vt:lpstr>R&amp;D  </vt:lpstr>
      <vt:lpstr>ICT  </vt:lpstr>
      <vt:lpstr>Patents  </vt:lpstr>
      <vt:lpstr>Balance of Payments</vt:lpstr>
      <vt:lpstr>Competitiveness  </vt:lpstr>
      <vt:lpstr>BM </vt:lpstr>
      <vt:lpstr>Employed  </vt:lpstr>
      <vt:lpstr>Unempl </vt:lpstr>
      <vt:lpstr>EPWP </vt:lpstr>
      <vt:lpstr>CWP </vt:lpstr>
      <vt:lpstr>Multidimensional poverty Index</vt:lpstr>
      <vt:lpstr>Inequality</vt:lpstr>
      <vt:lpstr>Poverty Headcount</vt:lpstr>
      <vt:lpstr>Poverty Gap indices  </vt:lpstr>
      <vt:lpstr>Grants</vt:lpstr>
      <vt:lpstr>Persons with disability </vt:lpstr>
      <vt:lpstr>Dwellings </vt:lpstr>
      <vt:lpstr>Water </vt:lpstr>
      <vt:lpstr>Sanitation</vt:lpstr>
      <vt:lpstr>Electricity </vt:lpstr>
      <vt:lpstr>Land restitution</vt:lpstr>
      <vt:lpstr>Land redistribution  </vt:lpstr>
      <vt:lpstr>Life Expectancy </vt:lpstr>
      <vt:lpstr>Infant &amp; Child mortality</vt:lpstr>
      <vt:lpstr>Severe Acute Malnutrition</vt:lpstr>
      <vt:lpstr>Immunization</vt:lpstr>
      <vt:lpstr>Maternal Mortality</vt:lpstr>
      <vt:lpstr>HIV Prevalance </vt:lpstr>
      <vt:lpstr>ART new TROA</vt:lpstr>
      <vt:lpstr>TB</vt:lpstr>
      <vt:lpstr>Malaria</vt:lpstr>
      <vt:lpstr>ECD </vt:lpstr>
      <vt:lpstr>Educator Learner ratio </vt:lpstr>
      <vt:lpstr>Gender parity index </vt:lpstr>
      <vt:lpstr>Education Attainment and NE</vt:lpstr>
      <vt:lpstr>Matric pass rate</vt:lpstr>
      <vt:lpstr>Mathematics pass rate </vt:lpstr>
      <vt:lpstr>Literacy rate  </vt:lpstr>
      <vt:lpstr>SET Uni </vt:lpstr>
      <vt:lpstr>Educational Perfomance  </vt:lpstr>
      <vt:lpstr>Maths, science perf </vt:lpstr>
      <vt:lpstr>Skills and training</vt:lpstr>
      <vt:lpstr>Civil Society</vt:lpstr>
      <vt:lpstr>Voter Participation</vt:lpstr>
      <vt:lpstr>Voter prov</vt:lpstr>
      <vt:lpstr>Women legislative bodies</vt:lpstr>
      <vt:lpstr>Confident in happy future</vt:lpstr>
      <vt:lpstr>Race relations opinion</vt:lpstr>
      <vt:lpstr>Country direction</vt:lpstr>
      <vt:lpstr>Self description</vt:lpstr>
      <vt:lpstr>Pride in being SA</vt:lpstr>
      <vt:lpstr>Crime Victims </vt:lpstr>
      <vt:lpstr>Crime rate  </vt:lpstr>
      <vt:lpstr>Property crime</vt:lpstr>
      <vt:lpstr>Contact crime</vt:lpstr>
      <vt:lpstr>Serious robberies</vt:lpstr>
      <vt:lpstr>Drug-Related Crime </vt:lpstr>
      <vt:lpstr>Sexual offences </vt:lpstr>
      <vt:lpstr>Corruption Cases </vt:lpstr>
      <vt:lpstr>Conviction rate </vt:lpstr>
      <vt:lpstr>Inmates </vt:lpstr>
      <vt:lpstr>Rehabilitation  </vt:lpstr>
      <vt:lpstr>Parolees  </vt:lpstr>
      <vt:lpstr>Road Accident </vt:lpstr>
      <vt:lpstr>Development cooperation</vt:lpstr>
      <vt:lpstr>Tourism</vt:lpstr>
      <vt:lpstr>Missions</vt:lpstr>
      <vt:lpstr>International Agreements</vt:lpstr>
      <vt:lpstr>Tax Admin </vt:lpstr>
      <vt:lpstr>Qualified Audits </vt:lpstr>
      <vt:lpstr>Corruption </vt:lpstr>
      <vt:lpstr>Budget Process </vt:lpstr>
      <vt:lpstr>Public Opinion  </vt:lpstr>
      <vt:lpstr>Doing Business </vt:lpstr>
      <vt:lpstr>Greenhouse Gas Emissions </vt:lpstr>
      <vt:lpstr>Air Quality Indicators</vt:lpstr>
      <vt:lpstr>Terresterial BIo</vt:lpstr>
      <vt:lpstr>Marine Biodiverity Protection</vt:lpstr>
      <vt:lpstr>'Air Quality Indicators'!Print_Area</vt:lpstr>
      <vt:lpstr>'ART new TROA'!Print_Area</vt:lpstr>
      <vt:lpstr>'B balance  '!Print_Area</vt:lpstr>
      <vt:lpstr>'Balance of Payments'!Print_Area</vt:lpstr>
      <vt:lpstr>'BM '!Print_Area</vt:lpstr>
      <vt:lpstr>'Bond Points Spread '!Print_Area</vt:lpstr>
      <vt:lpstr>'Budget Process '!Print_Area</vt:lpstr>
      <vt:lpstr>'Civil Society'!Print_Area</vt:lpstr>
      <vt:lpstr>'Competitiveness  '!Print_Area</vt:lpstr>
      <vt:lpstr>'Confident in happy future'!Print_Area</vt:lpstr>
      <vt:lpstr>'Contact crime'!Print_Area</vt:lpstr>
      <vt:lpstr>'Conviction rate '!Print_Area</vt:lpstr>
      <vt:lpstr>'Corruption '!Print_Area</vt:lpstr>
      <vt:lpstr>'Corruption Cases '!Print_Area</vt:lpstr>
      <vt:lpstr>'Country direction'!Print_Area</vt:lpstr>
      <vt:lpstr>'Crime rate  '!Print_Area</vt:lpstr>
      <vt:lpstr>'Crime Victims '!Print_Area</vt:lpstr>
      <vt:lpstr>'CWP '!Print_Area</vt:lpstr>
      <vt:lpstr>'Development cooperation'!Print_Area</vt:lpstr>
      <vt:lpstr>'Doing Business '!Print_Area</vt:lpstr>
      <vt:lpstr>'Drug-Related Crime '!Print_Area</vt:lpstr>
      <vt:lpstr>'Dwellings '!Print_Area</vt:lpstr>
      <vt:lpstr>'ECD '!Print_Area</vt:lpstr>
      <vt:lpstr>'Education Attainment and NE'!Print_Area</vt:lpstr>
      <vt:lpstr>'Educational Perfomance  '!Print_Area</vt:lpstr>
      <vt:lpstr>'Educator Learner ratio '!Print_Area</vt:lpstr>
      <vt:lpstr>'Electricity '!Print_Area</vt:lpstr>
      <vt:lpstr>'Employed  '!Print_Area</vt:lpstr>
      <vt:lpstr>'EPWP '!Print_Area</vt:lpstr>
      <vt:lpstr>'G debt  '!Print_Area</vt:lpstr>
      <vt:lpstr>GDP!Print_Area</vt:lpstr>
      <vt:lpstr>'GDP per Capita  '!Print_Area</vt:lpstr>
      <vt:lpstr>'Gender parity index '!Print_Area</vt:lpstr>
      <vt:lpstr>'GFCF  '!Print_Area</vt:lpstr>
      <vt:lpstr>Grants!Print_Area</vt:lpstr>
      <vt:lpstr>'Greenhouse Gas Emissions '!Print_Area</vt:lpstr>
      <vt:lpstr>'HIV Prevalance '!Print_Area</vt:lpstr>
      <vt:lpstr>'ICT  '!Print_Area</vt:lpstr>
      <vt:lpstr>Immunization!Print_Area</vt:lpstr>
      <vt:lpstr>Inequality!Print_Area</vt:lpstr>
      <vt:lpstr>'Infant &amp; Child mortality'!Print_Area</vt:lpstr>
      <vt:lpstr>'Inflation  '!Print_Area</vt:lpstr>
      <vt:lpstr>'Inmates '!Print_Area</vt:lpstr>
      <vt:lpstr>'Interest   '!Print_Area</vt:lpstr>
      <vt:lpstr>'International Agreements'!Print_Area</vt:lpstr>
      <vt:lpstr>'Land redistribution  '!Print_Area</vt:lpstr>
      <vt:lpstr>'Land restitution'!Print_Area</vt:lpstr>
      <vt:lpstr>'Life Expectancy '!Print_Area</vt:lpstr>
      <vt:lpstr>'Literacy rate  '!Print_Area</vt:lpstr>
      <vt:lpstr>Malaria!Print_Area</vt:lpstr>
      <vt:lpstr>'Marine Biodiverity Protection'!Print_Area</vt:lpstr>
      <vt:lpstr>'Maternal Mortality'!Print_Area</vt:lpstr>
      <vt:lpstr>'Mathematics pass rate '!Print_Area</vt:lpstr>
      <vt:lpstr>'Maths, science perf '!Print_Area</vt:lpstr>
      <vt:lpstr>'Matric pass rate'!Print_Area</vt:lpstr>
      <vt:lpstr>Missions!Print_Area</vt:lpstr>
      <vt:lpstr>'Multidimensional poverty Index'!Print_Area</vt:lpstr>
      <vt:lpstr>'NFDI   '!Print_Area</vt:lpstr>
      <vt:lpstr>'Parolees  '!Print_Area</vt:lpstr>
      <vt:lpstr>'Patents  '!Print_Area</vt:lpstr>
      <vt:lpstr>'Persons with disability '!Print_Area</vt:lpstr>
      <vt:lpstr>'Poverty Gap indices  '!Print_Area</vt:lpstr>
      <vt:lpstr>'Poverty Headcount'!Print_Area</vt:lpstr>
      <vt:lpstr>'Pride in being SA'!Print_Area</vt:lpstr>
      <vt:lpstr>'Property crime'!Print_Area</vt:lpstr>
      <vt:lpstr>'Public Opinion  '!Print_Area</vt:lpstr>
      <vt:lpstr>'Qualified Audits '!Print_Area</vt:lpstr>
      <vt:lpstr>'R&amp;D  '!Print_Area</vt:lpstr>
      <vt:lpstr>'Race relations opinion'!Print_Area</vt:lpstr>
      <vt:lpstr>'Rehabilitation  '!Print_Area</vt:lpstr>
      <vt:lpstr>'Road Accident '!Print_Area</vt:lpstr>
      <vt:lpstr>Sanitation!Print_Area</vt:lpstr>
      <vt:lpstr>'Self description'!Print_Area</vt:lpstr>
      <vt:lpstr>'Serious robberies'!Print_Area</vt:lpstr>
      <vt:lpstr>'SET Uni '!Print_Area</vt:lpstr>
      <vt:lpstr>'Severe Acute Malnutrition'!Print_Area</vt:lpstr>
      <vt:lpstr>'Sexual offences '!Print_Area</vt:lpstr>
      <vt:lpstr>'Skills and training'!Print_Area</vt:lpstr>
      <vt:lpstr>'Tax Admin '!Print_Area</vt:lpstr>
      <vt:lpstr>TB!Print_Area</vt:lpstr>
      <vt:lpstr>'Terresterial BIo'!Print_Area</vt:lpstr>
      <vt:lpstr>Tourism!Print_Area</vt:lpstr>
      <vt:lpstr>'Unempl '!Print_Area</vt:lpstr>
      <vt:lpstr>'Voter Participation'!Print_Area</vt:lpstr>
      <vt:lpstr>'Voter prov'!Print_Area</vt:lpstr>
      <vt:lpstr>'Water '!Print_Area</vt:lpstr>
      <vt:lpstr>'Women legislative bodies'!Print_Area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Matlala</dc:creator>
  <cp:lastModifiedBy>Tharaga Tovhowani</cp:lastModifiedBy>
  <dcterms:created xsi:type="dcterms:W3CDTF">2020-05-04T04:44:20Z</dcterms:created>
  <dcterms:modified xsi:type="dcterms:W3CDTF">2021-03-17T11:01:05Z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c5306c74-8152-450b-8678-40aa046f61ba</vt:lpwstr>
  </property>
  <property fmtid="{D5CDD505-2E9C-101B-9397-08002B2CF9AE}" pid="3" name="ContentTypeId">
    <vt:lpwstr>0x010100CBAD6C58B327114E96CC8788E47AB5A3</vt:lpwstr>
  </property>
</Properties>
</file>